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315" yWindow="-15" windowWidth="15360" windowHeight="8670"/>
  </bookViews>
  <sheets>
    <sheet name="DAILY" sheetId="9" r:id="rId1"/>
    <sheet name="WEEKEND" sheetId="11" r:id="rId2"/>
  </sheets>
  <externalReferences>
    <externalReference r:id="rId3"/>
  </externalReferences>
  <definedNames>
    <definedName name="_xlnm.Print_Area" localSheetId="0">DAILY!$A$1:$J$79</definedName>
    <definedName name="_xlnm.Print_Area" localSheetId="1">WEEKEND!$A$1:$L$64</definedName>
  </definedNames>
  <calcPr calcId="152511"/>
</workbook>
</file>

<file path=xl/calcChain.xml><?xml version="1.0" encoding="utf-8"?>
<calcChain xmlns="http://schemas.openxmlformats.org/spreadsheetml/2006/main">
  <c r="B1" i="9" l="1"/>
  <c r="P1" i="9"/>
  <c r="T1" i="9"/>
  <c r="B2" i="9"/>
  <c r="P2" i="9"/>
  <c r="T2" i="9"/>
  <c r="Z2" i="9"/>
  <c r="Z3" i="9" s="1"/>
  <c r="Z4" i="9" s="1"/>
  <c r="Z5" i="9" s="1"/>
  <c r="Z6" i="9" s="1"/>
  <c r="Z7" i="9" s="1"/>
  <c r="Z8" i="9" s="1"/>
  <c r="Z9" i="9" s="1"/>
  <c r="Z10" i="9" s="1"/>
  <c r="Z11" i="9" s="1"/>
  <c r="Z12" i="9" s="1"/>
  <c r="Z13" i="9" s="1"/>
  <c r="Z14" i="9" s="1"/>
  <c r="Z15" i="9" s="1"/>
  <c r="Z16" i="9" s="1"/>
  <c r="Z17" i="9" s="1"/>
  <c r="Z18" i="9" s="1"/>
  <c r="Z19" i="9" s="1"/>
  <c r="Z20" i="9" s="1"/>
  <c r="Z21" i="9" s="1"/>
  <c r="Z22" i="9" s="1"/>
  <c r="Z23" i="9" s="1"/>
  <c r="Z24" i="9" s="1"/>
  <c r="Z25" i="9" s="1"/>
  <c r="Z26" i="9" s="1"/>
  <c r="Z27" i="9" s="1"/>
  <c r="Z28" i="9" s="1"/>
  <c r="Z29" i="9" s="1"/>
  <c r="Z30" i="9" s="1"/>
  <c r="Z31" i="9" s="1"/>
  <c r="AD2" i="9"/>
  <c r="AD3" i="9" s="1"/>
  <c r="AD4" i="9" s="1"/>
  <c r="AD5" i="9" s="1"/>
  <c r="AD6" i="9" s="1"/>
  <c r="AD7" i="9" s="1"/>
  <c r="AD8" i="9" s="1"/>
  <c r="AD9" i="9" s="1"/>
  <c r="AD10" i="9" s="1"/>
  <c r="AD11" i="9" s="1"/>
  <c r="AD12" i="9" s="1"/>
  <c r="AD13" i="9" s="1"/>
  <c r="AD14" i="9" s="1"/>
  <c r="AD15" i="9" s="1"/>
  <c r="AD16" i="9" s="1"/>
  <c r="AD17" i="9" s="1"/>
  <c r="AD18" i="9" s="1"/>
  <c r="AD19" i="9" s="1"/>
  <c r="AD20" i="9" s="1"/>
  <c r="AD21" i="9" s="1"/>
  <c r="AD22" i="9" s="1"/>
  <c r="AD23" i="9" s="1"/>
  <c r="AD24" i="9" s="1"/>
  <c r="AD25" i="9" s="1"/>
  <c r="AD26" i="9" s="1"/>
  <c r="AD27" i="9" s="1"/>
  <c r="AD28" i="9" s="1"/>
  <c r="AD29" i="9" s="1"/>
  <c r="AD30" i="9" s="1"/>
  <c r="AD31" i="9" s="1"/>
  <c r="AG2" i="9"/>
  <c r="AH2" i="9"/>
  <c r="AJ2" i="9"/>
  <c r="AK2" i="9"/>
  <c r="K3" i="9"/>
  <c r="L3" i="9"/>
  <c r="P3" i="9"/>
  <c r="T3" i="9"/>
  <c r="W3" i="9"/>
  <c r="W4" i="9" s="1"/>
  <c r="W5" i="9" s="1"/>
  <c r="AF3" i="9"/>
  <c r="AG3" i="9"/>
  <c r="AH3" i="9"/>
  <c r="AJ3" i="9"/>
  <c r="AK3" i="9"/>
  <c r="D4" i="9"/>
  <c r="M4" i="9"/>
  <c r="AF4" i="9"/>
  <c r="AG4" i="9"/>
  <c r="AH4" i="9"/>
  <c r="AJ4" i="9"/>
  <c r="AK4" i="9"/>
  <c r="M5" i="9"/>
  <c r="AF5" i="9"/>
  <c r="AG5" i="9"/>
  <c r="AH5" i="9"/>
  <c r="AK5" i="9"/>
  <c r="K6" i="9"/>
  <c r="L6" i="9"/>
  <c r="M6" i="9"/>
  <c r="W6" i="9"/>
  <c r="AG6" i="9"/>
  <c r="AH6" i="9"/>
  <c r="AK6" i="9"/>
  <c r="W7" i="9"/>
  <c r="W8" i="9" s="1"/>
  <c r="W9" i="9" s="1"/>
  <c r="W10" i="9" s="1"/>
  <c r="AG7" i="9"/>
  <c r="AH7" i="9"/>
  <c r="AK7" i="9"/>
  <c r="AG8" i="9"/>
  <c r="AH8" i="9"/>
  <c r="AK8" i="9"/>
  <c r="AG9" i="9"/>
  <c r="AH9" i="9"/>
  <c r="AK9" i="9"/>
  <c r="AG10" i="9"/>
  <c r="AH10" i="9"/>
  <c r="AK10" i="9"/>
  <c r="B11" i="9"/>
  <c r="B29" i="9" s="1"/>
  <c r="C28" i="9" s="1"/>
  <c r="W11" i="9"/>
  <c r="W12" i="9" s="1"/>
  <c r="W13" i="9" s="1"/>
  <c r="W14" i="9" s="1"/>
  <c r="W15" i="9" s="1"/>
  <c r="W16" i="9" s="1"/>
  <c r="W17" i="9" s="1"/>
  <c r="W18" i="9" s="1"/>
  <c r="W19" i="9" s="1"/>
  <c r="W20" i="9" s="1"/>
  <c r="W21" i="9" s="1"/>
  <c r="W22" i="9" s="1"/>
  <c r="AG11" i="9"/>
  <c r="AH11" i="9"/>
  <c r="AK11" i="9"/>
  <c r="AG12" i="9"/>
  <c r="AH12" i="9"/>
  <c r="AK12" i="9"/>
  <c r="AG13" i="9"/>
  <c r="AH13" i="9"/>
  <c r="AK13" i="9"/>
  <c r="E14" i="9"/>
  <c r="F15" i="9" s="1"/>
  <c r="AG14" i="9"/>
  <c r="AH14" i="9"/>
  <c r="AK14" i="9"/>
  <c r="AG15" i="9"/>
  <c r="AH15" i="9"/>
  <c r="AK15" i="9"/>
  <c r="AG16" i="9"/>
  <c r="AH16" i="9"/>
  <c r="AK16" i="9"/>
  <c r="AG17" i="9"/>
  <c r="AH17" i="9"/>
  <c r="AK17" i="9"/>
  <c r="AG18" i="9"/>
  <c r="AH18" i="9"/>
  <c r="AK18" i="9"/>
  <c r="AG19" i="9"/>
  <c r="AK19" i="9"/>
  <c r="AG20" i="9"/>
  <c r="AK20" i="9"/>
  <c r="AG21" i="9"/>
  <c r="AK21" i="9"/>
  <c r="AG22" i="9"/>
  <c r="AK22" i="9"/>
  <c r="W23" i="9"/>
  <c r="W24" i="9" s="1"/>
  <c r="W25" i="9" s="1"/>
  <c r="W26" i="9" s="1"/>
  <c r="W27" i="9" s="1"/>
  <c r="W28" i="9" s="1"/>
  <c r="W29" i="9" s="1"/>
  <c r="W30" i="9" s="1"/>
  <c r="W31" i="9" s="1"/>
  <c r="W32" i="9" s="1"/>
  <c r="W33" i="9" s="1"/>
  <c r="W34" i="9" s="1"/>
  <c r="W35" i="9" s="1"/>
  <c r="W36" i="9" s="1"/>
  <c r="W37" i="9" s="1"/>
  <c r="W38" i="9" s="1"/>
  <c r="W39" i="9" s="1"/>
  <c r="W40" i="9" s="1"/>
  <c r="W41" i="9" s="1"/>
  <c r="W42" i="9" s="1"/>
  <c r="W43" i="9" s="1"/>
  <c r="W44" i="9" s="1"/>
  <c r="W45" i="9" s="1"/>
  <c r="W46" i="9" s="1"/>
  <c r="W47" i="9" s="1"/>
  <c r="AG23" i="9"/>
  <c r="AG24" i="9"/>
  <c r="AG25" i="9"/>
  <c r="AG26" i="9"/>
  <c r="AG27" i="9"/>
  <c r="E29" i="9"/>
  <c r="B63" i="9"/>
  <c r="B1" i="11"/>
  <c r="H1" i="11"/>
  <c r="N1" i="11"/>
  <c r="T1" i="11"/>
  <c r="Z1" i="11"/>
  <c r="B2" i="11"/>
  <c r="H2" i="11"/>
  <c r="N2" i="11"/>
  <c r="T2" i="11"/>
  <c r="Z2" i="11"/>
  <c r="D4" i="11"/>
  <c r="J4" i="11"/>
  <c r="P4" i="11"/>
  <c r="V4" i="11"/>
  <c r="AB4" i="11"/>
  <c r="B11" i="11"/>
  <c r="B29" i="11" s="1"/>
  <c r="H11" i="11"/>
  <c r="N11" i="11"/>
  <c r="T11" i="11"/>
  <c r="T29" i="11" s="1"/>
  <c r="U28" i="11" s="1"/>
  <c r="Z11" i="11"/>
  <c r="E14" i="11"/>
  <c r="K14" i="11"/>
  <c r="Q14" i="11"/>
  <c r="R15" i="11" s="1"/>
  <c r="W14" i="11"/>
  <c r="AC14" i="11"/>
  <c r="F15" i="11"/>
  <c r="AD15" i="11"/>
  <c r="AA28" i="11"/>
  <c r="E29" i="11"/>
  <c r="H29" i="11"/>
  <c r="K29" i="11"/>
  <c r="L15" i="11" s="1"/>
  <c r="N29" i="11"/>
  <c r="O28" i="11" s="1"/>
  <c r="Q29" i="11"/>
  <c r="W29" i="11"/>
  <c r="Z29" i="11"/>
  <c r="AC29" i="11"/>
  <c r="B63" i="11"/>
  <c r="C28" i="11" s="1"/>
  <c r="H63" i="11"/>
  <c r="N63" i="11"/>
  <c r="T63" i="11"/>
  <c r="Z63" i="11"/>
  <c r="AD32" i="9" l="1"/>
  <c r="AD33" i="9" s="1"/>
  <c r="AD34" i="9" s="1"/>
  <c r="AD35" i="9" s="1"/>
  <c r="AD36" i="9" s="1"/>
  <c r="AD37" i="9" s="1"/>
  <c r="AD38" i="9" s="1"/>
  <c r="AD39" i="9" s="1"/>
  <c r="AD40" i="9" s="1"/>
  <c r="AD41" i="9" s="1"/>
  <c r="AD42" i="9" s="1"/>
  <c r="AD43" i="9" s="1"/>
  <c r="AD44" i="9" s="1"/>
  <c r="AD45" i="9" s="1"/>
  <c r="AD46" i="9" s="1"/>
  <c r="AD47" i="9" s="1"/>
  <c r="U6" i="9"/>
  <c r="Z32" i="9"/>
  <c r="Z33" i="9" s="1"/>
  <c r="Z34" i="9" s="1"/>
  <c r="Z35" i="9" s="1"/>
  <c r="Z36" i="9" s="1"/>
  <c r="Z37" i="9" s="1"/>
  <c r="Z38" i="9" s="1"/>
  <c r="Z39" i="9" s="1"/>
  <c r="Z40" i="9" s="1"/>
  <c r="Z41" i="9" s="1"/>
  <c r="Z42" i="9" s="1"/>
  <c r="Z43" i="9" s="1"/>
  <c r="Z44" i="9" s="1"/>
  <c r="Z45" i="9" s="1"/>
  <c r="Z46" i="9" s="1"/>
  <c r="Z47" i="9" s="1"/>
  <c r="Q6" i="9"/>
  <c r="I28" i="11"/>
  <c r="AJ5" i="9"/>
  <c r="AF6" i="9"/>
  <c r="X15" i="11"/>
  <c r="AF7" i="9" l="1"/>
  <c r="AJ6" i="9"/>
  <c r="AF8" i="9" l="1"/>
  <c r="AJ7" i="9"/>
  <c r="AF9" i="9" l="1"/>
  <c r="AJ8" i="9"/>
  <c r="AF10" i="9" l="1"/>
  <c r="AJ9" i="9"/>
  <c r="AF11" i="9" l="1"/>
  <c r="AJ10" i="9"/>
  <c r="AF12" i="9" l="1"/>
  <c r="AJ11" i="9"/>
  <c r="AF13" i="9" l="1"/>
  <c r="AJ12" i="9"/>
  <c r="AJ13" i="9" l="1"/>
  <c r="AF14" i="9"/>
  <c r="AJ14" i="9" l="1"/>
  <c r="AF15" i="9"/>
  <c r="AJ15" i="9" l="1"/>
  <c r="AF16" i="9"/>
  <c r="AF17" i="9" l="1"/>
  <c r="AJ16" i="9"/>
  <c r="AJ17" i="9" l="1"/>
  <c r="AF18" i="9"/>
  <c r="AJ18" i="9" l="1"/>
  <c r="AF19" i="9"/>
  <c r="AF20" i="9" l="1"/>
  <c r="AJ19" i="9"/>
  <c r="AF21" i="9" l="1"/>
  <c r="AJ20" i="9"/>
  <c r="AF22" i="9" l="1"/>
  <c r="AJ21" i="9"/>
  <c r="AF23" i="9" l="1"/>
  <c r="AJ22" i="9"/>
  <c r="AJ23" i="9" l="1"/>
  <c r="AF24" i="9"/>
  <c r="AJ24" i="9" l="1"/>
  <c r="AF25" i="9"/>
  <c r="AF26" i="9" l="1"/>
  <c r="AJ25" i="9"/>
  <c r="AF27" i="9" l="1"/>
  <c r="AJ26" i="9"/>
  <c r="AJ27" i="9" l="1"/>
  <c r="AF28" i="9"/>
  <c r="AJ28" i="9" l="1"/>
  <c r="AF29" i="9"/>
  <c r="AJ29" i="9" l="1"/>
  <c r="AF30" i="9"/>
  <c r="AF31" i="9" l="1"/>
  <c r="AJ30" i="9"/>
  <c r="AJ31" i="9" l="1"/>
  <c r="AF32" i="9"/>
  <c r="AJ32" i="9" s="1"/>
</calcChain>
</file>

<file path=xl/comments1.xml><?xml version="1.0" encoding="utf-8"?>
<comments xmlns="http://schemas.openxmlformats.org/spreadsheetml/2006/main">
  <authors>
    <author>dfuente2</author>
  </authors>
  <commentList>
    <comment ref="A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A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A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A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A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</commentList>
</comments>
</file>

<file path=xl/comments2.xml><?xml version="1.0" encoding="utf-8"?>
<comments xmlns="http://schemas.openxmlformats.org/spreadsheetml/2006/main">
  <authors>
    <author>dfuente2</author>
  </authors>
  <commentList>
    <comment ref="A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G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M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S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Y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A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G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M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S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Y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A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G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M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S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Y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A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G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M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S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Y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A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  <comment ref="G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  <comment ref="M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  <comment ref="S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  <comment ref="Y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</commentList>
</comments>
</file>

<file path=xl/sharedStrings.xml><?xml version="1.0" encoding="utf-8"?>
<sst xmlns="http://schemas.openxmlformats.org/spreadsheetml/2006/main" count="563" uniqueCount="94">
  <si>
    <t>TODAY'S DATE:</t>
  </si>
  <si>
    <t>TODAY'S SENDOUT FOR PGL:</t>
  </si>
  <si>
    <t>TODAY'S SENDOUT FOR NS:</t>
  </si>
  <si>
    <t xml:space="preserve">ESTIMATED PGL SENDOUT FOR: </t>
  </si>
  <si>
    <t xml:space="preserve">ESTIMATED NORTH SHORE SENDOUT FOR: </t>
  </si>
  <si>
    <t>Elwood Burn</t>
  </si>
  <si>
    <t>Elwood Bank Balance</t>
  </si>
  <si>
    <t>Gas Control Estimate</t>
  </si>
  <si>
    <t>Gas Control Actual</t>
  </si>
  <si>
    <t>Rider Gas</t>
  </si>
  <si>
    <t>SENDOUT FOR:</t>
  </si>
  <si>
    <t>HI</t>
  </si>
  <si>
    <t>LOW</t>
  </si>
  <si>
    <t>MEAN</t>
  </si>
  <si>
    <t>WEATHER</t>
  </si>
  <si>
    <t xml:space="preserve"> </t>
  </si>
  <si>
    <t>ELWOOD</t>
  </si>
  <si>
    <t>Change</t>
  </si>
  <si>
    <t>PGL SENDOUT</t>
  </si>
  <si>
    <t>NS SENDOUT</t>
  </si>
  <si>
    <t>Total Burn:</t>
  </si>
  <si>
    <t>HUB:</t>
  </si>
  <si>
    <t>OFF SYSTEM SALES</t>
  </si>
  <si>
    <t>INJECTIONS:</t>
  </si>
  <si>
    <t>PGL Balancing:</t>
  </si>
  <si>
    <t xml:space="preserve">     MANLOVE</t>
  </si>
  <si>
    <t xml:space="preserve">     ANR </t>
  </si>
  <si>
    <t xml:space="preserve">     ANR (NO-NOTICE)</t>
  </si>
  <si>
    <t>TOTAL REQUIREMENTS</t>
  </si>
  <si>
    <t xml:space="preserve">     PANHANDLE</t>
  </si>
  <si>
    <t xml:space="preserve">     FUEL</t>
  </si>
  <si>
    <t>ENA BASELOAD</t>
  </si>
  <si>
    <t>ENA SIQ</t>
  </si>
  <si>
    <t>ENA DIQ</t>
  </si>
  <si>
    <t>RIDER GAS</t>
  </si>
  <si>
    <t>IMBALANCES</t>
  </si>
  <si>
    <t>TOTAL SOURCES</t>
  </si>
  <si>
    <t>RFG</t>
  </si>
  <si>
    <t>WITHDRAWALS:</t>
  </si>
  <si>
    <t xml:space="preserve">     NGPL:  NSS1</t>
  </si>
  <si>
    <t xml:space="preserve">     NGPL:  NSS2</t>
  </si>
  <si>
    <t xml:space="preserve">     NGPL:  DSS</t>
  </si>
  <si>
    <t xml:space="preserve">     COENERGY</t>
  </si>
  <si>
    <t xml:space="preserve">     ENGAGE</t>
  </si>
  <si>
    <t xml:space="preserve">     NGPL (DSS)</t>
  </si>
  <si>
    <t>Elwood Injection</t>
  </si>
  <si>
    <t xml:space="preserve">     NICOR BALANCING</t>
  </si>
  <si>
    <t>OFF SYSTEM SALES:</t>
  </si>
  <si>
    <t xml:space="preserve">     ANR</t>
  </si>
  <si>
    <t xml:space="preserve">    ENOVATE</t>
  </si>
  <si>
    <t xml:space="preserve">     MISC</t>
  </si>
  <si>
    <t>LINE PACK / IMBALANCE</t>
  </si>
  <si>
    <t xml:space="preserve">    ENA SELL BACK</t>
  </si>
  <si>
    <t>ANR IMBALANCE</t>
  </si>
  <si>
    <t>Cinergy Nomination:</t>
  </si>
  <si>
    <t>LINCOLN CENTER</t>
  </si>
  <si>
    <t>Lincoln Ctr. Burn</t>
  </si>
  <si>
    <t>Lincoln Ctr. Injection</t>
  </si>
  <si>
    <t>Lincoln Ctr. Bank Balance</t>
  </si>
  <si>
    <t xml:space="preserve">     MOBIL</t>
  </si>
  <si>
    <t>EMW</t>
  </si>
  <si>
    <t xml:space="preserve">     LINEPACK</t>
  </si>
  <si>
    <t>Percent Full</t>
  </si>
  <si>
    <t xml:space="preserve">     EMW</t>
  </si>
  <si>
    <t>Elwood MAX Bank</t>
  </si>
  <si>
    <t>Lincoln Center MAX Bank</t>
  </si>
  <si>
    <t xml:space="preserve">     NGPL- DSS</t>
  </si>
  <si>
    <t xml:space="preserve">     NGPL (NO-NOTICE)-NSS</t>
  </si>
  <si>
    <t xml:space="preserve">     NGPL AM-DSS</t>
  </si>
  <si>
    <t xml:space="preserve">     NGPL SUPPLY (NS TTP)</t>
  </si>
  <si>
    <t>MANLOVE (MAHO / HUB)</t>
  </si>
  <si>
    <t xml:space="preserve">    MISC </t>
  </si>
  <si>
    <t>TRUNKLINE IMBALANCE (OVER DEL' D)</t>
  </si>
  <si>
    <t xml:space="preserve">    TRUNKLINE IMBALANCE (UNDER DEL' D)</t>
  </si>
  <si>
    <t>ALLIANCE IMBALANCE (OVER DEL' D)</t>
  </si>
  <si>
    <t xml:space="preserve">     PGL TTP  (PGLC purch delivrd @the city gate)</t>
  </si>
  <si>
    <t xml:space="preserve">    LNG LIQUIFICATION</t>
  </si>
  <si>
    <t xml:space="preserve">     -  ADDITIONAL NGPL DSS INJECTIONS</t>
  </si>
  <si>
    <t xml:space="preserve">     -  ADDITIONAL CITYGATE PURCHASES</t>
  </si>
  <si>
    <t>HUB ACTIVITY   (PURCHASES MAHO CG )</t>
  </si>
  <si>
    <t xml:space="preserve">     - SPOT / ADD'L CITY GATE PURCHASES</t>
  </si>
  <si>
    <t>TRUNKLINE SOUTH TX (REFILL)</t>
  </si>
  <si>
    <t>TRUNKLINE QNT SPOT</t>
  </si>
  <si>
    <t xml:space="preserve">     TGC</t>
  </si>
  <si>
    <t xml:space="preserve">     NS MANLOVE TTP</t>
  </si>
  <si>
    <t xml:space="preserve">     PGL TTP-MANLOVE</t>
  </si>
  <si>
    <t xml:space="preserve">     NGPL AM</t>
  </si>
  <si>
    <t>LNG VAPORIZE A + B</t>
  </si>
  <si>
    <t xml:space="preserve">     NGPL (NO-NOTICE) TOLERANCE</t>
  </si>
  <si>
    <t>Friday</t>
  </si>
  <si>
    <t>Monday</t>
  </si>
  <si>
    <t>Sunday</t>
  </si>
  <si>
    <t>Saturday</t>
  </si>
  <si>
    <t>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</si>
</sst>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.000_);_(* \(#,##0.000\);_(* &quot;-&quot;??_);_(@_)"/>
    <numFmt numFmtId="172" formatCode="_(&quot;$&quot;* #,##0_);_(&quot;$&quot;* \(#,##0\);_(&quot;$&quot;* &quot;-&quot;??_);_(@_)"/>
    <numFmt numFmtId="176" formatCode="_(* #,##0_);_(* \(#,##0\);_(* &quot;-&quot;??_);_(@_)"/>
  </numFmts>
  <fonts count="13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6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1" xfId="0" applyNumberFormat="1" applyFont="1" applyBorder="1"/>
    <xf numFmtId="0" fontId="3" fillId="0" borderId="2" xfId="0" applyFont="1" applyBorder="1" applyAlignment="1">
      <alignment wrapText="1"/>
    </xf>
    <xf numFmtId="176" fontId="3" fillId="0" borderId="3" xfId="1" applyNumberFormat="1" applyFont="1" applyBorder="1"/>
    <xf numFmtId="0" fontId="2" fillId="0" borderId="3" xfId="0" applyFont="1" applyBorder="1"/>
    <xf numFmtId="0" fontId="3" fillId="0" borderId="3" xfId="0" applyFont="1" applyBorder="1" applyAlignment="1">
      <alignment wrapText="1"/>
    </xf>
    <xf numFmtId="176" fontId="3" fillId="0" borderId="4" xfId="1" applyNumberFormat="1" applyFont="1" applyBorder="1"/>
    <xf numFmtId="176" fontId="2" fillId="0" borderId="0" xfId="1" applyNumberFormat="1" applyFont="1" applyBorder="1"/>
    <xf numFmtId="0" fontId="2" fillId="0" borderId="0" xfId="0" applyFont="1" applyAlignment="1">
      <alignment wrapText="1"/>
    </xf>
    <xf numFmtId="14" fontId="2" fillId="0" borderId="0" xfId="0" applyNumberFormat="1" applyFont="1"/>
    <xf numFmtId="176" fontId="2" fillId="0" borderId="0" xfId="1" applyNumberFormat="1" applyFont="1"/>
    <xf numFmtId="1" fontId="2" fillId="0" borderId="0" xfId="0" applyNumberFormat="1" applyFont="1" applyAlignment="1">
      <alignment horizontal="center"/>
    </xf>
    <xf numFmtId="176" fontId="2" fillId="0" borderId="0" xfId="0" applyNumberFormat="1" applyFont="1"/>
    <xf numFmtId="14" fontId="2" fillId="0" borderId="0" xfId="1" applyNumberFormat="1" applyFont="1"/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0" borderId="2" xfId="0" applyFont="1" applyBorder="1"/>
    <xf numFmtId="14" fontId="2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176" fontId="2" fillId="0" borderId="9" xfId="1" applyNumberFormat="1" applyFont="1" applyBorder="1"/>
    <xf numFmtId="0" fontId="2" fillId="0" borderId="0" xfId="0" applyFont="1" applyBorder="1"/>
    <xf numFmtId="176" fontId="2" fillId="0" borderId="7" xfId="0" applyNumberFormat="1" applyFont="1" applyBorder="1"/>
    <xf numFmtId="176" fontId="2" fillId="0" borderId="10" xfId="0" applyNumberFormat="1" applyFont="1" applyBorder="1"/>
    <xf numFmtId="0" fontId="2" fillId="0" borderId="11" xfId="0" applyFont="1" applyBorder="1"/>
    <xf numFmtId="176" fontId="2" fillId="0" borderId="12" xfId="1" applyNumberFormat="1" applyFont="1" applyBorder="1"/>
    <xf numFmtId="176" fontId="2" fillId="0" borderId="13" xfId="0" applyNumberFormat="1" applyFont="1" applyBorder="1"/>
    <xf numFmtId="0" fontId="3" fillId="0" borderId="8" xfId="0" applyFont="1" applyBorder="1"/>
    <xf numFmtId="176" fontId="2" fillId="3" borderId="1" xfId="1" applyNumberFormat="1" applyFont="1" applyFill="1" applyBorder="1"/>
    <xf numFmtId="176" fontId="2" fillId="0" borderId="14" xfId="1" applyNumberFormat="1" applyFont="1" applyBorder="1"/>
    <xf numFmtId="0" fontId="2" fillId="0" borderId="14" xfId="0" applyFont="1" applyBorder="1"/>
    <xf numFmtId="176" fontId="2" fillId="0" borderId="7" xfId="1" applyNumberFormat="1" applyFont="1" applyBorder="1"/>
    <xf numFmtId="176" fontId="2" fillId="0" borderId="10" xfId="1" applyNumberFormat="1" applyFont="1" applyBorder="1"/>
    <xf numFmtId="176" fontId="2" fillId="0" borderId="13" xfId="1" applyNumberFormat="1" applyFont="1" applyBorder="1"/>
    <xf numFmtId="176" fontId="2" fillId="0" borderId="9" xfId="1" applyNumberFormat="1" applyFont="1" applyFill="1" applyBorder="1"/>
    <xf numFmtId="0" fontId="2" fillId="0" borderId="8" xfId="0" applyFont="1" applyFill="1" applyBorder="1"/>
    <xf numFmtId="0" fontId="3" fillId="0" borderId="0" xfId="0" applyFont="1" applyAlignment="1">
      <alignment wrapText="1"/>
    </xf>
    <xf numFmtId="0" fontId="4" fillId="0" borderId="0" xfId="0" applyFont="1" applyFill="1"/>
    <xf numFmtId="14" fontId="4" fillId="0" borderId="1" xfId="0" applyNumberFormat="1" applyFont="1" applyFill="1" applyBorder="1"/>
    <xf numFmtId="0" fontId="4" fillId="0" borderId="0" xfId="0" applyFont="1" applyFill="1" applyAlignment="1">
      <alignment horizontal="center"/>
    </xf>
    <xf numFmtId="176" fontId="2" fillId="0" borderId="0" xfId="1" applyNumberFormat="1" applyFont="1" applyAlignment="1">
      <alignment horizontal="left"/>
    </xf>
    <xf numFmtId="0" fontId="2" fillId="0" borderId="9" xfId="0" applyFont="1" applyFill="1" applyBorder="1"/>
    <xf numFmtId="176" fontId="2" fillId="0" borderId="0" xfId="1" applyNumberFormat="1" applyFont="1" applyAlignment="1">
      <alignment horizontal="right"/>
    </xf>
    <xf numFmtId="169" fontId="2" fillId="0" borderId="0" xfId="1" applyNumberFormat="1" applyFont="1"/>
    <xf numFmtId="169" fontId="2" fillId="0" borderId="0" xfId="0" applyNumberFormat="1" applyFont="1"/>
    <xf numFmtId="172" fontId="2" fillId="0" borderId="0" xfId="2" applyNumberFormat="1" applyFont="1"/>
    <xf numFmtId="14" fontId="3" fillId="0" borderId="2" xfId="0" applyNumberFormat="1" applyFont="1" applyBorder="1"/>
    <xf numFmtId="169" fontId="2" fillId="0" borderId="0" xfId="1" applyNumberFormat="1" applyFont="1" applyBorder="1"/>
    <xf numFmtId="176" fontId="2" fillId="0" borderId="0" xfId="0" applyNumberFormat="1" applyFont="1" applyBorder="1"/>
    <xf numFmtId="9" fontId="3" fillId="0" borderId="4" xfId="3" applyNumberFormat="1" applyFont="1" applyBorder="1" applyAlignment="1">
      <alignment horizontal="center"/>
    </xf>
    <xf numFmtId="176" fontId="2" fillId="0" borderId="0" xfId="0" quotePrefix="1" applyNumberFormat="1" applyFont="1"/>
    <xf numFmtId="176" fontId="5" fillId="0" borderId="0" xfId="0" applyNumberFormat="1" applyFont="1"/>
    <xf numFmtId="176" fontId="8" fillId="0" borderId="9" xfId="1" applyNumberFormat="1" applyFont="1" applyFill="1" applyBorder="1"/>
    <xf numFmtId="176" fontId="8" fillId="0" borderId="9" xfId="1" applyNumberFormat="1" applyFont="1" applyBorder="1"/>
    <xf numFmtId="0" fontId="8" fillId="0" borderId="8" xfId="0" applyFont="1" applyBorder="1"/>
    <xf numFmtId="0" fontId="2" fillId="0" borderId="0" xfId="0" applyFont="1" applyFill="1" applyAlignment="1">
      <alignment horizontal="center"/>
    </xf>
    <xf numFmtId="176" fontId="8" fillId="0" borderId="0" xfId="0" applyNumberFormat="1" applyFont="1"/>
    <xf numFmtId="14" fontId="3" fillId="0" borderId="0" xfId="0" applyNumberFormat="1" applyFont="1"/>
    <xf numFmtId="14" fontId="3" fillId="0" borderId="0" xfId="1" applyNumberFormat="1" applyFont="1"/>
    <xf numFmtId="176" fontId="2" fillId="0" borderId="0" xfId="1" applyNumberFormat="1" applyFont="1" applyFill="1" applyBorder="1"/>
    <xf numFmtId="41" fontId="2" fillId="0" borderId="0" xfId="0" applyNumberFormat="1" applyFont="1"/>
    <xf numFmtId="0" fontId="12" fillId="0" borderId="0" xfId="0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37520"/>
        <c:axId val="137038080"/>
      </c:lineChart>
      <c:catAx>
        <c:axId val="1370375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038080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37038080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037520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49728"/>
        <c:axId val="206650288"/>
      </c:lineChart>
      <c:catAx>
        <c:axId val="20664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650288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206650288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649728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52528"/>
        <c:axId val="206653088"/>
      </c:lineChart>
      <c:catAx>
        <c:axId val="20665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653088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206653088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65252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55328"/>
        <c:axId val="206655888"/>
      </c:lineChart>
      <c:catAx>
        <c:axId val="20665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655888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206655888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65532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59248"/>
        <c:axId val="206659808"/>
      </c:lineChart>
      <c:catAx>
        <c:axId val="2066592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659808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206659808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659248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63968"/>
        <c:axId val="207164528"/>
      </c:lineChart>
      <c:dateAx>
        <c:axId val="2071639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164528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207164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16396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66768"/>
        <c:axId val="207167328"/>
      </c:lineChart>
      <c:catAx>
        <c:axId val="2071667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167328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207167328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166768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69568"/>
        <c:axId val="207170128"/>
      </c:lineChart>
      <c:catAx>
        <c:axId val="20716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170128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207170128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169568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72368"/>
        <c:axId val="207172928"/>
      </c:lineChart>
      <c:catAx>
        <c:axId val="20717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172928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207172928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17236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75168"/>
        <c:axId val="207175728"/>
      </c:lineChart>
      <c:catAx>
        <c:axId val="20717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175728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207175728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17516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78528"/>
        <c:axId val="207179088"/>
      </c:lineChart>
      <c:catAx>
        <c:axId val="2071785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179088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207179088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178528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38096"/>
        <c:axId val="206138656"/>
      </c:lineChart>
      <c:dateAx>
        <c:axId val="2061380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138656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206138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13809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53648"/>
        <c:axId val="207554208"/>
      </c:lineChart>
      <c:dateAx>
        <c:axId val="2075536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554208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207554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55364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56448"/>
        <c:axId val="207557008"/>
      </c:lineChart>
      <c:catAx>
        <c:axId val="2075564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557008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207557008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556448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59248"/>
        <c:axId val="207559808"/>
      </c:lineChart>
      <c:catAx>
        <c:axId val="20755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559808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207559808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559248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62048"/>
        <c:axId val="207562608"/>
      </c:lineChart>
      <c:catAx>
        <c:axId val="20756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562608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207562608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56204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64848"/>
        <c:axId val="207565408"/>
      </c:lineChart>
      <c:catAx>
        <c:axId val="20756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565408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207565408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56484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68208"/>
        <c:axId val="207953760"/>
      </c:lineChart>
      <c:catAx>
        <c:axId val="2075682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953760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207953760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568208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56000"/>
        <c:axId val="207956560"/>
      </c:lineChart>
      <c:dateAx>
        <c:axId val="2079560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956560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207956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95600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58800"/>
        <c:axId val="207959360"/>
      </c:lineChart>
      <c:catAx>
        <c:axId val="2079588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959360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207959360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958800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61600"/>
        <c:axId val="207962160"/>
      </c:lineChart>
      <c:catAx>
        <c:axId val="20796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962160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207962160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961600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64400"/>
        <c:axId val="207964960"/>
      </c:lineChart>
      <c:catAx>
        <c:axId val="20796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964960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207964960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96440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40896"/>
        <c:axId val="206141456"/>
      </c:lineChart>
      <c:catAx>
        <c:axId val="2061408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141456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206141456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140896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67200"/>
        <c:axId val="207967760"/>
      </c:lineChart>
      <c:catAx>
        <c:axId val="20796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967760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207967760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96720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layout>
        <c:manualLayout>
          <c:xMode val="edge"/>
          <c:yMode val="edge"/>
          <c:x val="0.45460939373114945"/>
          <c:y val="9.141062597197715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076594376406308E-2"/>
          <c:y val="5.3018163063746751E-2"/>
          <c:w val="0.9444427598579328"/>
          <c:h val="0.80989814611171762"/>
        </c:manualLayout>
      </c:layout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</c:numCache>
            </c:numRef>
          </c:cat>
          <c:val>
            <c:numRef>
              <c:f>DAILY!$AG$2:$AG$32</c:f>
              <c:numCache>
                <c:formatCode>_(* #,##0_);_(* \(#,##0\);_(* "-"??_);_(@_)</c:formatCode>
                <c:ptCount val="31"/>
                <c:pt idx="0">
                  <c:v>364453</c:v>
                </c:pt>
                <c:pt idx="1">
                  <c:v>419919</c:v>
                </c:pt>
                <c:pt idx="2">
                  <c:v>396329</c:v>
                </c:pt>
                <c:pt idx="3">
                  <c:v>563000</c:v>
                </c:pt>
                <c:pt idx="4">
                  <c:v>602000</c:v>
                </c:pt>
                <c:pt idx="5">
                  <c:v>467000</c:v>
                </c:pt>
                <c:pt idx="6">
                  <c:v>403000</c:v>
                </c:pt>
                <c:pt idx="7">
                  <c:v>744000</c:v>
                </c:pt>
                <c:pt idx="8">
                  <c:v>658000</c:v>
                </c:pt>
                <c:pt idx="9">
                  <c:v>622000</c:v>
                </c:pt>
                <c:pt idx="10">
                  <c:v>637000</c:v>
                </c:pt>
                <c:pt idx="11">
                  <c:v>647000</c:v>
                </c:pt>
                <c:pt idx="12">
                  <c:v>508000</c:v>
                </c:pt>
                <c:pt idx="13">
                  <c:v>431700</c:v>
                </c:pt>
                <c:pt idx="14">
                  <c:v>350700</c:v>
                </c:pt>
                <c:pt idx="15">
                  <c:v>374000</c:v>
                </c:pt>
                <c:pt idx="16">
                  <c:v>294000</c:v>
                </c:pt>
                <c:pt idx="17">
                  <c:v>469000</c:v>
                </c:pt>
                <c:pt idx="18">
                  <c:v>815000</c:v>
                </c:pt>
                <c:pt idx="19">
                  <c:v>900000</c:v>
                </c:pt>
                <c:pt idx="20">
                  <c:v>669000</c:v>
                </c:pt>
                <c:pt idx="21">
                  <c:v>599000</c:v>
                </c:pt>
                <c:pt idx="22">
                  <c:v>702000</c:v>
                </c:pt>
                <c:pt idx="23">
                  <c:v>700000</c:v>
                </c:pt>
                <c:pt idx="24">
                  <c:v>718000</c:v>
                </c:pt>
                <c:pt idx="25">
                  <c:v>820000</c:v>
                </c:pt>
              </c:numCache>
            </c:numRef>
          </c:val>
          <c:smooth val="0"/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</c:numCache>
            </c:numRef>
          </c:cat>
          <c:val>
            <c:numRef>
              <c:f>DAILY!$AH$2:$AH$32</c:f>
              <c:numCache>
                <c:formatCode>_(* #,##0_);_(* \(#,##0\);_(* "-"??_);_(@_)</c:formatCode>
                <c:ptCount val="31"/>
                <c:pt idx="0">
                  <c:v>364453</c:v>
                </c:pt>
                <c:pt idx="1">
                  <c:v>419919</c:v>
                </c:pt>
                <c:pt idx="2">
                  <c:v>396329</c:v>
                </c:pt>
                <c:pt idx="3">
                  <c:v>544711</c:v>
                </c:pt>
                <c:pt idx="4">
                  <c:v>616642</c:v>
                </c:pt>
                <c:pt idx="5">
                  <c:v>509446</c:v>
                </c:pt>
                <c:pt idx="6">
                  <c:v>388546</c:v>
                </c:pt>
                <c:pt idx="7">
                  <c:v>744000</c:v>
                </c:pt>
                <c:pt idx="8">
                  <c:v>704605</c:v>
                </c:pt>
                <c:pt idx="9">
                  <c:v>583519</c:v>
                </c:pt>
                <c:pt idx="10">
                  <c:v>683517</c:v>
                </c:pt>
                <c:pt idx="11">
                  <c:v>649321</c:v>
                </c:pt>
                <c:pt idx="12">
                  <c:v>503300</c:v>
                </c:pt>
                <c:pt idx="13">
                  <c:v>430834</c:v>
                </c:pt>
                <c:pt idx="14">
                  <c:v>359764</c:v>
                </c:pt>
                <c:pt idx="15">
                  <c:v>478081</c:v>
                </c:pt>
                <c:pt idx="16">
                  <c:v>421684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03280"/>
        <c:axId val="208503840"/>
      </c:lineChart>
      <c:catAx>
        <c:axId val="208503280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038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208503840"/>
        <c:scaling>
          <c:orientation val="minMax"/>
          <c:min val="2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03280"/>
        <c:crosses val="autoZero"/>
        <c:crossBetween val="between"/>
        <c:majorUnit val="20000"/>
        <c:min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719463270134163"/>
          <c:y val="0.91044983468089247"/>
          <c:w val="4.8983336612678334E-2"/>
          <c:h val="8.40977758942189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layout>
        <c:manualLayout>
          <c:xMode val="edge"/>
          <c:yMode val="edge"/>
          <c:x val="0.39439986134860716"/>
          <c:y val="1.59241085599664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46662044953572"/>
          <c:y val="9.2359829647805453E-2"/>
          <c:w val="0.8272057017049439"/>
          <c:h val="0.55415897788683266"/>
        </c:manualLayout>
      </c:layout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DAILY!$W$2:$W$42</c:f>
              <c:numCache>
                <c:formatCode>m/d/yyyy</c:formatCode>
                <c:ptCount val="4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  <c:pt idx="31">
                  <c:v>37227</c:v>
                </c:pt>
                <c:pt idx="32">
                  <c:v>37228</c:v>
                </c:pt>
                <c:pt idx="33">
                  <c:v>37229</c:v>
                </c:pt>
                <c:pt idx="34">
                  <c:v>37230</c:v>
                </c:pt>
                <c:pt idx="35">
                  <c:v>37231</c:v>
                </c:pt>
                <c:pt idx="36">
                  <c:v>37232</c:v>
                </c:pt>
                <c:pt idx="37">
                  <c:v>37233</c:v>
                </c:pt>
                <c:pt idx="38">
                  <c:v>37234</c:v>
                </c:pt>
                <c:pt idx="39">
                  <c:v>37235</c:v>
                </c:pt>
                <c:pt idx="40">
                  <c:v>37236</c:v>
                </c:pt>
              </c:numCache>
            </c:numRef>
          </c:cat>
          <c:val>
            <c:numRef>
              <c:f>DAILY!$X$2:$X$42</c:f>
              <c:numCache>
                <c:formatCode>_(* #,##0_);_(* \(#,##0\);_(* "-"??_);_(@_)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52966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06080"/>
        <c:axId val="208506640"/>
      </c:lineChart>
      <c:dateAx>
        <c:axId val="2085060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06640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08506640"/>
        <c:scaling>
          <c:orientation val="minMax"/>
          <c:max val="25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06080"/>
        <c:crosses val="autoZero"/>
        <c:crossBetween val="midCat"/>
        <c:majorUnit val="40000"/>
        <c:minorUnit val="4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618548789100851"/>
          <c:y val="0.92996793990204107"/>
          <c:w val="0.17873551768981824"/>
          <c:h val="5.41419691038859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layout>
        <c:manualLayout>
          <c:xMode val="edge"/>
          <c:yMode val="edge"/>
          <c:x val="0.43954963370201022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06060292515985E-2"/>
          <c:y val="0.10057780555495467"/>
          <c:w val="0.950332813569296"/>
          <c:h val="0.64944525872627867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DAILY!$AJ$2:$AJ$32</c:f>
              <c:numCache>
                <c:formatCode>m/d/yyyy</c:formatCode>
                <c:ptCount val="3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</c:numCache>
            </c:numRef>
          </c:cat>
          <c:val>
            <c:numRef>
              <c:f>DAILY!$AK$2:$AK$32</c:f>
              <c:numCache>
                <c:formatCode>_(* #,##0_);_(* \(#,##0\);_(* "-"??_);_(@_)</c:formatCode>
                <c:ptCount val="31"/>
                <c:pt idx="0">
                  <c:v>326942</c:v>
                </c:pt>
                <c:pt idx="1">
                  <c:v>373798</c:v>
                </c:pt>
                <c:pt idx="2">
                  <c:v>363653</c:v>
                </c:pt>
                <c:pt idx="3">
                  <c:v>364574</c:v>
                </c:pt>
                <c:pt idx="4">
                  <c:v>364495</c:v>
                </c:pt>
                <c:pt idx="5">
                  <c:v>343577</c:v>
                </c:pt>
                <c:pt idx="6">
                  <c:v>312978</c:v>
                </c:pt>
                <c:pt idx="7">
                  <c:v>318937</c:v>
                </c:pt>
                <c:pt idx="8">
                  <c:v>318685</c:v>
                </c:pt>
                <c:pt idx="9">
                  <c:v>311207</c:v>
                </c:pt>
                <c:pt idx="10">
                  <c:v>316207</c:v>
                </c:pt>
                <c:pt idx="11">
                  <c:v>316207</c:v>
                </c:pt>
                <c:pt idx="12">
                  <c:v>314203</c:v>
                </c:pt>
                <c:pt idx="13">
                  <c:v>306117</c:v>
                </c:pt>
                <c:pt idx="14">
                  <c:v>284889</c:v>
                </c:pt>
                <c:pt idx="15">
                  <c:v>300786</c:v>
                </c:pt>
                <c:pt idx="16">
                  <c:v>282317</c:v>
                </c:pt>
                <c:pt idx="17">
                  <c:v>284327</c:v>
                </c:pt>
                <c:pt idx="18">
                  <c:v>285362</c:v>
                </c:pt>
                <c:pt idx="19">
                  <c:v>273492</c:v>
                </c:pt>
                <c:pt idx="20">
                  <c:v>296128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08880"/>
        <c:axId val="208509440"/>
      </c:lineChart>
      <c:catAx>
        <c:axId val="208508880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09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08509440"/>
        <c:scaling>
          <c:orientation val="minMax"/>
          <c:max val="460000"/>
          <c:min val="2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08880"/>
        <c:crosses val="autoZero"/>
        <c:crossBetween val="between"/>
        <c:majorUnit val="20000"/>
        <c:min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475039782760762"/>
          <c:y val="0.93106311428015176"/>
          <c:w val="4.0310456357093905E-2"/>
          <c:h val="6.0346683332972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layout>
        <c:manualLayout>
          <c:xMode val="edge"/>
          <c:yMode val="edge"/>
          <c:x val="0.33141397907162756"/>
          <c:y val="3.25743066577516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43614143456472"/>
          <c:y val="0.11726750396790604"/>
          <c:w val="0.84951967561155184"/>
          <c:h val="0.56679293584487922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DAILY!$W$2:$W$42</c:f>
              <c:numCache>
                <c:formatCode>m/d/yyyy</c:formatCode>
                <c:ptCount val="4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  <c:pt idx="31">
                  <c:v>37227</c:v>
                </c:pt>
                <c:pt idx="32">
                  <c:v>37228</c:v>
                </c:pt>
                <c:pt idx="33">
                  <c:v>37229</c:v>
                </c:pt>
                <c:pt idx="34">
                  <c:v>37230</c:v>
                </c:pt>
                <c:pt idx="35">
                  <c:v>37231</c:v>
                </c:pt>
                <c:pt idx="36">
                  <c:v>37232</c:v>
                </c:pt>
                <c:pt idx="37">
                  <c:v>37233</c:v>
                </c:pt>
                <c:pt idx="38">
                  <c:v>37234</c:v>
                </c:pt>
                <c:pt idx="39">
                  <c:v>37235</c:v>
                </c:pt>
                <c:pt idx="40">
                  <c:v>37236</c:v>
                </c:pt>
              </c:numCache>
            </c:numRef>
          </c:cat>
          <c:val>
            <c:numRef>
              <c:f>DAILY!$Z$2:$Z$42</c:f>
              <c:numCache>
                <c:formatCode>0</c:formatCode>
                <c:ptCount val="41"/>
                <c:pt idx="0">
                  <c:v>455527</c:v>
                </c:pt>
                <c:pt idx="1">
                  <c:v>460527</c:v>
                </c:pt>
                <c:pt idx="2">
                  <c:v>460527</c:v>
                </c:pt>
                <c:pt idx="3">
                  <c:v>460527</c:v>
                </c:pt>
                <c:pt idx="4">
                  <c:v>460527</c:v>
                </c:pt>
                <c:pt idx="5">
                  <c:v>465527</c:v>
                </c:pt>
                <c:pt idx="6">
                  <c:v>465527</c:v>
                </c:pt>
                <c:pt idx="7">
                  <c:v>470527</c:v>
                </c:pt>
                <c:pt idx="8">
                  <c:v>470527</c:v>
                </c:pt>
                <c:pt idx="9">
                  <c:v>470527</c:v>
                </c:pt>
                <c:pt idx="10">
                  <c:v>480527</c:v>
                </c:pt>
                <c:pt idx="11">
                  <c:v>484925</c:v>
                </c:pt>
                <c:pt idx="12">
                  <c:v>489925</c:v>
                </c:pt>
                <c:pt idx="13">
                  <c:v>489925</c:v>
                </c:pt>
                <c:pt idx="14">
                  <c:v>489925</c:v>
                </c:pt>
                <c:pt idx="15">
                  <c:v>489925</c:v>
                </c:pt>
                <c:pt idx="16">
                  <c:v>436959</c:v>
                </c:pt>
                <c:pt idx="17">
                  <c:v>436959</c:v>
                </c:pt>
                <c:pt idx="18">
                  <c:v>436959</c:v>
                </c:pt>
                <c:pt idx="19">
                  <c:v>436959</c:v>
                </c:pt>
                <c:pt idx="20">
                  <c:v>436959</c:v>
                </c:pt>
                <c:pt idx="21">
                  <c:v>436959</c:v>
                </c:pt>
                <c:pt idx="22">
                  <c:v>436959</c:v>
                </c:pt>
                <c:pt idx="23">
                  <c:v>436959</c:v>
                </c:pt>
                <c:pt idx="24">
                  <c:v>436959</c:v>
                </c:pt>
                <c:pt idx="25">
                  <c:v>436959</c:v>
                </c:pt>
                <c:pt idx="26">
                  <c:v>436959</c:v>
                </c:pt>
                <c:pt idx="27">
                  <c:v>436959</c:v>
                </c:pt>
                <c:pt idx="28">
                  <c:v>436959</c:v>
                </c:pt>
                <c:pt idx="29">
                  <c:v>436959</c:v>
                </c:pt>
                <c:pt idx="30">
                  <c:v>436959</c:v>
                </c:pt>
                <c:pt idx="31">
                  <c:v>436959</c:v>
                </c:pt>
                <c:pt idx="32">
                  <c:v>436959</c:v>
                </c:pt>
                <c:pt idx="33">
                  <c:v>436959</c:v>
                </c:pt>
                <c:pt idx="34">
                  <c:v>436959</c:v>
                </c:pt>
                <c:pt idx="35">
                  <c:v>436959</c:v>
                </c:pt>
                <c:pt idx="36">
                  <c:v>436959</c:v>
                </c:pt>
                <c:pt idx="37">
                  <c:v>436959</c:v>
                </c:pt>
                <c:pt idx="38">
                  <c:v>436959</c:v>
                </c:pt>
                <c:pt idx="39">
                  <c:v>436959</c:v>
                </c:pt>
                <c:pt idx="40">
                  <c:v>436959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35280"/>
        <c:axId val="137034720"/>
      </c:lineChart>
      <c:catAx>
        <c:axId val="137035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034720"/>
        <c:crossesAt val="0"/>
        <c:auto val="0"/>
        <c:lblAlgn val="ctr"/>
        <c:lblOffset val="100"/>
        <c:tickLblSkip val="2"/>
        <c:tickMarkSkip val="1"/>
        <c:noMultiLvlLbl val="0"/>
      </c:catAx>
      <c:valAx>
        <c:axId val="137034720"/>
        <c:scaling>
          <c:orientation val="minMax"/>
          <c:max val="650000"/>
          <c:min val="-20000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035280"/>
        <c:crosses val="autoZero"/>
        <c:crossBetween val="midCat"/>
        <c:majorUnit val="150000"/>
        <c:minorUnit val="1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138073552722176"/>
          <c:y val="0.92185287841437247"/>
          <c:w val="0.12301392236283118"/>
          <c:h val="5.86337519839530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LINCOLN CENTER BURN</a:t>
            </a:r>
          </a:p>
        </c:rich>
      </c:tx>
      <c:layout>
        <c:manualLayout>
          <c:xMode val="edge"/>
          <c:yMode val="edge"/>
          <c:x val="0.34168956679871887"/>
          <c:y val="1.59241085599664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51438955304515"/>
          <c:y val="0.10509911649577862"/>
          <c:w val="0.85422391699679712"/>
          <c:h val="0.59237683843075217"/>
        </c:manualLayout>
      </c:layout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DAILY!$W$2:$W$42</c:f>
              <c:numCache>
                <c:formatCode>m/d/yyyy</c:formatCode>
                <c:ptCount val="4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  <c:pt idx="31">
                  <c:v>37227</c:v>
                </c:pt>
                <c:pt idx="32">
                  <c:v>37228</c:v>
                </c:pt>
                <c:pt idx="33">
                  <c:v>37229</c:v>
                </c:pt>
                <c:pt idx="34">
                  <c:v>37230</c:v>
                </c:pt>
                <c:pt idx="35">
                  <c:v>37231</c:v>
                </c:pt>
                <c:pt idx="36">
                  <c:v>37232</c:v>
                </c:pt>
                <c:pt idx="37">
                  <c:v>37233</c:v>
                </c:pt>
                <c:pt idx="38">
                  <c:v>37234</c:v>
                </c:pt>
                <c:pt idx="39">
                  <c:v>37235</c:v>
                </c:pt>
                <c:pt idx="40">
                  <c:v>37236</c:v>
                </c:pt>
              </c:numCache>
            </c:numRef>
          </c:cat>
          <c:val>
            <c:numRef>
              <c:f>DAILY!$AB$2:$AB$42</c:f>
              <c:numCache>
                <c:formatCode>_(* #,##0_);_(* \(#,##0\);_(* "-"??_);_(@_)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12800"/>
        <c:axId val="208513360"/>
      </c:lineChart>
      <c:catAx>
        <c:axId val="2085128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1336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08513360"/>
        <c:scaling>
          <c:orientation val="minMax"/>
          <c:max val="20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1280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51671327596394"/>
          <c:y val="0.92041347476606117"/>
          <c:w val="9.8677590411698976E-2"/>
          <c:h val="5.73267908158792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LINCOLN CENTER BANK BALANCE</a:t>
            </a:r>
          </a:p>
        </c:rich>
      </c:tx>
      <c:layout>
        <c:manualLayout>
          <c:xMode val="edge"/>
          <c:yMode val="edge"/>
          <c:x val="0.31305336419155982"/>
          <c:y val="1.5823271773062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69908478873606"/>
          <c:y val="0.10126893934760166"/>
          <c:w val="0.85509946700472361"/>
          <c:h val="0.63293087092251044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DAILY!$W$2:$W$42</c:f>
              <c:numCache>
                <c:formatCode>m/d/yyyy</c:formatCode>
                <c:ptCount val="4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  <c:pt idx="31">
                  <c:v>37227</c:v>
                </c:pt>
                <c:pt idx="32">
                  <c:v>37228</c:v>
                </c:pt>
                <c:pt idx="33">
                  <c:v>37229</c:v>
                </c:pt>
                <c:pt idx="34">
                  <c:v>37230</c:v>
                </c:pt>
                <c:pt idx="35">
                  <c:v>37231</c:v>
                </c:pt>
                <c:pt idx="36">
                  <c:v>37232</c:v>
                </c:pt>
                <c:pt idx="37">
                  <c:v>37233</c:v>
                </c:pt>
                <c:pt idx="38">
                  <c:v>37234</c:v>
                </c:pt>
                <c:pt idx="39">
                  <c:v>37235</c:v>
                </c:pt>
                <c:pt idx="40">
                  <c:v>37236</c:v>
                </c:pt>
              </c:numCache>
            </c:numRef>
          </c:cat>
          <c:val>
            <c:numRef>
              <c:f>DAILY!$AD$2:$AD$42</c:f>
              <c:numCache>
                <c:formatCode>_(* #,##0_);_(* \(#,##0\);_(* "-"??_);_(@_)</c:formatCode>
                <c:ptCount val="41"/>
                <c:pt idx="0">
                  <c:v>-2710</c:v>
                </c:pt>
                <c:pt idx="1">
                  <c:v>-2710</c:v>
                </c:pt>
                <c:pt idx="2">
                  <c:v>-2710</c:v>
                </c:pt>
                <c:pt idx="3">
                  <c:v>-2710</c:v>
                </c:pt>
                <c:pt idx="4">
                  <c:v>-2710</c:v>
                </c:pt>
                <c:pt idx="5">
                  <c:v>-2710</c:v>
                </c:pt>
                <c:pt idx="6">
                  <c:v>-2710</c:v>
                </c:pt>
                <c:pt idx="7">
                  <c:v>-2710</c:v>
                </c:pt>
                <c:pt idx="8">
                  <c:v>-2710</c:v>
                </c:pt>
                <c:pt idx="9">
                  <c:v>-2710</c:v>
                </c:pt>
                <c:pt idx="10">
                  <c:v>-2710</c:v>
                </c:pt>
                <c:pt idx="11">
                  <c:v>-2710</c:v>
                </c:pt>
                <c:pt idx="12">
                  <c:v>-2710</c:v>
                </c:pt>
                <c:pt idx="13">
                  <c:v>-2710</c:v>
                </c:pt>
                <c:pt idx="14">
                  <c:v>-2710</c:v>
                </c:pt>
                <c:pt idx="15">
                  <c:v>-2710</c:v>
                </c:pt>
                <c:pt idx="16">
                  <c:v>-2710</c:v>
                </c:pt>
                <c:pt idx="17">
                  <c:v>-2710</c:v>
                </c:pt>
                <c:pt idx="18">
                  <c:v>-2710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15600"/>
        <c:axId val="208516160"/>
      </c:lineChart>
      <c:catAx>
        <c:axId val="208515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16160"/>
        <c:crossesAt val="0"/>
        <c:auto val="0"/>
        <c:lblAlgn val="ctr"/>
        <c:lblOffset val="100"/>
        <c:tickLblSkip val="2"/>
        <c:tickMarkSkip val="1"/>
        <c:noMultiLvlLbl val="0"/>
      </c:catAx>
      <c:valAx>
        <c:axId val="208516160"/>
        <c:scaling>
          <c:orientation val="minMax"/>
          <c:max val="150000"/>
          <c:min val="-30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15600"/>
        <c:crosses val="autoZero"/>
        <c:crossBetween val="between"/>
        <c:maj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654878813524016"/>
          <c:y val="0.93990234331992795"/>
          <c:w val="0.1347868651380327"/>
          <c:h val="5.06344696738008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43696"/>
        <c:axId val="206144256"/>
      </c:lineChart>
      <c:catAx>
        <c:axId val="20614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144256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206144256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143696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33040"/>
        <c:axId val="137032480"/>
      </c:lineChart>
      <c:catAx>
        <c:axId val="13703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032480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37032480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03304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45936"/>
        <c:axId val="206146496"/>
      </c:lineChart>
      <c:catAx>
        <c:axId val="20614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146496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206146496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14593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49296"/>
        <c:axId val="206149856"/>
      </c:lineChart>
      <c:catAx>
        <c:axId val="2061492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149856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206149856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149296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52096"/>
        <c:axId val="206152656"/>
      </c:lineChart>
      <c:dateAx>
        <c:axId val="2061520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152656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206152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15209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46928"/>
        <c:axId val="206647488"/>
      </c:lineChart>
      <c:catAx>
        <c:axId val="2066469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647488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206647488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646928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0</xdr:rowOff>
    </xdr:from>
    <xdr:to>
      <xdr:col>0</xdr:col>
      <xdr:colOff>0</xdr:colOff>
      <xdr:row>64</xdr:row>
      <xdr:rowOff>95250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65</xdr:row>
      <xdr:rowOff>28575</xdr:rowOff>
    </xdr:from>
    <xdr:to>
      <xdr:col>0</xdr:col>
      <xdr:colOff>0</xdr:colOff>
      <xdr:row>82</xdr:row>
      <xdr:rowOff>47625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28575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0</xdr:col>
      <xdr:colOff>0</xdr:colOff>
      <xdr:row>64</xdr:row>
      <xdr:rowOff>95250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65</xdr:row>
      <xdr:rowOff>28575</xdr:rowOff>
    </xdr:from>
    <xdr:to>
      <xdr:col>0</xdr:col>
      <xdr:colOff>0</xdr:colOff>
      <xdr:row>82</xdr:row>
      <xdr:rowOff>47625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28575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0</xdr:col>
      <xdr:colOff>0</xdr:colOff>
      <xdr:row>64</xdr:row>
      <xdr:rowOff>95250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65</xdr:row>
      <xdr:rowOff>28575</xdr:rowOff>
    </xdr:from>
    <xdr:to>
      <xdr:col>0</xdr:col>
      <xdr:colOff>0</xdr:colOff>
      <xdr:row>82</xdr:row>
      <xdr:rowOff>47625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28575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0</xdr:col>
      <xdr:colOff>0</xdr:colOff>
      <xdr:row>64</xdr:row>
      <xdr:rowOff>95250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65</xdr:row>
      <xdr:rowOff>28575</xdr:rowOff>
    </xdr:from>
    <xdr:to>
      <xdr:col>0</xdr:col>
      <xdr:colOff>0</xdr:colOff>
      <xdr:row>82</xdr:row>
      <xdr:rowOff>47625</xdr:rowOff>
    </xdr:to>
    <xdr:graphicFrame macro="">
      <xdr:nvGraphicFramePr>
        <xdr:cNvPr id="104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4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4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28575</xdr:rowOff>
    </xdr:to>
    <xdr:graphicFrame macro="">
      <xdr:nvGraphicFramePr>
        <xdr:cNvPr id="1048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0</xdr:col>
      <xdr:colOff>0</xdr:colOff>
      <xdr:row>66</xdr:row>
      <xdr:rowOff>95250</xdr:rowOff>
    </xdr:to>
    <xdr:graphicFrame macro="">
      <xdr:nvGraphicFramePr>
        <xdr:cNvPr id="104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29</xdr:row>
      <xdr:rowOff>219075</xdr:rowOff>
    </xdr:to>
    <xdr:graphicFrame macro="">
      <xdr:nvGraphicFramePr>
        <xdr:cNvPr id="105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67</xdr:row>
      <xdr:rowOff>28575</xdr:rowOff>
    </xdr:from>
    <xdr:to>
      <xdr:col>0</xdr:col>
      <xdr:colOff>0</xdr:colOff>
      <xdr:row>84</xdr:row>
      <xdr:rowOff>47625</xdr:rowOff>
    </xdr:to>
    <xdr:graphicFrame macro="">
      <xdr:nvGraphicFramePr>
        <xdr:cNvPr id="105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29</xdr:row>
      <xdr:rowOff>219075</xdr:rowOff>
    </xdr:to>
    <xdr:graphicFrame macro="">
      <xdr:nvGraphicFramePr>
        <xdr:cNvPr id="105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0</xdr:col>
      <xdr:colOff>0</xdr:colOff>
      <xdr:row>46</xdr:row>
      <xdr:rowOff>38100</xdr:rowOff>
    </xdr:to>
    <xdr:graphicFrame macro="">
      <xdr:nvGraphicFramePr>
        <xdr:cNvPr id="105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0</xdr:col>
      <xdr:colOff>0</xdr:colOff>
      <xdr:row>46</xdr:row>
      <xdr:rowOff>28575</xdr:rowOff>
    </xdr:to>
    <xdr:graphicFrame macro="">
      <xdr:nvGraphicFramePr>
        <xdr:cNvPr id="105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0</xdr:colOff>
      <xdr:row>46</xdr:row>
      <xdr:rowOff>9525</xdr:rowOff>
    </xdr:from>
    <xdr:to>
      <xdr:col>21</xdr:col>
      <xdr:colOff>9525</xdr:colOff>
      <xdr:row>78</xdr:row>
      <xdr:rowOff>9525</xdr:rowOff>
    </xdr:to>
    <xdr:graphicFrame macro="">
      <xdr:nvGraphicFramePr>
        <xdr:cNvPr id="105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19050</xdr:colOff>
      <xdr:row>7</xdr:row>
      <xdr:rowOff>19050</xdr:rowOff>
    </xdr:from>
    <xdr:to>
      <xdr:col>13</xdr:col>
      <xdr:colOff>142875</xdr:colOff>
      <xdr:row>25</xdr:row>
      <xdr:rowOff>76200</xdr:rowOff>
    </xdr:to>
    <xdr:graphicFrame macro="">
      <xdr:nvGraphicFramePr>
        <xdr:cNvPr id="1056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</xdr:col>
      <xdr:colOff>28575</xdr:colOff>
      <xdr:row>80</xdr:row>
      <xdr:rowOff>0</xdr:rowOff>
    </xdr:from>
    <xdr:to>
      <xdr:col>20</xdr:col>
      <xdr:colOff>685800</xdr:colOff>
      <xdr:row>100</xdr:row>
      <xdr:rowOff>76200</xdr:rowOff>
    </xdr:to>
    <xdr:graphicFrame macro="">
      <xdr:nvGraphicFramePr>
        <xdr:cNvPr id="1057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276225</xdr:colOff>
      <xdr:row>7</xdr:row>
      <xdr:rowOff>19050</xdr:rowOff>
    </xdr:from>
    <xdr:to>
      <xdr:col>21</xdr:col>
      <xdr:colOff>9525</xdr:colOff>
      <xdr:row>25</xdr:row>
      <xdr:rowOff>9525</xdr:rowOff>
    </xdr:to>
    <xdr:graphicFrame macro="">
      <xdr:nvGraphicFramePr>
        <xdr:cNvPr id="1058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25</xdr:row>
      <xdr:rowOff>104775</xdr:rowOff>
    </xdr:from>
    <xdr:to>
      <xdr:col>13</xdr:col>
      <xdr:colOff>142875</xdr:colOff>
      <xdr:row>43</xdr:row>
      <xdr:rowOff>152400</xdr:rowOff>
    </xdr:to>
    <xdr:graphicFrame macro="">
      <xdr:nvGraphicFramePr>
        <xdr:cNvPr id="1059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304800</xdr:colOff>
      <xdr:row>25</xdr:row>
      <xdr:rowOff>76200</xdr:rowOff>
    </xdr:from>
    <xdr:to>
      <xdr:col>21</xdr:col>
      <xdr:colOff>28575</xdr:colOff>
      <xdr:row>43</xdr:row>
      <xdr:rowOff>142875</xdr:rowOff>
    </xdr:to>
    <xdr:graphicFrame macro="">
      <xdr:nvGraphicFramePr>
        <xdr:cNvPr id="1060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oneCellAnchor>
    <xdr:from>
      <xdr:col>2</xdr:col>
      <xdr:colOff>390525</xdr:colOff>
      <xdr:row>30</xdr:row>
      <xdr:rowOff>38100</xdr:rowOff>
    </xdr:from>
    <xdr:ext cx="95250" cy="223838"/>
    <xdr:sp macro="" textlink="">
      <xdr:nvSpPr>
        <xdr:cNvPr id="1061" name="Text Box 37"/>
        <xdr:cNvSpPr txBox="1">
          <a:spLocks noChangeArrowheads="1"/>
        </xdr:cNvSpPr>
      </xdr:nvSpPr>
      <xdr:spPr bwMode="auto">
        <a:xfrm>
          <a:off x="3905250" y="5629275"/>
          <a:ext cx="952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53" name="Text Box 5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54" name="Text Box 6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55" name="Text Box 7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56" name="Text Box 8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57" name="Text Box 9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58" name="Text Box 10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59" name="Text Box 11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60" name="Text Box 12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61" name="Text Box 13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62" name="Text Box 14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63" name="Text Box 15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64" name="Text Box 16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65" name="Text Box 17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66" name="Text Box 18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67" name="Text Box 19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68" name="Text Box 20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69" name="Text Box 21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70" name="Text Box 22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71" name="Text Box 23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2" name="Text Box 24"/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3" name="Text Box 25"/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4" name="Text Box 26"/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5" name="Text Box 27"/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6" name="Text Box 28"/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7" name="Text Box 29"/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8" name="Text Box 30"/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9" name="Text Box 31"/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80" name="Text Box 32"/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81" name="Text Box 33"/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2" name="Text Box 34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3" name="Text Box 35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4" name="Text Box 36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5" name="Text Box 37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6" name="Text Box 38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7" name="Text Box 39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8" name="Text Box 40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9" name="Text Box 41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90" name="Text Box 42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91" name="Text Box 43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92" name="Text Box 44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93" name="Text Box 45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94" name="Text Box 46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98" name="Text Box 50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102" name="Text Box 54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107" name="Text Box 59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112" name="Text Box 64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117" name="Text Box 69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390525</xdr:colOff>
      <xdr:row>30</xdr:row>
      <xdr:rowOff>38100</xdr:rowOff>
    </xdr:from>
    <xdr:ext cx="104775" cy="212725"/>
    <xdr:sp macro="" textlink="">
      <xdr:nvSpPr>
        <xdr:cNvPr id="2122" name="Text Box 74"/>
        <xdr:cNvSpPr txBox="1">
          <a:spLocks noChangeArrowheads="1"/>
        </xdr:cNvSpPr>
      </xdr:nvSpPr>
      <xdr:spPr bwMode="auto">
        <a:xfrm>
          <a:off x="39052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390525</xdr:colOff>
      <xdr:row>30</xdr:row>
      <xdr:rowOff>38100</xdr:rowOff>
    </xdr:from>
    <xdr:ext cx="104775" cy="212725"/>
    <xdr:sp macro="" textlink="">
      <xdr:nvSpPr>
        <xdr:cNvPr id="2128" name="Text Box 80"/>
        <xdr:cNvSpPr txBox="1">
          <a:spLocks noChangeArrowheads="1"/>
        </xdr:cNvSpPr>
      </xdr:nvSpPr>
      <xdr:spPr bwMode="auto">
        <a:xfrm>
          <a:off x="11991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134" name="Text Box 86"/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390525</xdr:colOff>
      <xdr:row>30</xdr:row>
      <xdr:rowOff>38100</xdr:rowOff>
    </xdr:from>
    <xdr:ext cx="104775" cy="212725"/>
    <xdr:sp macro="" textlink="">
      <xdr:nvSpPr>
        <xdr:cNvPr id="2140" name="Text Box 92"/>
        <xdr:cNvSpPr txBox="1">
          <a:spLocks noChangeArrowheads="1"/>
        </xdr:cNvSpPr>
      </xdr:nvSpPr>
      <xdr:spPr bwMode="auto">
        <a:xfrm>
          <a:off x="39052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390525</xdr:colOff>
      <xdr:row>30</xdr:row>
      <xdr:rowOff>38100</xdr:rowOff>
    </xdr:from>
    <xdr:ext cx="104775" cy="212725"/>
    <xdr:sp macro="" textlink="">
      <xdr:nvSpPr>
        <xdr:cNvPr id="2146" name="Text Box 98"/>
        <xdr:cNvSpPr txBox="1">
          <a:spLocks noChangeArrowheads="1"/>
        </xdr:cNvSpPr>
      </xdr:nvSpPr>
      <xdr:spPr bwMode="auto">
        <a:xfrm>
          <a:off x="11991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390525</xdr:colOff>
      <xdr:row>30</xdr:row>
      <xdr:rowOff>38100</xdr:rowOff>
    </xdr:from>
    <xdr:ext cx="104775" cy="212725"/>
    <xdr:sp macro="" textlink="">
      <xdr:nvSpPr>
        <xdr:cNvPr id="2152" name="Text Box 104"/>
        <xdr:cNvSpPr txBox="1">
          <a:spLocks noChangeArrowheads="1"/>
        </xdr:cNvSpPr>
      </xdr:nvSpPr>
      <xdr:spPr bwMode="auto">
        <a:xfrm>
          <a:off x="39052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390525</xdr:colOff>
      <xdr:row>30</xdr:row>
      <xdr:rowOff>38100</xdr:rowOff>
    </xdr:from>
    <xdr:ext cx="104775" cy="212725"/>
    <xdr:sp macro="" textlink="">
      <xdr:nvSpPr>
        <xdr:cNvPr id="2158" name="Text Box 110"/>
        <xdr:cNvSpPr txBox="1">
          <a:spLocks noChangeArrowheads="1"/>
        </xdr:cNvSpPr>
      </xdr:nvSpPr>
      <xdr:spPr bwMode="auto">
        <a:xfrm>
          <a:off x="11991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390525</xdr:colOff>
      <xdr:row>30</xdr:row>
      <xdr:rowOff>38100</xdr:rowOff>
    </xdr:from>
    <xdr:ext cx="104775" cy="212725"/>
    <xdr:sp macro="" textlink="">
      <xdr:nvSpPr>
        <xdr:cNvPr id="2164" name="Text Box 116"/>
        <xdr:cNvSpPr txBox="1">
          <a:spLocks noChangeArrowheads="1"/>
        </xdr:cNvSpPr>
      </xdr:nvSpPr>
      <xdr:spPr bwMode="auto">
        <a:xfrm>
          <a:off x="200977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104775" cy="212725"/>
    <xdr:sp macro="" textlink="">
      <xdr:nvSpPr>
        <xdr:cNvPr id="2170" name="Text Box 122"/>
        <xdr:cNvSpPr txBox="1">
          <a:spLocks noChangeArrowheads="1"/>
        </xdr:cNvSpPr>
      </xdr:nvSpPr>
      <xdr:spPr bwMode="auto">
        <a:xfrm>
          <a:off x="242697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104775" cy="212725"/>
    <xdr:sp macro="" textlink="">
      <xdr:nvSpPr>
        <xdr:cNvPr id="2171" name="Text Box 123"/>
        <xdr:cNvSpPr txBox="1">
          <a:spLocks noChangeArrowheads="1"/>
        </xdr:cNvSpPr>
      </xdr:nvSpPr>
      <xdr:spPr bwMode="auto">
        <a:xfrm>
          <a:off x="242697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104775" cy="212725"/>
    <xdr:sp macro="" textlink="">
      <xdr:nvSpPr>
        <xdr:cNvPr id="2172" name="Text Box 124"/>
        <xdr:cNvSpPr txBox="1">
          <a:spLocks noChangeArrowheads="1"/>
        </xdr:cNvSpPr>
      </xdr:nvSpPr>
      <xdr:spPr bwMode="auto">
        <a:xfrm>
          <a:off x="242697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104775" cy="212725"/>
    <xdr:sp macro="" textlink="">
      <xdr:nvSpPr>
        <xdr:cNvPr id="2173" name="Text Box 125"/>
        <xdr:cNvSpPr txBox="1">
          <a:spLocks noChangeArrowheads="1"/>
        </xdr:cNvSpPr>
      </xdr:nvSpPr>
      <xdr:spPr bwMode="auto">
        <a:xfrm>
          <a:off x="242697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104775" cy="212725"/>
    <xdr:sp macro="" textlink="">
      <xdr:nvSpPr>
        <xdr:cNvPr id="2174" name="Text Box 126"/>
        <xdr:cNvSpPr txBox="1">
          <a:spLocks noChangeArrowheads="1"/>
        </xdr:cNvSpPr>
      </xdr:nvSpPr>
      <xdr:spPr bwMode="auto">
        <a:xfrm>
          <a:off x="242697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104775" cy="212725"/>
    <xdr:sp macro="" textlink="">
      <xdr:nvSpPr>
        <xdr:cNvPr id="2175" name="Text Box 127"/>
        <xdr:cNvSpPr txBox="1">
          <a:spLocks noChangeArrowheads="1"/>
        </xdr:cNvSpPr>
      </xdr:nvSpPr>
      <xdr:spPr bwMode="auto">
        <a:xfrm>
          <a:off x="242697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104775" cy="212725"/>
    <xdr:sp macro="" textlink="">
      <xdr:nvSpPr>
        <xdr:cNvPr id="2176" name="Text Box 128"/>
        <xdr:cNvSpPr txBox="1">
          <a:spLocks noChangeArrowheads="1"/>
        </xdr:cNvSpPr>
      </xdr:nvSpPr>
      <xdr:spPr bwMode="auto">
        <a:xfrm>
          <a:off x="242697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104775" cy="212725"/>
    <xdr:sp macro="" textlink="">
      <xdr:nvSpPr>
        <xdr:cNvPr id="2177" name="Text Box 129"/>
        <xdr:cNvSpPr txBox="1">
          <a:spLocks noChangeArrowheads="1"/>
        </xdr:cNvSpPr>
      </xdr:nvSpPr>
      <xdr:spPr bwMode="auto">
        <a:xfrm>
          <a:off x="242697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104775" cy="212725"/>
    <xdr:sp macro="" textlink="">
      <xdr:nvSpPr>
        <xdr:cNvPr id="2178" name="Text Box 130"/>
        <xdr:cNvSpPr txBox="1">
          <a:spLocks noChangeArrowheads="1"/>
        </xdr:cNvSpPr>
      </xdr:nvSpPr>
      <xdr:spPr bwMode="auto">
        <a:xfrm>
          <a:off x="242697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104775" cy="212725"/>
    <xdr:sp macro="" textlink="">
      <xdr:nvSpPr>
        <xdr:cNvPr id="2179" name="Text Box 131"/>
        <xdr:cNvSpPr txBox="1">
          <a:spLocks noChangeArrowheads="1"/>
        </xdr:cNvSpPr>
      </xdr:nvSpPr>
      <xdr:spPr bwMode="auto">
        <a:xfrm>
          <a:off x="242697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104775" cy="212725"/>
    <xdr:sp macro="" textlink="">
      <xdr:nvSpPr>
        <xdr:cNvPr id="2180" name="Text Box 132"/>
        <xdr:cNvSpPr txBox="1">
          <a:spLocks noChangeArrowheads="1"/>
        </xdr:cNvSpPr>
      </xdr:nvSpPr>
      <xdr:spPr bwMode="auto">
        <a:xfrm>
          <a:off x="242697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390525</xdr:colOff>
      <xdr:row>30</xdr:row>
      <xdr:rowOff>38100</xdr:rowOff>
    </xdr:from>
    <xdr:ext cx="104775" cy="212725"/>
    <xdr:sp macro="" textlink="">
      <xdr:nvSpPr>
        <xdr:cNvPr id="2181" name="Text Box 133"/>
        <xdr:cNvSpPr txBox="1">
          <a:spLocks noChangeArrowheads="1"/>
        </xdr:cNvSpPr>
      </xdr:nvSpPr>
      <xdr:spPr bwMode="auto">
        <a:xfrm>
          <a:off x="281654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104775" cy="212725"/>
    <xdr:sp macro="" textlink="">
      <xdr:nvSpPr>
        <xdr:cNvPr id="2187" name="Text Box 139"/>
        <xdr:cNvSpPr txBox="1">
          <a:spLocks noChangeArrowheads="1"/>
        </xdr:cNvSpPr>
      </xdr:nvSpPr>
      <xdr:spPr bwMode="auto">
        <a:xfrm>
          <a:off x="323373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104775" cy="212725"/>
    <xdr:sp macro="" textlink="">
      <xdr:nvSpPr>
        <xdr:cNvPr id="2188" name="Text Box 140"/>
        <xdr:cNvSpPr txBox="1">
          <a:spLocks noChangeArrowheads="1"/>
        </xdr:cNvSpPr>
      </xdr:nvSpPr>
      <xdr:spPr bwMode="auto">
        <a:xfrm>
          <a:off x="323373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104775" cy="212725"/>
    <xdr:sp macro="" textlink="">
      <xdr:nvSpPr>
        <xdr:cNvPr id="2189" name="Text Box 141"/>
        <xdr:cNvSpPr txBox="1">
          <a:spLocks noChangeArrowheads="1"/>
        </xdr:cNvSpPr>
      </xdr:nvSpPr>
      <xdr:spPr bwMode="auto">
        <a:xfrm>
          <a:off x="323373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104775" cy="212725"/>
    <xdr:sp macro="" textlink="">
      <xdr:nvSpPr>
        <xdr:cNvPr id="2190" name="Text Box 142"/>
        <xdr:cNvSpPr txBox="1">
          <a:spLocks noChangeArrowheads="1"/>
        </xdr:cNvSpPr>
      </xdr:nvSpPr>
      <xdr:spPr bwMode="auto">
        <a:xfrm>
          <a:off x="323373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104775" cy="212725"/>
    <xdr:sp macro="" textlink="">
      <xdr:nvSpPr>
        <xdr:cNvPr id="2191" name="Text Box 143"/>
        <xdr:cNvSpPr txBox="1">
          <a:spLocks noChangeArrowheads="1"/>
        </xdr:cNvSpPr>
      </xdr:nvSpPr>
      <xdr:spPr bwMode="auto">
        <a:xfrm>
          <a:off x="323373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104775" cy="212725"/>
    <xdr:sp macro="" textlink="">
      <xdr:nvSpPr>
        <xdr:cNvPr id="2192" name="Text Box 144"/>
        <xdr:cNvSpPr txBox="1">
          <a:spLocks noChangeArrowheads="1"/>
        </xdr:cNvSpPr>
      </xdr:nvSpPr>
      <xdr:spPr bwMode="auto">
        <a:xfrm>
          <a:off x="323373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104775" cy="212725"/>
    <xdr:sp macro="" textlink="">
      <xdr:nvSpPr>
        <xdr:cNvPr id="2193" name="Text Box 145"/>
        <xdr:cNvSpPr txBox="1">
          <a:spLocks noChangeArrowheads="1"/>
        </xdr:cNvSpPr>
      </xdr:nvSpPr>
      <xdr:spPr bwMode="auto">
        <a:xfrm>
          <a:off x="323373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104775" cy="212725"/>
    <xdr:sp macro="" textlink="">
      <xdr:nvSpPr>
        <xdr:cNvPr id="2194" name="Text Box 146"/>
        <xdr:cNvSpPr txBox="1">
          <a:spLocks noChangeArrowheads="1"/>
        </xdr:cNvSpPr>
      </xdr:nvSpPr>
      <xdr:spPr bwMode="auto">
        <a:xfrm>
          <a:off x="323373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104775" cy="212725"/>
    <xdr:sp macro="" textlink="">
      <xdr:nvSpPr>
        <xdr:cNvPr id="2195" name="Text Box 147"/>
        <xdr:cNvSpPr txBox="1">
          <a:spLocks noChangeArrowheads="1"/>
        </xdr:cNvSpPr>
      </xdr:nvSpPr>
      <xdr:spPr bwMode="auto">
        <a:xfrm>
          <a:off x="323373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104775" cy="212725"/>
    <xdr:sp macro="" textlink="">
      <xdr:nvSpPr>
        <xdr:cNvPr id="2196" name="Text Box 148"/>
        <xdr:cNvSpPr txBox="1">
          <a:spLocks noChangeArrowheads="1"/>
        </xdr:cNvSpPr>
      </xdr:nvSpPr>
      <xdr:spPr bwMode="auto">
        <a:xfrm>
          <a:off x="323373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104775" cy="212725"/>
    <xdr:sp macro="" textlink="">
      <xdr:nvSpPr>
        <xdr:cNvPr id="2197" name="Text Box 149"/>
        <xdr:cNvSpPr txBox="1">
          <a:spLocks noChangeArrowheads="1"/>
        </xdr:cNvSpPr>
      </xdr:nvSpPr>
      <xdr:spPr bwMode="auto">
        <a:xfrm>
          <a:off x="323373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104775" cy="212725"/>
    <xdr:sp macro="" textlink="">
      <xdr:nvSpPr>
        <xdr:cNvPr id="2198" name="Text Box 150"/>
        <xdr:cNvSpPr txBox="1">
          <a:spLocks noChangeArrowheads="1"/>
        </xdr:cNvSpPr>
      </xdr:nvSpPr>
      <xdr:spPr bwMode="auto">
        <a:xfrm>
          <a:off x="323373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NATTS\ARUBA\Alcatraz\qu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eolquote"/>
      <sheetName val="gas supply deal"/>
      <sheetName val="WKEND SENDOUT"/>
      <sheetName val="Sheet2"/>
      <sheetName val="nng ventura"/>
      <sheetName val="SENDOUT"/>
      <sheetName val="ngpl dss deal"/>
      <sheetName val="gage (sept)"/>
      <sheetName val="ANR"/>
      <sheetName val="Cary"/>
      <sheetName val="Richie"/>
      <sheetName val="CHICAGO PRICES"/>
      <sheetName val="gage ga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B2">
            <v>36770</v>
          </cell>
          <cell r="AC2">
            <v>66453</v>
          </cell>
          <cell r="AD2">
            <v>190431</v>
          </cell>
          <cell r="AE2">
            <v>70212</v>
          </cell>
          <cell r="AF2">
            <v>-66665</v>
          </cell>
          <cell r="AH2">
            <v>36770</v>
          </cell>
          <cell r="AI2">
            <v>271986</v>
          </cell>
          <cell r="AJ2">
            <v>271986</v>
          </cell>
          <cell r="AL2">
            <v>36770</v>
          </cell>
          <cell r="AM2">
            <v>145517</v>
          </cell>
        </row>
        <row r="3">
          <cell r="AB3">
            <v>36771</v>
          </cell>
          <cell r="AC3">
            <v>21735</v>
          </cell>
          <cell r="AD3">
            <v>188696</v>
          </cell>
          <cell r="AE3">
            <v>10</v>
          </cell>
          <cell r="AF3">
            <v>-51703</v>
          </cell>
          <cell r="AH3">
            <v>36771</v>
          </cell>
          <cell r="AI3">
            <v>215041</v>
          </cell>
          <cell r="AJ3">
            <v>215041</v>
          </cell>
          <cell r="AL3">
            <v>36771</v>
          </cell>
          <cell r="AM3">
            <v>175311</v>
          </cell>
        </row>
        <row r="4">
          <cell r="AB4">
            <v>36772</v>
          </cell>
          <cell r="AC4">
            <v>0</v>
          </cell>
          <cell r="AD4">
            <v>208354</v>
          </cell>
          <cell r="AE4">
            <v>10</v>
          </cell>
          <cell r="AF4">
            <v>-26758</v>
          </cell>
          <cell r="AH4">
            <v>36772</v>
          </cell>
          <cell r="AI4">
            <v>190000</v>
          </cell>
          <cell r="AJ4">
            <v>190000</v>
          </cell>
          <cell r="AL4">
            <v>36772</v>
          </cell>
          <cell r="AM4">
            <v>169521</v>
          </cell>
        </row>
        <row r="5">
          <cell r="AB5">
            <v>36773</v>
          </cell>
          <cell r="AC5">
            <v>0</v>
          </cell>
          <cell r="AD5">
            <v>228012</v>
          </cell>
          <cell r="AE5">
            <v>10</v>
          </cell>
          <cell r="AF5">
            <v>-6768</v>
          </cell>
          <cell r="AH5">
            <v>36773</v>
          </cell>
          <cell r="AI5">
            <v>223000</v>
          </cell>
          <cell r="AJ5">
            <v>223000</v>
          </cell>
          <cell r="AL5">
            <v>36773</v>
          </cell>
          <cell r="AM5">
            <v>175636</v>
          </cell>
        </row>
        <row r="6">
          <cell r="AB6">
            <v>36774</v>
          </cell>
          <cell r="AC6">
            <v>0</v>
          </cell>
          <cell r="AD6">
            <v>247670</v>
          </cell>
          <cell r="AE6">
            <v>10</v>
          </cell>
          <cell r="AF6">
            <v>-6778</v>
          </cell>
          <cell r="AH6">
            <v>36774</v>
          </cell>
          <cell r="AI6">
            <v>253395</v>
          </cell>
          <cell r="AJ6">
            <v>253395</v>
          </cell>
          <cell r="AL6">
            <v>36774</v>
          </cell>
          <cell r="AM6">
            <v>174951</v>
          </cell>
        </row>
        <row r="7">
          <cell r="AB7">
            <v>36775</v>
          </cell>
          <cell r="AC7">
            <v>0</v>
          </cell>
          <cell r="AD7">
            <v>267328</v>
          </cell>
          <cell r="AE7">
            <v>10</v>
          </cell>
          <cell r="AF7">
            <v>-6788</v>
          </cell>
          <cell r="AH7">
            <v>36775</v>
          </cell>
          <cell r="AI7">
            <v>253852</v>
          </cell>
          <cell r="AJ7">
            <v>253852</v>
          </cell>
          <cell r="AL7">
            <v>36775</v>
          </cell>
          <cell r="AM7">
            <v>151882</v>
          </cell>
        </row>
        <row r="8">
          <cell r="AB8">
            <v>36776</v>
          </cell>
          <cell r="AC8">
            <v>60449</v>
          </cell>
          <cell r="AD8">
            <v>226879</v>
          </cell>
          <cell r="AE8">
            <v>10</v>
          </cell>
          <cell r="AF8">
            <v>-6798</v>
          </cell>
          <cell r="AH8">
            <v>36776</v>
          </cell>
          <cell r="AI8">
            <v>252690</v>
          </cell>
          <cell r="AJ8">
            <v>252690</v>
          </cell>
          <cell r="AL8">
            <v>36776</v>
          </cell>
          <cell r="AM8">
            <v>149644</v>
          </cell>
        </row>
        <row r="9">
          <cell r="AB9">
            <v>36777</v>
          </cell>
          <cell r="AC9">
            <v>59968</v>
          </cell>
          <cell r="AD9">
            <v>166911</v>
          </cell>
          <cell r="AE9">
            <v>10</v>
          </cell>
          <cell r="AF9">
            <v>-6808</v>
          </cell>
          <cell r="AH9">
            <v>36777</v>
          </cell>
          <cell r="AI9">
            <v>234709</v>
          </cell>
          <cell r="AJ9">
            <v>234709</v>
          </cell>
          <cell r="AL9">
            <v>36777</v>
          </cell>
          <cell r="AM9">
            <v>141843</v>
          </cell>
        </row>
        <row r="10">
          <cell r="AB10">
            <v>36778</v>
          </cell>
          <cell r="AC10">
            <v>26249</v>
          </cell>
          <cell r="AD10">
            <v>190255.8579</v>
          </cell>
          <cell r="AE10">
            <v>10</v>
          </cell>
          <cell r="AF10">
            <v>-4568</v>
          </cell>
          <cell r="AH10">
            <v>36778</v>
          </cell>
          <cell r="AI10">
            <v>206740</v>
          </cell>
          <cell r="AJ10">
            <v>206740</v>
          </cell>
          <cell r="AL10">
            <v>36778</v>
          </cell>
          <cell r="AM10">
            <v>152372</v>
          </cell>
        </row>
        <row r="11">
          <cell r="AB11">
            <v>36779</v>
          </cell>
          <cell r="AC11">
            <v>3220</v>
          </cell>
          <cell r="AD11">
            <v>236235.91990000001</v>
          </cell>
          <cell r="AE11">
            <v>10</v>
          </cell>
          <cell r="AF11">
            <v>-2328</v>
          </cell>
          <cell r="AH11">
            <v>36779</v>
          </cell>
          <cell r="AI11">
            <v>219834</v>
          </cell>
          <cell r="AJ11">
            <v>219834</v>
          </cell>
          <cell r="AL11">
            <v>36779</v>
          </cell>
          <cell r="AM11">
            <v>152322</v>
          </cell>
        </row>
        <row r="12">
          <cell r="AB12">
            <v>36780</v>
          </cell>
          <cell r="AC12">
            <v>33982</v>
          </cell>
          <cell r="AD12">
            <v>251980.01209999999</v>
          </cell>
          <cell r="AE12">
            <v>17041</v>
          </cell>
          <cell r="AF12">
            <v>2881</v>
          </cell>
          <cell r="AH12">
            <v>36780</v>
          </cell>
          <cell r="AI12">
            <v>257926</v>
          </cell>
          <cell r="AJ12">
            <v>257926</v>
          </cell>
          <cell r="AL12">
            <v>36780</v>
          </cell>
          <cell r="AM12">
            <v>151972</v>
          </cell>
        </row>
        <row r="13">
          <cell r="AB13">
            <v>36781</v>
          </cell>
          <cell r="AC13">
            <v>24286</v>
          </cell>
          <cell r="AD13">
            <v>277254.3027</v>
          </cell>
          <cell r="AE13">
            <v>10</v>
          </cell>
          <cell r="AF13">
            <v>2871</v>
          </cell>
          <cell r="AH13">
            <v>36781</v>
          </cell>
          <cell r="AI13">
            <v>251589</v>
          </cell>
          <cell r="AJ13">
            <v>251589</v>
          </cell>
          <cell r="AL13">
            <v>36781</v>
          </cell>
          <cell r="AM13">
            <v>154619</v>
          </cell>
        </row>
        <row r="14">
          <cell r="AB14">
            <v>36782</v>
          </cell>
          <cell r="AC14">
            <v>28430</v>
          </cell>
          <cell r="AD14">
            <v>298455.45569999999</v>
          </cell>
          <cell r="AE14">
            <v>10</v>
          </cell>
          <cell r="AF14">
            <v>2861</v>
          </cell>
          <cell r="AH14">
            <v>36782</v>
          </cell>
          <cell r="AI14">
            <v>246443</v>
          </cell>
          <cell r="AJ14">
            <v>246443</v>
          </cell>
          <cell r="AL14">
            <v>36782</v>
          </cell>
          <cell r="AM14">
            <v>138783</v>
          </cell>
        </row>
        <row r="15">
          <cell r="AB15">
            <v>36783</v>
          </cell>
          <cell r="AC15">
            <v>21687</v>
          </cell>
          <cell r="AD15">
            <v>276768.45569999999</v>
          </cell>
          <cell r="AE15">
            <v>10</v>
          </cell>
          <cell r="AF15">
            <v>2851</v>
          </cell>
          <cell r="AH15">
            <v>36783</v>
          </cell>
          <cell r="AI15">
            <v>251946</v>
          </cell>
          <cell r="AJ15">
            <v>251946</v>
          </cell>
          <cell r="AL15">
            <v>36783</v>
          </cell>
          <cell r="AM15">
            <v>151157</v>
          </cell>
        </row>
        <row r="16">
          <cell r="AB16">
            <v>36784</v>
          </cell>
          <cell r="AC16">
            <v>0</v>
          </cell>
          <cell r="AD16">
            <v>296426.45569999999</v>
          </cell>
          <cell r="AE16">
            <v>498</v>
          </cell>
          <cell r="AF16">
            <v>2353</v>
          </cell>
          <cell r="AH16">
            <v>36784</v>
          </cell>
          <cell r="AI16">
            <v>271866</v>
          </cell>
          <cell r="AJ16">
            <v>271866</v>
          </cell>
          <cell r="AL16">
            <v>36784</v>
          </cell>
          <cell r="AM16">
            <v>150550</v>
          </cell>
        </row>
        <row r="17">
          <cell r="AB17">
            <v>36785</v>
          </cell>
          <cell r="AC17">
            <v>0</v>
          </cell>
          <cell r="AD17">
            <v>316084.45569999999</v>
          </cell>
          <cell r="AE17">
            <v>10</v>
          </cell>
          <cell r="AF17">
            <v>2343</v>
          </cell>
          <cell r="AH17">
            <v>36785</v>
          </cell>
          <cell r="AI17">
            <v>243751</v>
          </cell>
          <cell r="AJ17">
            <v>243751</v>
          </cell>
          <cell r="AL17">
            <v>36785</v>
          </cell>
          <cell r="AM17">
            <v>147765</v>
          </cell>
        </row>
        <row r="18">
          <cell r="AB18">
            <v>36786</v>
          </cell>
          <cell r="AC18">
            <v>0</v>
          </cell>
          <cell r="AD18">
            <v>335742.45569999999</v>
          </cell>
          <cell r="AE18">
            <v>10</v>
          </cell>
          <cell r="AF18">
            <v>2333</v>
          </cell>
          <cell r="AH18">
            <v>36786</v>
          </cell>
          <cell r="AI18">
            <v>237705</v>
          </cell>
          <cell r="AJ18">
            <v>237705</v>
          </cell>
          <cell r="AL18">
            <v>36786</v>
          </cell>
          <cell r="AM18">
            <v>147792</v>
          </cell>
        </row>
        <row r="19">
          <cell r="AB19">
            <v>36787</v>
          </cell>
          <cell r="AC19">
            <v>81658</v>
          </cell>
          <cell r="AD19">
            <v>274084.45569999999</v>
          </cell>
          <cell r="AE19">
            <v>10</v>
          </cell>
          <cell r="AF19">
            <v>2323</v>
          </cell>
          <cell r="AH19">
            <v>36787</v>
          </cell>
          <cell r="AI19">
            <v>250000</v>
          </cell>
          <cell r="AJ19">
            <v>251462</v>
          </cell>
          <cell r="AL19">
            <v>36787</v>
          </cell>
          <cell r="AM19">
            <v>147092</v>
          </cell>
        </row>
        <row r="20">
          <cell r="AB20">
            <v>36788</v>
          </cell>
          <cell r="AC20">
            <v>38400</v>
          </cell>
          <cell r="AD20">
            <v>255684.45569999999</v>
          </cell>
          <cell r="AE20">
            <v>10</v>
          </cell>
          <cell r="AF20">
            <v>2313</v>
          </cell>
          <cell r="AH20">
            <v>36788</v>
          </cell>
          <cell r="AI20">
            <v>252000</v>
          </cell>
          <cell r="AJ20">
            <v>238627</v>
          </cell>
          <cell r="AL20">
            <v>36788</v>
          </cell>
          <cell r="AM20">
            <v>172170</v>
          </cell>
        </row>
        <row r="21">
          <cell r="AB21">
            <v>36789</v>
          </cell>
          <cell r="AC21">
            <v>0</v>
          </cell>
          <cell r="AD21">
            <v>305684.45569999999</v>
          </cell>
          <cell r="AE21">
            <v>10</v>
          </cell>
          <cell r="AF21">
            <v>2303</v>
          </cell>
          <cell r="AH21">
            <v>36789</v>
          </cell>
          <cell r="AI21">
            <v>258000</v>
          </cell>
          <cell r="AJ21">
            <v>293010</v>
          </cell>
          <cell r="AL21">
            <v>36789</v>
          </cell>
          <cell r="AM21">
            <v>150209</v>
          </cell>
        </row>
        <row r="22">
          <cell r="AB22">
            <v>36790</v>
          </cell>
          <cell r="AC22">
            <v>0</v>
          </cell>
          <cell r="AD22">
            <v>305684.45569999999</v>
          </cell>
          <cell r="AE22">
            <v>10</v>
          </cell>
          <cell r="AF22">
            <v>2293</v>
          </cell>
          <cell r="AH22">
            <v>36790</v>
          </cell>
          <cell r="AI22">
            <v>305000</v>
          </cell>
          <cell r="AJ22">
            <v>297613</v>
          </cell>
          <cell r="AL22">
            <v>36790</v>
          </cell>
          <cell r="AM22">
            <v>157505</v>
          </cell>
        </row>
        <row r="23">
          <cell r="AB23">
            <v>36791</v>
          </cell>
          <cell r="AC23">
            <v>0</v>
          </cell>
          <cell r="AD23">
            <v>305684.45569999999</v>
          </cell>
          <cell r="AE23">
            <v>10</v>
          </cell>
          <cell r="AF23">
            <v>2283</v>
          </cell>
          <cell r="AH23">
            <v>36791</v>
          </cell>
          <cell r="AI23">
            <v>279000</v>
          </cell>
          <cell r="AJ23">
            <v>279524</v>
          </cell>
          <cell r="AL23">
            <v>36791</v>
          </cell>
          <cell r="AM23">
            <v>160398</v>
          </cell>
        </row>
        <row r="24">
          <cell r="AB24">
            <v>36792</v>
          </cell>
          <cell r="AC24">
            <v>0</v>
          </cell>
          <cell r="AD24">
            <v>305684.45569999999</v>
          </cell>
          <cell r="AE24">
            <v>10</v>
          </cell>
          <cell r="AF24">
            <v>2273</v>
          </cell>
          <cell r="AH24">
            <v>36792</v>
          </cell>
          <cell r="AI24">
            <v>250000</v>
          </cell>
          <cell r="AJ24">
            <v>259718</v>
          </cell>
          <cell r="AL24">
            <v>36792</v>
          </cell>
          <cell r="AM24">
            <v>149216</v>
          </cell>
        </row>
        <row r="25">
          <cell r="AB25">
            <v>36793</v>
          </cell>
          <cell r="AC25">
            <v>0</v>
          </cell>
          <cell r="AD25">
            <v>305684.45569999999</v>
          </cell>
          <cell r="AE25">
            <v>10</v>
          </cell>
          <cell r="AF25">
            <v>2263</v>
          </cell>
          <cell r="AH25">
            <v>36793</v>
          </cell>
          <cell r="AI25">
            <v>463000</v>
          </cell>
          <cell r="AJ25">
            <v>361520</v>
          </cell>
          <cell r="AL25">
            <v>36793</v>
          </cell>
          <cell r="AM25">
            <v>149106</v>
          </cell>
        </row>
        <row r="26">
          <cell r="AB26">
            <v>36794</v>
          </cell>
          <cell r="AC26">
            <v>0</v>
          </cell>
          <cell r="AD26">
            <v>305684.45569999999</v>
          </cell>
          <cell r="AE26">
            <v>10</v>
          </cell>
          <cell r="AF26">
            <v>2253</v>
          </cell>
          <cell r="AH26">
            <v>36794</v>
          </cell>
          <cell r="AI26">
            <v>476000</v>
          </cell>
          <cell r="AJ26">
            <v>474825</v>
          </cell>
          <cell r="AL26">
            <v>36794</v>
          </cell>
          <cell r="AM26">
            <v>148256</v>
          </cell>
        </row>
        <row r="27">
          <cell r="AB27">
            <v>36795</v>
          </cell>
          <cell r="AC27">
            <v>0</v>
          </cell>
          <cell r="AD27">
            <v>305684.45569999999</v>
          </cell>
          <cell r="AE27">
            <v>10</v>
          </cell>
          <cell r="AF27">
            <v>2243</v>
          </cell>
          <cell r="AH27">
            <v>36795</v>
          </cell>
          <cell r="AI27">
            <v>376000</v>
          </cell>
          <cell r="AJ27">
            <v>364951</v>
          </cell>
          <cell r="AL27">
            <v>36795</v>
          </cell>
          <cell r="AM27">
            <v>154560</v>
          </cell>
        </row>
        <row r="28">
          <cell r="AB28">
            <v>36796</v>
          </cell>
          <cell r="AC28">
            <v>0</v>
          </cell>
          <cell r="AD28">
            <v>305684.45569999999</v>
          </cell>
          <cell r="AE28">
            <v>10</v>
          </cell>
          <cell r="AF28">
            <v>2233</v>
          </cell>
          <cell r="AH28">
            <v>36796</v>
          </cell>
          <cell r="AI28">
            <v>388000</v>
          </cell>
          <cell r="AJ28">
            <v>365702</v>
          </cell>
          <cell r="AL28">
            <v>36796</v>
          </cell>
          <cell r="AM28">
            <v>148298</v>
          </cell>
        </row>
        <row r="29">
          <cell r="AB29">
            <v>36797</v>
          </cell>
          <cell r="AC29">
            <v>0</v>
          </cell>
          <cell r="AD29">
            <v>305684.45569999999</v>
          </cell>
          <cell r="AE29">
            <v>10</v>
          </cell>
          <cell r="AF29">
            <v>2223</v>
          </cell>
          <cell r="AH29">
            <v>36797</v>
          </cell>
          <cell r="AI29">
            <v>372000</v>
          </cell>
          <cell r="AL29">
            <v>36797</v>
          </cell>
          <cell r="AM29">
            <v>152983</v>
          </cell>
        </row>
        <row r="30">
          <cell r="AB30">
            <v>36798</v>
          </cell>
          <cell r="AC30">
            <v>0</v>
          </cell>
          <cell r="AD30">
            <v>305684.45569999999</v>
          </cell>
          <cell r="AE30">
            <v>10</v>
          </cell>
          <cell r="AF30">
            <v>2213</v>
          </cell>
          <cell r="AH30">
            <v>36798</v>
          </cell>
          <cell r="AI30">
            <v>292000</v>
          </cell>
          <cell r="AL30">
            <v>36798</v>
          </cell>
          <cell r="AM30">
            <v>180458</v>
          </cell>
        </row>
        <row r="31">
          <cell r="AB31">
            <v>36799</v>
          </cell>
          <cell r="AC31">
            <v>0</v>
          </cell>
          <cell r="AD31">
            <v>305684.45569999999</v>
          </cell>
          <cell r="AE31">
            <v>10</v>
          </cell>
          <cell r="AF31">
            <v>2203</v>
          </cell>
          <cell r="AH31">
            <v>36799</v>
          </cell>
          <cell r="AI31">
            <v>233000</v>
          </cell>
          <cell r="AL31">
            <v>36799</v>
          </cell>
          <cell r="AM31">
            <v>180458</v>
          </cell>
        </row>
        <row r="32">
          <cell r="AB32">
            <v>36800</v>
          </cell>
          <cell r="AC32">
            <v>0</v>
          </cell>
          <cell r="AD32">
            <v>305684.45569999999</v>
          </cell>
          <cell r="AE32">
            <v>10</v>
          </cell>
          <cell r="AF32">
            <v>2193</v>
          </cell>
          <cell r="AH32">
            <v>36800</v>
          </cell>
          <cell r="AI32">
            <v>258000</v>
          </cell>
          <cell r="AL32">
            <v>36800</v>
          </cell>
          <cell r="AM32">
            <v>218710</v>
          </cell>
        </row>
        <row r="33">
          <cell r="AH33">
            <v>36801</v>
          </cell>
          <cell r="AI33">
            <v>282000</v>
          </cell>
          <cell r="AL33">
            <v>36801</v>
          </cell>
          <cell r="AM33">
            <v>218240</v>
          </cell>
        </row>
        <row r="34">
          <cell r="AH34">
            <v>36802</v>
          </cell>
          <cell r="AI34">
            <v>266000</v>
          </cell>
          <cell r="AL34">
            <v>36802</v>
          </cell>
          <cell r="AM34">
            <v>218240</v>
          </cell>
        </row>
        <row r="35">
          <cell r="AH35">
            <v>36803</v>
          </cell>
          <cell r="AI35">
            <v>352000</v>
          </cell>
          <cell r="AL35">
            <v>36803</v>
          </cell>
        </row>
        <row r="36">
          <cell r="AH36">
            <v>36804</v>
          </cell>
          <cell r="AI36">
            <v>517000</v>
          </cell>
          <cell r="AL36">
            <v>36804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M65"/>
  <sheetViews>
    <sheetView tabSelected="1" zoomScale="80" workbookViewId="0">
      <pane ySplit="1" topLeftCell="A2" activePane="bottomLeft" state="frozenSplit"/>
      <selection pane="bottomLeft" activeCell="D1" sqref="D1"/>
    </sheetView>
  </sheetViews>
  <sheetFormatPr defaultRowHeight="12.75" x14ac:dyDescent="0.2"/>
  <cols>
    <col min="1" max="1" width="41.28515625" style="2" customWidth="1"/>
    <col min="2" max="2" width="11.42578125" style="2" bestFit="1" customWidth="1"/>
    <col min="3" max="3" width="12.28515625" style="2" bestFit="1" customWidth="1"/>
    <col min="4" max="4" width="37.28515625" style="2" customWidth="1"/>
    <col min="5" max="5" width="12.42578125" style="2" bestFit="1" customWidth="1"/>
    <col min="6" max="6" width="12.140625" style="2" customWidth="1"/>
    <col min="7" max="7" width="12.28515625" style="2" bestFit="1" customWidth="1"/>
    <col min="8" max="8" width="11.5703125" style="2" customWidth="1"/>
    <col min="9" max="9" width="11.85546875" style="2" customWidth="1"/>
    <col min="10" max="10" width="18.140625" style="2" bestFit="1" customWidth="1"/>
    <col min="11" max="12" width="13.7109375" style="2" customWidth="1"/>
    <col min="13" max="13" width="13.5703125" style="2" customWidth="1"/>
    <col min="14" max="14" width="9.140625" style="2"/>
    <col min="15" max="15" width="19" style="2" customWidth="1"/>
    <col min="16" max="16" width="10.7109375" style="2" bestFit="1" customWidth="1"/>
    <col min="17" max="17" width="11.85546875" style="2" bestFit="1" customWidth="1"/>
    <col min="18" max="18" width="10" style="2" bestFit="1" customWidth="1"/>
    <col min="19" max="19" width="20.7109375" style="2" customWidth="1"/>
    <col min="20" max="20" width="10.7109375" style="2" bestFit="1" customWidth="1"/>
    <col min="21" max="21" width="10.5703125" style="2" bestFit="1" customWidth="1"/>
    <col min="22" max="22" width="3.140625" style="2" customWidth="1"/>
    <col min="23" max="23" width="11.85546875" style="2" bestFit="1" customWidth="1"/>
    <col min="24" max="24" width="10.28515625" style="2" customWidth="1"/>
    <col min="25" max="25" width="12.28515625" style="2" bestFit="1" customWidth="1"/>
    <col min="26" max="26" width="9.85546875" style="2" customWidth="1"/>
    <col min="27" max="27" width="2" style="2" customWidth="1"/>
    <col min="28" max="30" width="9.28515625" style="2" bestFit="1" customWidth="1"/>
    <col min="31" max="31" width="10.42578125" style="2" bestFit="1" customWidth="1"/>
    <col min="32" max="32" width="13.7109375" style="2" customWidth="1"/>
    <col min="33" max="33" width="17" style="2" customWidth="1"/>
    <col min="34" max="34" width="20.140625" style="2" customWidth="1"/>
    <col min="35" max="35" width="9.140625" style="2"/>
    <col min="36" max="36" width="15.42578125" style="2" customWidth="1"/>
    <col min="37" max="37" width="14.7109375" style="2" customWidth="1"/>
    <col min="38" max="38" width="16.5703125" style="2" customWidth="1"/>
    <col min="39" max="16384" width="9.140625" style="2"/>
  </cols>
  <sheetData>
    <row r="1" spans="1:39" ht="51" customHeight="1" thickBot="1" x14ac:dyDescent="0.25">
      <c r="A1" s="2" t="s">
        <v>0</v>
      </c>
      <c r="B1" s="3">
        <f ca="1">TODAY()</f>
        <v>41885</v>
      </c>
      <c r="F1" s="4" t="s">
        <v>1</v>
      </c>
      <c r="G1" s="5">
        <v>575000</v>
      </c>
      <c r="H1" s="6"/>
      <c r="I1" s="7" t="s">
        <v>2</v>
      </c>
      <c r="J1" s="8">
        <v>94000</v>
      </c>
      <c r="O1" s="42" t="s">
        <v>3</v>
      </c>
      <c r="P1" s="11">
        <f ca="1">TODAY()+2</f>
        <v>41887</v>
      </c>
      <c r="Q1" s="12">
        <v>600000</v>
      </c>
      <c r="S1" s="42" t="s">
        <v>4</v>
      </c>
      <c r="T1" s="11">
        <f ca="1">TODAY()+2</f>
        <v>41887</v>
      </c>
      <c r="U1" s="12">
        <v>102000</v>
      </c>
      <c r="X1" s="10" t="s">
        <v>5</v>
      </c>
      <c r="Y1" s="10" t="s">
        <v>45</v>
      </c>
      <c r="Z1" s="10" t="s">
        <v>6</v>
      </c>
      <c r="AA1" s="10"/>
      <c r="AB1" s="10" t="s">
        <v>56</v>
      </c>
      <c r="AC1" s="10" t="s">
        <v>57</v>
      </c>
      <c r="AD1" s="10" t="s">
        <v>58</v>
      </c>
      <c r="AG1" s="10" t="s">
        <v>7</v>
      </c>
      <c r="AH1" s="10" t="s">
        <v>8</v>
      </c>
      <c r="AK1" s="1" t="s">
        <v>9</v>
      </c>
    </row>
    <row r="2" spans="1:39" ht="13.5" thickBot="1" x14ac:dyDescent="0.25">
      <c r="A2" s="2" t="s">
        <v>10</v>
      </c>
      <c r="B2" s="3">
        <f ca="1">TODAY()+1</f>
        <v>41886</v>
      </c>
      <c r="D2" s="14"/>
      <c r="P2" s="11">
        <f ca="1">TODAY()+3</f>
        <v>41888</v>
      </c>
      <c r="Q2" s="12">
        <v>600000</v>
      </c>
      <c r="T2" s="11">
        <f ca="1">TODAY()+3</f>
        <v>41888</v>
      </c>
      <c r="U2" s="12">
        <v>100000</v>
      </c>
      <c r="W2" s="11">
        <v>37196</v>
      </c>
      <c r="X2" s="14">
        <v>0</v>
      </c>
      <c r="Y2" s="14">
        <v>0</v>
      </c>
      <c r="Z2" s="13">
        <f>455527-X2+Y2</f>
        <v>455527</v>
      </c>
      <c r="AA2" s="13"/>
      <c r="AB2" s="14">
        <v>0</v>
      </c>
      <c r="AC2" s="14">
        <v>0</v>
      </c>
      <c r="AD2" s="14">
        <f>-2710-AB2+AC2</f>
        <v>-2710</v>
      </c>
      <c r="AE2" s="14"/>
      <c r="AF2" s="63">
        <v>37196</v>
      </c>
      <c r="AG2" s="12">
        <f>313453+51000</f>
        <v>364453</v>
      </c>
      <c r="AH2" s="12">
        <f>313453+51000</f>
        <v>364453</v>
      </c>
      <c r="AI2" s="14"/>
      <c r="AJ2" s="64">
        <f>+AF2</f>
        <v>37196</v>
      </c>
      <c r="AK2" s="12">
        <f>290369+36573</f>
        <v>326942</v>
      </c>
      <c r="AL2" s="12"/>
      <c r="AM2" s="12"/>
    </row>
    <row r="3" spans="1:39" ht="25.5" customHeight="1" thickBot="1" x14ac:dyDescent="0.25">
      <c r="B3" s="1" t="s">
        <v>11</v>
      </c>
      <c r="C3" s="1" t="s">
        <v>12</v>
      </c>
      <c r="D3" s="1" t="s">
        <v>13</v>
      </c>
      <c r="J3" s="21" t="s">
        <v>16</v>
      </c>
      <c r="K3" s="22">
        <f ca="1">TODAY()-1</f>
        <v>41884</v>
      </c>
      <c r="L3" s="23">
        <f ca="1">TODAY()</f>
        <v>41885</v>
      </c>
      <c r="M3" s="24" t="s">
        <v>17</v>
      </c>
      <c r="P3" s="11">
        <f ca="1">TODAY()+4</f>
        <v>41889</v>
      </c>
      <c r="Q3" s="12">
        <v>615000</v>
      </c>
      <c r="T3" s="11">
        <f ca="1">TODAY()+4</f>
        <v>41889</v>
      </c>
      <c r="U3" s="12">
        <v>103000</v>
      </c>
      <c r="W3" s="11">
        <f>W2+1</f>
        <v>37197</v>
      </c>
      <c r="X3" s="14">
        <v>0</v>
      </c>
      <c r="Y3" s="14">
        <v>5000</v>
      </c>
      <c r="Z3" s="13">
        <f t="shared" ref="Z3:Z11" si="0">Z2-X3+Y3</f>
        <v>460527</v>
      </c>
      <c r="AA3" s="13"/>
      <c r="AB3" s="14">
        <v>0</v>
      </c>
      <c r="AC3" s="14">
        <v>0</v>
      </c>
      <c r="AD3" s="14">
        <f>AD2-AB3+AC3</f>
        <v>-2710</v>
      </c>
      <c r="AF3" s="63">
        <f>AF2+1</f>
        <v>37197</v>
      </c>
      <c r="AG3" s="12">
        <f>351091+68828</f>
        <v>419919</v>
      </c>
      <c r="AH3" s="12">
        <f>351091+68828</f>
        <v>419919</v>
      </c>
      <c r="AI3" s="14"/>
      <c r="AJ3" s="64">
        <f t="shared" ref="AJ3:AJ15" si="1">+AF3</f>
        <v>37197</v>
      </c>
      <c r="AK3" s="12">
        <f>328425+45373</f>
        <v>373798</v>
      </c>
      <c r="AL3" s="12"/>
      <c r="AM3" s="12"/>
    </row>
    <row r="4" spans="1:39" ht="13.5" thickBot="1" x14ac:dyDescent="0.25">
      <c r="A4" s="2" t="s">
        <v>14</v>
      </c>
      <c r="B4" s="16">
        <v>56</v>
      </c>
      <c r="C4" s="17">
        <v>40</v>
      </c>
      <c r="D4" s="18">
        <f>AVERAGE(B4,C4)</f>
        <v>48</v>
      </c>
      <c r="J4" s="25" t="s">
        <v>20</v>
      </c>
      <c r="K4" s="37">
        <v>0</v>
      </c>
      <c r="L4" s="9">
        <v>0</v>
      </c>
      <c r="M4" s="28">
        <f>+L4-K4</f>
        <v>0</v>
      </c>
      <c r="Q4" s="12"/>
      <c r="R4" s="11" t="s">
        <v>15</v>
      </c>
      <c r="W4" s="11">
        <f t="shared" ref="W4:W47" si="2">W3+1</f>
        <v>37198</v>
      </c>
      <c r="X4" s="14">
        <v>0</v>
      </c>
      <c r="Y4" s="14">
        <v>0</v>
      </c>
      <c r="Z4" s="13">
        <f t="shared" si="0"/>
        <v>460527</v>
      </c>
      <c r="AA4" s="13"/>
      <c r="AB4" s="14">
        <v>0</v>
      </c>
      <c r="AC4" s="14">
        <v>0</v>
      </c>
      <c r="AD4" s="14">
        <f>AD3-AB4+AC4</f>
        <v>-2710</v>
      </c>
      <c r="AF4" s="63">
        <f t="shared" ref="AF4:AF31" si="3">AF3+1</f>
        <v>37198</v>
      </c>
      <c r="AG4" s="12">
        <f>335635+60694</f>
        <v>396329</v>
      </c>
      <c r="AH4" s="12">
        <f>335635+60694</f>
        <v>396329</v>
      </c>
      <c r="AI4" s="14"/>
      <c r="AJ4" s="64">
        <f t="shared" si="1"/>
        <v>37198</v>
      </c>
      <c r="AK4" s="12">
        <f>326625+37028</f>
        <v>363653</v>
      </c>
      <c r="AL4" s="12"/>
      <c r="AM4" s="12"/>
    </row>
    <row r="5" spans="1:39" ht="13.5" thickBot="1" x14ac:dyDescent="0.25">
      <c r="A5" s="19"/>
      <c r="B5" s="20"/>
      <c r="C5" s="1"/>
      <c r="D5" s="19"/>
      <c r="E5" s="20"/>
      <c r="F5" s="1"/>
      <c r="H5" s="1"/>
      <c r="J5" s="25" t="s">
        <v>54</v>
      </c>
      <c r="K5" s="38">
        <v>0</v>
      </c>
      <c r="L5" s="9">
        <v>0</v>
      </c>
      <c r="M5" s="29">
        <f>+L5-K5</f>
        <v>0</v>
      </c>
      <c r="O5" s="52" t="s">
        <v>64</v>
      </c>
      <c r="P5" s="6"/>
      <c r="Q5" s="8">
        <v>725000</v>
      </c>
      <c r="S5" s="21" t="s">
        <v>65</v>
      </c>
      <c r="T5" s="6"/>
      <c r="U5" s="8">
        <v>270756</v>
      </c>
      <c r="W5" s="11">
        <f t="shared" si="2"/>
        <v>37199</v>
      </c>
      <c r="X5" s="14">
        <v>0</v>
      </c>
      <c r="Y5" s="14">
        <v>0</v>
      </c>
      <c r="Z5" s="13">
        <f t="shared" si="0"/>
        <v>460527</v>
      </c>
      <c r="AA5" s="13"/>
      <c r="AB5" s="14">
        <v>0</v>
      </c>
      <c r="AC5" s="14">
        <v>0</v>
      </c>
      <c r="AD5" s="14">
        <f t="shared" ref="AD5:AD47" si="4">AD4-AB5+AC5</f>
        <v>-2710</v>
      </c>
      <c r="AF5" s="63">
        <f t="shared" si="3"/>
        <v>37199</v>
      </c>
      <c r="AG5" s="12">
        <f>474000+89000</f>
        <v>563000</v>
      </c>
      <c r="AH5" s="12">
        <f>455956+88755</f>
        <v>544711</v>
      </c>
      <c r="AI5" s="14"/>
      <c r="AJ5" s="64">
        <f t="shared" si="1"/>
        <v>37199</v>
      </c>
      <c r="AK5" s="12">
        <f>327546+37028</f>
        <v>364574</v>
      </c>
      <c r="AL5" s="12"/>
      <c r="AM5" s="12"/>
    </row>
    <row r="6" spans="1:39" ht="13.5" thickBot="1" x14ac:dyDescent="0.25">
      <c r="A6" s="25" t="s">
        <v>18</v>
      </c>
      <c r="B6" s="40">
        <v>-515000</v>
      </c>
      <c r="C6" s="12">
        <v>0</v>
      </c>
      <c r="D6" s="25" t="s">
        <v>19</v>
      </c>
      <c r="E6" s="26">
        <v>-84000</v>
      </c>
      <c r="F6" s="12">
        <v>0</v>
      </c>
      <c r="G6" s="65"/>
      <c r="H6" s="12"/>
      <c r="J6" s="30" t="s">
        <v>24</v>
      </c>
      <c r="K6" s="39">
        <f>(+K4-K5)/2</f>
        <v>0</v>
      </c>
      <c r="L6" s="31">
        <f>(+L4-L5)/2</f>
        <v>0</v>
      </c>
      <c r="M6" s="32">
        <f>+L6-K6</f>
        <v>0</v>
      </c>
      <c r="O6" s="21" t="s">
        <v>62</v>
      </c>
      <c r="P6" s="6"/>
      <c r="Q6" s="55">
        <f>Z31/Q5</f>
        <v>0.60270206896551726</v>
      </c>
      <c r="S6" s="21" t="s">
        <v>62</v>
      </c>
      <c r="T6" s="6"/>
      <c r="U6" s="55">
        <f>AD31/U5</f>
        <v>0</v>
      </c>
      <c r="W6" s="11">
        <f t="shared" si="2"/>
        <v>37200</v>
      </c>
      <c r="X6" s="14">
        <v>0</v>
      </c>
      <c r="Y6" s="14">
        <v>0</v>
      </c>
      <c r="Z6" s="13">
        <f t="shared" si="0"/>
        <v>460527</v>
      </c>
      <c r="AA6" s="13"/>
      <c r="AB6" s="14">
        <v>0</v>
      </c>
      <c r="AC6" s="14">
        <v>0</v>
      </c>
      <c r="AD6" s="14">
        <f t="shared" si="4"/>
        <v>-2710</v>
      </c>
      <c r="AF6" s="63">
        <f t="shared" si="3"/>
        <v>37200</v>
      </c>
      <c r="AG6" s="12">
        <f>509000+93000</f>
        <v>602000</v>
      </c>
      <c r="AH6" s="12">
        <f>520795+95847</f>
        <v>616642</v>
      </c>
      <c r="AJ6" s="64">
        <f t="shared" si="1"/>
        <v>37200</v>
      </c>
      <c r="AK6" s="12">
        <f>327467+37028</f>
        <v>364495</v>
      </c>
      <c r="AL6" s="12"/>
      <c r="AM6" s="12"/>
    </row>
    <row r="7" spans="1:39" x14ac:dyDescent="0.2">
      <c r="A7" s="25" t="s">
        <v>47</v>
      </c>
      <c r="B7" s="40"/>
      <c r="D7" s="25" t="s">
        <v>22</v>
      </c>
      <c r="E7" s="26">
        <v>0</v>
      </c>
      <c r="G7" s="12"/>
      <c r="H7" s="12"/>
      <c r="W7" s="11">
        <f t="shared" si="2"/>
        <v>37201</v>
      </c>
      <c r="X7" s="14">
        <v>0</v>
      </c>
      <c r="Y7" s="14">
        <v>5000</v>
      </c>
      <c r="Z7" s="13">
        <f t="shared" si="0"/>
        <v>465527</v>
      </c>
      <c r="AA7" s="13"/>
      <c r="AB7" s="14">
        <v>0</v>
      </c>
      <c r="AC7" s="14">
        <v>0</v>
      </c>
      <c r="AD7" s="14">
        <f t="shared" si="4"/>
        <v>-2710</v>
      </c>
      <c r="AF7" s="63">
        <f t="shared" si="3"/>
        <v>37201</v>
      </c>
      <c r="AG7" s="12">
        <f>400000+67000</f>
        <v>467000</v>
      </c>
      <c r="AH7" s="46">
        <f>441080+68366</f>
        <v>509446</v>
      </c>
      <c r="AJ7" s="64">
        <f t="shared" si="1"/>
        <v>37201</v>
      </c>
      <c r="AK7" s="12">
        <f>306649+36928</f>
        <v>343577</v>
      </c>
      <c r="AL7" s="12"/>
      <c r="AM7" s="12"/>
    </row>
    <row r="8" spans="1:39" x14ac:dyDescent="0.2">
      <c r="A8" s="25" t="s">
        <v>49</v>
      </c>
      <c r="B8" s="40"/>
      <c r="D8" s="25" t="s">
        <v>23</v>
      </c>
      <c r="E8" s="26"/>
      <c r="G8" s="12"/>
      <c r="H8" s="12"/>
      <c r="W8" s="11">
        <f t="shared" si="2"/>
        <v>37202</v>
      </c>
      <c r="X8" s="14">
        <v>0</v>
      </c>
      <c r="Y8" s="14">
        <v>0</v>
      </c>
      <c r="Z8" s="13">
        <f t="shared" si="0"/>
        <v>465527</v>
      </c>
      <c r="AA8" s="13"/>
      <c r="AB8" s="14">
        <v>0</v>
      </c>
      <c r="AC8" s="14">
        <v>0</v>
      </c>
      <c r="AD8" s="14">
        <f t="shared" si="4"/>
        <v>-2710</v>
      </c>
      <c r="AF8" s="63">
        <f t="shared" si="3"/>
        <v>37202</v>
      </c>
      <c r="AG8" s="12">
        <f>350000+53000</f>
        <v>403000</v>
      </c>
      <c r="AH8" s="12">
        <f>328795+59751</f>
        <v>388546</v>
      </c>
      <c r="AJ8" s="64">
        <f t="shared" si="1"/>
        <v>37202</v>
      </c>
      <c r="AK8" s="12">
        <f>276605+36373</f>
        <v>312978</v>
      </c>
      <c r="AL8" s="12"/>
      <c r="AM8" s="12"/>
    </row>
    <row r="9" spans="1:39" x14ac:dyDescent="0.2">
      <c r="A9" s="60" t="s">
        <v>52</v>
      </c>
      <c r="B9" s="58">
        <v>-50000</v>
      </c>
      <c r="C9" s="66"/>
      <c r="D9" s="25" t="s">
        <v>25</v>
      </c>
      <c r="E9" s="26">
        <v>-20000</v>
      </c>
      <c r="G9" s="12"/>
      <c r="H9" s="12"/>
      <c r="L9" s="12"/>
      <c r="W9" s="11">
        <f t="shared" si="2"/>
        <v>37203</v>
      </c>
      <c r="X9" s="14">
        <v>0</v>
      </c>
      <c r="Y9" s="14">
        <v>5000</v>
      </c>
      <c r="Z9" s="13">
        <f t="shared" si="0"/>
        <v>470527</v>
      </c>
      <c r="AA9" s="13"/>
      <c r="AB9" s="14">
        <v>0</v>
      </c>
      <c r="AC9" s="14">
        <v>0</v>
      </c>
      <c r="AD9" s="14">
        <f t="shared" si="4"/>
        <v>-2710</v>
      </c>
      <c r="AF9" s="63">
        <f t="shared" si="3"/>
        <v>37203</v>
      </c>
      <c r="AG9" s="12">
        <f>620000+124000</f>
        <v>744000</v>
      </c>
      <c r="AH9" s="12">
        <f>620000+124000</f>
        <v>744000</v>
      </c>
      <c r="AJ9" s="64">
        <f t="shared" si="1"/>
        <v>37203</v>
      </c>
      <c r="AK9" s="12">
        <f>278783+40154</f>
        <v>318937</v>
      </c>
      <c r="AL9" s="12"/>
      <c r="AM9" s="12"/>
    </row>
    <row r="10" spans="1:39" x14ac:dyDescent="0.2">
      <c r="A10" s="41" t="s">
        <v>71</v>
      </c>
      <c r="B10" s="40">
        <v>0</v>
      </c>
      <c r="C10" s="14" t="s">
        <v>15</v>
      </c>
      <c r="D10" s="25" t="s">
        <v>44</v>
      </c>
      <c r="E10" s="26"/>
      <c r="G10" s="12"/>
      <c r="H10" s="12"/>
      <c r="W10" s="11">
        <f t="shared" si="2"/>
        <v>37204</v>
      </c>
      <c r="X10" s="14">
        <v>0</v>
      </c>
      <c r="Y10" s="14">
        <v>0</v>
      </c>
      <c r="Z10" s="13">
        <f t="shared" si="0"/>
        <v>470527</v>
      </c>
      <c r="AA10" s="13"/>
      <c r="AB10" s="14">
        <v>0</v>
      </c>
      <c r="AC10" s="14">
        <v>0</v>
      </c>
      <c r="AD10" s="14">
        <f t="shared" si="4"/>
        <v>-2710</v>
      </c>
      <c r="AF10" s="63">
        <f t="shared" si="3"/>
        <v>37204</v>
      </c>
      <c r="AG10" s="12">
        <f>550000+108000</f>
        <v>658000</v>
      </c>
      <c r="AH10" s="12">
        <f>603027+101578</f>
        <v>704605</v>
      </c>
      <c r="AJ10" s="64">
        <f t="shared" si="1"/>
        <v>37204</v>
      </c>
      <c r="AK10" s="12">
        <f>281531+37154</f>
        <v>318685</v>
      </c>
      <c r="AL10" s="12"/>
      <c r="AM10" s="12"/>
    </row>
    <row r="11" spans="1:39" x14ac:dyDescent="0.2">
      <c r="A11" s="25" t="s">
        <v>25</v>
      </c>
      <c r="B11" s="40">
        <f>-118283-0-0-20000-7383+20666</f>
        <v>-125000</v>
      </c>
      <c r="C11" s="40"/>
      <c r="D11" s="25" t="s">
        <v>26</v>
      </c>
      <c r="E11" s="26">
        <v>0</v>
      </c>
      <c r="G11" s="12"/>
      <c r="H11" s="12"/>
      <c r="R11" s="13"/>
      <c r="W11" s="11">
        <f t="shared" si="2"/>
        <v>37205</v>
      </c>
      <c r="X11" s="14">
        <v>0</v>
      </c>
      <c r="Y11" s="14">
        <v>0</v>
      </c>
      <c r="Z11" s="13">
        <f t="shared" si="0"/>
        <v>470527</v>
      </c>
      <c r="AA11" s="13"/>
      <c r="AB11" s="14">
        <v>0</v>
      </c>
      <c r="AC11" s="14">
        <v>0</v>
      </c>
      <c r="AD11" s="14">
        <f t="shared" si="4"/>
        <v>-2710</v>
      </c>
      <c r="AF11" s="63">
        <f t="shared" si="3"/>
        <v>37205</v>
      </c>
      <c r="AG11" s="12">
        <f>520000+102000</f>
        <v>622000</v>
      </c>
      <c r="AH11" s="12">
        <f>525927+57592</f>
        <v>583519</v>
      </c>
      <c r="AJ11" s="64">
        <f t="shared" si="1"/>
        <v>37205</v>
      </c>
      <c r="AK11" s="12">
        <f>277388+33819</f>
        <v>311207</v>
      </c>
      <c r="AL11" s="12"/>
      <c r="AM11" s="12"/>
    </row>
    <row r="12" spans="1:39" x14ac:dyDescent="0.2">
      <c r="A12" s="25" t="s">
        <v>63</v>
      </c>
      <c r="B12" s="40">
        <v>-20666</v>
      </c>
      <c r="C12" s="14"/>
      <c r="D12" s="41" t="s">
        <v>46</v>
      </c>
      <c r="E12" s="40">
        <v>0</v>
      </c>
      <c r="G12" s="12" t="s">
        <v>15</v>
      </c>
      <c r="H12" s="12"/>
      <c r="R12" s="13"/>
      <c r="W12" s="11">
        <f t="shared" si="2"/>
        <v>37206</v>
      </c>
      <c r="X12" s="14">
        <v>0</v>
      </c>
      <c r="Y12" s="14">
        <v>10000</v>
      </c>
      <c r="Z12" s="13">
        <f t="shared" ref="Z12:Z47" si="5">Z11-X12+Y12</f>
        <v>480527</v>
      </c>
      <c r="AA12" s="13"/>
      <c r="AB12" s="14">
        <v>0</v>
      </c>
      <c r="AC12" s="14">
        <v>0</v>
      </c>
      <c r="AD12" s="14">
        <f t="shared" si="4"/>
        <v>-2710</v>
      </c>
      <c r="AF12" s="63">
        <f t="shared" si="3"/>
        <v>37206</v>
      </c>
      <c r="AG12" s="12">
        <f>535000+102000</f>
        <v>637000</v>
      </c>
      <c r="AH12" s="12">
        <f>581285+102232</f>
        <v>683517</v>
      </c>
      <c r="AJ12" s="64">
        <f t="shared" si="1"/>
        <v>37206</v>
      </c>
      <c r="AK12" s="12">
        <f>282388+33819</f>
        <v>316207</v>
      </c>
      <c r="AL12" s="12"/>
      <c r="AM12" s="12"/>
    </row>
    <row r="13" spans="1:39" ht="13.5" thickBot="1" x14ac:dyDescent="0.25">
      <c r="A13" s="25" t="s">
        <v>16</v>
      </c>
      <c r="B13" s="40">
        <v>0</v>
      </c>
      <c r="C13" s="1"/>
      <c r="D13" s="60" t="s">
        <v>27</v>
      </c>
      <c r="E13" s="59">
        <v>-20641</v>
      </c>
      <c r="G13" s="12"/>
      <c r="H13" s="12"/>
      <c r="R13" s="13"/>
      <c r="W13" s="11">
        <f t="shared" si="2"/>
        <v>37207</v>
      </c>
      <c r="X13" s="14">
        <v>0</v>
      </c>
      <c r="Y13" s="14">
        <v>4398</v>
      </c>
      <c r="Z13" s="13">
        <f t="shared" si="5"/>
        <v>484925</v>
      </c>
      <c r="AA13" s="13"/>
      <c r="AB13" s="14">
        <v>0</v>
      </c>
      <c r="AC13" s="14">
        <v>0</v>
      </c>
      <c r="AD13" s="14">
        <f t="shared" si="4"/>
        <v>-2710</v>
      </c>
      <c r="AF13" s="63">
        <f t="shared" si="3"/>
        <v>37207</v>
      </c>
      <c r="AG13" s="12">
        <f>550000+97000</f>
        <v>647000</v>
      </c>
      <c r="AH13" s="12">
        <f>558160+91161</f>
        <v>649321</v>
      </c>
      <c r="AJ13" s="64">
        <f t="shared" si="1"/>
        <v>37207</v>
      </c>
      <c r="AK13" s="12">
        <f>282388+33819</f>
        <v>316207</v>
      </c>
      <c r="AL13" s="12"/>
      <c r="AM13" s="12"/>
    </row>
    <row r="14" spans="1:39" ht="13.5" thickBot="1" x14ac:dyDescent="0.25">
      <c r="A14" s="25" t="s">
        <v>55</v>
      </c>
      <c r="B14" s="40">
        <v>0</v>
      </c>
      <c r="C14" s="14"/>
      <c r="D14" s="33" t="s">
        <v>28</v>
      </c>
      <c r="E14" s="34">
        <f>SUM(E6:E13)</f>
        <v>-124641</v>
      </c>
      <c r="G14" s="12"/>
      <c r="H14" s="12"/>
      <c r="L14" s="12"/>
      <c r="R14" s="13"/>
      <c r="W14" s="11">
        <f t="shared" si="2"/>
        <v>37208</v>
      </c>
      <c r="X14" s="14">
        <v>0</v>
      </c>
      <c r="Y14" s="14">
        <v>5000</v>
      </c>
      <c r="Z14" s="13">
        <f t="shared" si="5"/>
        <v>489925</v>
      </c>
      <c r="AA14" s="13"/>
      <c r="AB14" s="14">
        <v>0</v>
      </c>
      <c r="AC14" s="14">
        <v>0</v>
      </c>
      <c r="AD14" s="14">
        <f t="shared" si="4"/>
        <v>-2710</v>
      </c>
      <c r="AF14" s="63">
        <f t="shared" si="3"/>
        <v>37208</v>
      </c>
      <c r="AG14" s="12">
        <f>435000+73000</f>
        <v>508000</v>
      </c>
      <c r="AH14" s="12">
        <f>433251+70049</f>
        <v>503300</v>
      </c>
      <c r="AJ14" s="64">
        <f t="shared" si="1"/>
        <v>37208</v>
      </c>
      <c r="AK14" s="12">
        <f>280384+33819</f>
        <v>314203</v>
      </c>
      <c r="AL14" s="12"/>
      <c r="AM14" s="12"/>
    </row>
    <row r="15" spans="1:39" x14ac:dyDescent="0.2">
      <c r="A15" s="25" t="s">
        <v>23</v>
      </c>
      <c r="B15" s="40"/>
      <c r="C15" s="14"/>
      <c r="D15" s="25"/>
      <c r="E15" s="26"/>
      <c r="F15" s="14">
        <f>+E14+E29</f>
        <v>0</v>
      </c>
      <c r="G15" s="12"/>
      <c r="H15" s="12"/>
      <c r="L15" s="12"/>
      <c r="R15" s="13"/>
      <c r="W15" s="11">
        <f t="shared" si="2"/>
        <v>37209</v>
      </c>
      <c r="X15" s="14">
        <v>0</v>
      </c>
      <c r="Y15" s="14">
        <v>0</v>
      </c>
      <c r="Z15" s="13">
        <f>Z14-X15+Y15</f>
        <v>489925</v>
      </c>
      <c r="AA15" s="13"/>
      <c r="AB15" s="14">
        <v>0</v>
      </c>
      <c r="AC15" s="14">
        <v>0</v>
      </c>
      <c r="AD15" s="14">
        <f t="shared" si="4"/>
        <v>-2710</v>
      </c>
      <c r="AF15" s="63">
        <f t="shared" si="3"/>
        <v>37209</v>
      </c>
      <c r="AG15" s="12">
        <f>375000+56700</f>
        <v>431700</v>
      </c>
      <c r="AH15" s="12">
        <f>375334+55500</f>
        <v>430834</v>
      </c>
      <c r="AJ15" s="64">
        <f t="shared" si="1"/>
        <v>37209</v>
      </c>
      <c r="AK15" s="12">
        <f>273169+32948</f>
        <v>306117</v>
      </c>
      <c r="AL15" s="12"/>
      <c r="AM15" s="12"/>
    </row>
    <row r="16" spans="1:39" x14ac:dyDescent="0.2">
      <c r="A16" s="25" t="s">
        <v>48</v>
      </c>
      <c r="B16" s="40">
        <v>0</v>
      </c>
      <c r="C16" s="14"/>
      <c r="D16" s="25" t="s">
        <v>31</v>
      </c>
      <c r="E16" s="26">
        <v>39111</v>
      </c>
      <c r="G16" s="12"/>
      <c r="H16" s="12"/>
      <c r="L16" s="12"/>
      <c r="R16" s="13"/>
      <c r="W16" s="11">
        <f t="shared" si="2"/>
        <v>37210</v>
      </c>
      <c r="X16" s="14">
        <v>0</v>
      </c>
      <c r="Y16" s="14">
        <v>0</v>
      </c>
      <c r="Z16" s="13">
        <f>Z15-X16+Y16</f>
        <v>489925</v>
      </c>
      <c r="AA16" s="13"/>
      <c r="AB16" s="14">
        <v>0</v>
      </c>
      <c r="AC16" s="14">
        <v>0</v>
      </c>
      <c r="AD16" s="14">
        <f t="shared" si="4"/>
        <v>-2710</v>
      </c>
      <c r="AF16" s="63">
        <f t="shared" si="3"/>
        <v>37210</v>
      </c>
      <c r="AG16" s="12">
        <f>302000+48700</f>
        <v>350700</v>
      </c>
      <c r="AH16" s="12">
        <f>308776+50988</f>
        <v>359764</v>
      </c>
      <c r="AJ16" s="64">
        <f t="shared" ref="AJ16:AJ32" si="6">+AF16</f>
        <v>37210</v>
      </c>
      <c r="AK16" s="12">
        <f>250124+34765</f>
        <v>284889</v>
      </c>
      <c r="AL16" s="12"/>
      <c r="AM16" s="12"/>
    </row>
    <row r="17" spans="1:39" x14ac:dyDescent="0.2">
      <c r="A17" s="25" t="s">
        <v>27</v>
      </c>
      <c r="B17" s="40">
        <v>0</v>
      </c>
      <c r="C17" s="14"/>
      <c r="D17" s="25" t="s">
        <v>32</v>
      </c>
      <c r="E17" s="26">
        <v>10000</v>
      </c>
      <c r="G17" s="12"/>
      <c r="H17" s="12"/>
      <c r="L17" s="12"/>
      <c r="R17" s="13"/>
      <c r="W17" s="11">
        <f t="shared" si="2"/>
        <v>37211</v>
      </c>
      <c r="X17" s="14">
        <v>0</v>
      </c>
      <c r="Y17" s="14">
        <v>0</v>
      </c>
      <c r="Z17" s="13">
        <f>Z16-X17+Y17</f>
        <v>489925</v>
      </c>
      <c r="AA17" s="13"/>
      <c r="AB17" s="14">
        <v>0</v>
      </c>
      <c r="AC17" s="14">
        <v>0</v>
      </c>
      <c r="AD17" s="14">
        <f t="shared" si="4"/>
        <v>-2710</v>
      </c>
      <c r="AF17" s="63">
        <f t="shared" si="3"/>
        <v>37211</v>
      </c>
      <c r="AG17" s="12">
        <f>320000+54000</f>
        <v>374000</v>
      </c>
      <c r="AH17" s="12">
        <f>397344+80737</f>
        <v>478081</v>
      </c>
      <c r="AJ17" s="64">
        <f t="shared" si="6"/>
        <v>37211</v>
      </c>
      <c r="AK17" s="12">
        <f>265372+35414</f>
        <v>300786</v>
      </c>
      <c r="AL17" s="12"/>
      <c r="AM17" s="12"/>
    </row>
    <row r="18" spans="1:39" x14ac:dyDescent="0.2">
      <c r="A18" s="25" t="s">
        <v>88</v>
      </c>
      <c r="B18" s="40">
        <v>0</v>
      </c>
      <c r="D18" s="25" t="s">
        <v>33</v>
      </c>
      <c r="E18" s="26">
        <v>0</v>
      </c>
      <c r="F18" s="14" t="s">
        <v>15</v>
      </c>
      <c r="G18" s="12"/>
      <c r="H18" s="12"/>
      <c r="L18" s="12"/>
      <c r="R18" s="13"/>
      <c r="W18" s="11">
        <f t="shared" si="2"/>
        <v>37212</v>
      </c>
      <c r="X18" s="14">
        <v>52966</v>
      </c>
      <c r="Y18" s="14">
        <v>0</v>
      </c>
      <c r="Z18" s="13">
        <f t="shared" si="5"/>
        <v>436959</v>
      </c>
      <c r="AA18" s="13"/>
      <c r="AB18" s="14">
        <v>0</v>
      </c>
      <c r="AC18" s="14">
        <v>0</v>
      </c>
      <c r="AD18" s="14">
        <f t="shared" si="4"/>
        <v>-2710</v>
      </c>
      <c r="AF18" s="63">
        <f t="shared" si="3"/>
        <v>37212</v>
      </c>
      <c r="AG18" s="12">
        <f>250000+44000</f>
        <v>294000</v>
      </c>
      <c r="AH18" s="12">
        <f>355497+66187</f>
        <v>421684</v>
      </c>
      <c r="AJ18" s="64">
        <f t="shared" si="6"/>
        <v>37212</v>
      </c>
      <c r="AK18" s="12">
        <f>247687+34630</f>
        <v>282317</v>
      </c>
      <c r="AL18" s="12"/>
      <c r="AM18" s="12"/>
    </row>
    <row r="19" spans="1:39" x14ac:dyDescent="0.2">
      <c r="A19" s="25" t="s">
        <v>67</v>
      </c>
      <c r="B19" s="40">
        <v>0</v>
      </c>
      <c r="C19" s="56"/>
      <c r="D19" s="25" t="s">
        <v>34</v>
      </c>
      <c r="E19" s="26">
        <v>31530</v>
      </c>
      <c r="G19" s="12"/>
      <c r="H19" s="12"/>
      <c r="L19" s="12"/>
      <c r="R19" s="13"/>
      <c r="W19" s="11">
        <f t="shared" si="2"/>
        <v>37213</v>
      </c>
      <c r="X19" s="14">
        <v>0</v>
      </c>
      <c r="Y19" s="14">
        <v>0</v>
      </c>
      <c r="Z19" s="13">
        <f t="shared" si="5"/>
        <v>436959</v>
      </c>
      <c r="AA19" s="13"/>
      <c r="AB19" s="14">
        <v>0</v>
      </c>
      <c r="AC19" s="14">
        <v>0</v>
      </c>
      <c r="AD19" s="14">
        <f t="shared" si="4"/>
        <v>-2710</v>
      </c>
      <c r="AF19" s="63">
        <f t="shared" si="3"/>
        <v>37213</v>
      </c>
      <c r="AG19" s="12">
        <f>400000+69000</f>
        <v>469000</v>
      </c>
      <c r="AH19" s="12"/>
      <c r="AJ19" s="64">
        <f t="shared" si="6"/>
        <v>37213</v>
      </c>
      <c r="AK19" s="12">
        <f>249697+34630</f>
        <v>284327</v>
      </c>
      <c r="AL19" s="12"/>
      <c r="AM19" s="12"/>
    </row>
    <row r="20" spans="1:39" x14ac:dyDescent="0.2">
      <c r="A20" s="25" t="s">
        <v>66</v>
      </c>
      <c r="B20" s="58">
        <v>0</v>
      </c>
      <c r="C20" s="14"/>
      <c r="D20" s="25" t="s">
        <v>38</v>
      </c>
      <c r="E20" s="26">
        <v>0</v>
      </c>
      <c r="G20" s="12"/>
      <c r="H20" s="12"/>
      <c r="R20" s="13"/>
      <c r="W20" s="11">
        <f t="shared" si="2"/>
        <v>37214</v>
      </c>
      <c r="X20" s="14">
        <v>0</v>
      </c>
      <c r="Y20" s="14">
        <v>0</v>
      </c>
      <c r="Z20" s="13">
        <f>Z19-X20+Y20</f>
        <v>436959</v>
      </c>
      <c r="AA20" s="13"/>
      <c r="AB20" s="14">
        <v>0</v>
      </c>
      <c r="AC20" s="14">
        <v>0</v>
      </c>
      <c r="AD20" s="14">
        <f t="shared" si="4"/>
        <v>-2710</v>
      </c>
      <c r="AF20" s="63">
        <f t="shared" si="3"/>
        <v>37214</v>
      </c>
      <c r="AG20" s="12">
        <f>670000+145000</f>
        <v>815000</v>
      </c>
      <c r="AH20" s="12"/>
      <c r="AJ20" s="64">
        <f t="shared" si="6"/>
        <v>37214</v>
      </c>
      <c r="AK20" s="12">
        <f>252232+33130</f>
        <v>285362</v>
      </c>
      <c r="AL20" s="12"/>
      <c r="AM20" s="12"/>
    </row>
    <row r="21" spans="1:39" x14ac:dyDescent="0.2">
      <c r="A21" s="25" t="s">
        <v>77</v>
      </c>
      <c r="B21" s="58">
        <v>0</v>
      </c>
      <c r="C21" s="14"/>
      <c r="D21" s="25" t="s">
        <v>48</v>
      </c>
      <c r="E21" s="26">
        <v>20000</v>
      </c>
      <c r="F21" s="25"/>
      <c r="G21" s="12"/>
      <c r="H21" s="12"/>
      <c r="R21" s="13"/>
      <c r="W21" s="11">
        <f t="shared" si="2"/>
        <v>37215</v>
      </c>
      <c r="X21" s="14">
        <v>0</v>
      </c>
      <c r="Y21" s="14">
        <v>0</v>
      </c>
      <c r="Z21" s="13">
        <f>Z20-X21+Y21</f>
        <v>436959</v>
      </c>
      <c r="AA21" s="13"/>
      <c r="AB21" s="14">
        <v>0</v>
      </c>
      <c r="AC21" s="14">
        <v>2710</v>
      </c>
      <c r="AD21" s="14">
        <f t="shared" si="4"/>
        <v>0</v>
      </c>
      <c r="AF21" s="63">
        <f t="shared" si="3"/>
        <v>37215</v>
      </c>
      <c r="AG21" s="12">
        <f>760000+140000</f>
        <v>900000</v>
      </c>
      <c r="AH21" s="12"/>
      <c r="AJ21" s="64">
        <f t="shared" si="6"/>
        <v>37215</v>
      </c>
      <c r="AK21" s="12">
        <f>238478+35014</f>
        <v>273492</v>
      </c>
      <c r="AL21" s="12"/>
      <c r="AM21" s="12"/>
    </row>
    <row r="22" spans="1:39" x14ac:dyDescent="0.2">
      <c r="A22" s="25" t="s">
        <v>42</v>
      </c>
      <c r="B22" s="40">
        <v>0</v>
      </c>
      <c r="D22" s="25" t="s">
        <v>27</v>
      </c>
      <c r="E22" s="26">
        <v>0</v>
      </c>
      <c r="F22" s="25"/>
      <c r="G22" s="12"/>
      <c r="H22" s="12"/>
      <c r="R22" s="13"/>
      <c r="W22" s="11">
        <f t="shared" si="2"/>
        <v>37216</v>
      </c>
      <c r="X22" s="14">
        <v>0</v>
      </c>
      <c r="Y22" s="14">
        <v>0</v>
      </c>
      <c r="Z22" s="13">
        <f>Z21-X22+Y22</f>
        <v>436959</v>
      </c>
      <c r="AA22" s="13"/>
      <c r="AB22" s="14">
        <v>0</v>
      </c>
      <c r="AC22" s="14">
        <v>0</v>
      </c>
      <c r="AD22" s="14">
        <f t="shared" si="4"/>
        <v>0</v>
      </c>
      <c r="AF22" s="63">
        <f t="shared" si="3"/>
        <v>37216</v>
      </c>
      <c r="AG22" s="12">
        <f>575000+94000</f>
        <v>669000</v>
      </c>
      <c r="AH22" s="12"/>
      <c r="AJ22" s="64">
        <f t="shared" si="6"/>
        <v>37216</v>
      </c>
      <c r="AK22" s="12">
        <f>264598+31530</f>
        <v>296128</v>
      </c>
      <c r="AL22" s="12"/>
      <c r="AM22" s="12"/>
    </row>
    <row r="23" spans="1:39" x14ac:dyDescent="0.2">
      <c r="A23" s="25" t="s">
        <v>43</v>
      </c>
      <c r="B23" s="40">
        <v>0</v>
      </c>
      <c r="C23" s="14"/>
      <c r="D23" s="25" t="s">
        <v>68</v>
      </c>
      <c r="E23" s="40">
        <v>7000</v>
      </c>
      <c r="F23" s="14">
        <v>0</v>
      </c>
      <c r="G23" s="12"/>
      <c r="H23" s="12"/>
      <c r="L23" s="2">
        <v>0.32</v>
      </c>
      <c r="R23" s="13"/>
      <c r="W23" s="11">
        <f t="shared" si="2"/>
        <v>37217</v>
      </c>
      <c r="X23" s="14">
        <v>0</v>
      </c>
      <c r="Y23" s="14">
        <v>0</v>
      </c>
      <c r="Z23" s="13">
        <f t="shared" si="5"/>
        <v>436959</v>
      </c>
      <c r="AA23" s="13"/>
      <c r="AB23" s="14">
        <v>0</v>
      </c>
      <c r="AC23" s="14">
        <v>0</v>
      </c>
      <c r="AD23" s="14">
        <f t="shared" si="4"/>
        <v>0</v>
      </c>
      <c r="AF23" s="11">
        <f t="shared" si="3"/>
        <v>37217</v>
      </c>
      <c r="AG23" s="12">
        <f>515000+84000</f>
        <v>599000</v>
      </c>
      <c r="AH23" s="12"/>
      <c r="AJ23" s="15">
        <f t="shared" si="6"/>
        <v>37217</v>
      </c>
      <c r="AK23" s="12"/>
      <c r="AL23" s="12"/>
      <c r="AM23" s="12"/>
    </row>
    <row r="24" spans="1:39" x14ac:dyDescent="0.2">
      <c r="A24" s="25" t="s">
        <v>29</v>
      </c>
      <c r="B24" s="40">
        <v>0</v>
      </c>
      <c r="C24" s="14">
        <v>0</v>
      </c>
      <c r="D24" s="25" t="s">
        <v>86</v>
      </c>
      <c r="E24" s="40">
        <v>7000</v>
      </c>
      <c r="F24" s="14">
        <v>0</v>
      </c>
      <c r="G24" s="12"/>
      <c r="H24" s="12"/>
      <c r="R24" s="13"/>
      <c r="W24" s="11">
        <f t="shared" si="2"/>
        <v>37218</v>
      </c>
      <c r="X24" s="14">
        <v>0</v>
      </c>
      <c r="Y24" s="14">
        <v>0</v>
      </c>
      <c r="Z24" s="13">
        <f>Z23-X24+Y24</f>
        <v>436959</v>
      </c>
      <c r="AA24" s="13"/>
      <c r="AB24" s="14">
        <v>0</v>
      </c>
      <c r="AC24" s="14">
        <v>0</v>
      </c>
      <c r="AD24" s="14">
        <f t="shared" si="4"/>
        <v>0</v>
      </c>
      <c r="AF24" s="11">
        <f t="shared" si="3"/>
        <v>37218</v>
      </c>
      <c r="AG24" s="12">
        <f>600000+102000</f>
        <v>702000</v>
      </c>
      <c r="AH24" s="12"/>
      <c r="AJ24" s="15">
        <f t="shared" si="6"/>
        <v>37218</v>
      </c>
      <c r="AK24" s="12"/>
      <c r="AL24" s="12"/>
      <c r="AM24" s="12"/>
    </row>
    <row r="25" spans="1:39" x14ac:dyDescent="0.2">
      <c r="A25" s="25" t="s">
        <v>73</v>
      </c>
      <c r="B25" s="40">
        <v>0</v>
      </c>
      <c r="C25" s="14"/>
      <c r="D25" s="25" t="s">
        <v>85</v>
      </c>
      <c r="E25" s="40">
        <v>10000</v>
      </c>
      <c r="G25" s="12"/>
      <c r="H25" s="12"/>
      <c r="R25" s="13"/>
      <c r="W25" s="11">
        <f t="shared" si="2"/>
        <v>37219</v>
      </c>
      <c r="X25" s="14">
        <v>0</v>
      </c>
      <c r="Y25" s="14">
        <v>0</v>
      </c>
      <c r="Z25" s="13">
        <f t="shared" si="5"/>
        <v>436959</v>
      </c>
      <c r="AA25" s="13"/>
      <c r="AB25" s="14">
        <v>0</v>
      </c>
      <c r="AC25" s="14">
        <v>0</v>
      </c>
      <c r="AD25" s="14">
        <f t="shared" si="4"/>
        <v>0</v>
      </c>
      <c r="AF25" s="11">
        <f t="shared" si="3"/>
        <v>37219</v>
      </c>
      <c r="AG25" s="12">
        <f>600000+100000</f>
        <v>700000</v>
      </c>
      <c r="AH25" s="12"/>
      <c r="AJ25" s="15">
        <f t="shared" si="6"/>
        <v>37219</v>
      </c>
      <c r="AK25" s="12"/>
      <c r="AL25" s="12"/>
      <c r="AM25" s="12"/>
    </row>
    <row r="26" spans="1:39" x14ac:dyDescent="0.2">
      <c r="A26" s="25" t="s">
        <v>30</v>
      </c>
      <c r="B26" s="40">
        <v>-1600</v>
      </c>
      <c r="D26" s="25" t="s">
        <v>69</v>
      </c>
      <c r="E26" s="40">
        <v>0</v>
      </c>
      <c r="G26" s="12"/>
      <c r="H26" s="12"/>
      <c r="R26" s="13"/>
      <c r="W26" s="11">
        <f t="shared" si="2"/>
        <v>37220</v>
      </c>
      <c r="X26" s="14">
        <v>0</v>
      </c>
      <c r="Y26" s="14">
        <v>0</v>
      </c>
      <c r="Z26" s="13">
        <f t="shared" si="5"/>
        <v>436959</v>
      </c>
      <c r="AA26" s="13"/>
      <c r="AB26" s="14">
        <v>0</v>
      </c>
      <c r="AC26" s="14">
        <v>0</v>
      </c>
      <c r="AD26" s="14">
        <f t="shared" si="4"/>
        <v>0</v>
      </c>
      <c r="AF26" s="11">
        <f t="shared" si="3"/>
        <v>37220</v>
      </c>
      <c r="AG26" s="12">
        <f>615000+103000</f>
        <v>718000</v>
      </c>
      <c r="AH26" s="12"/>
      <c r="AJ26" s="15">
        <f t="shared" si="6"/>
        <v>37220</v>
      </c>
      <c r="AK26" s="12"/>
      <c r="AL26" s="12"/>
      <c r="AM26" s="12"/>
    </row>
    <row r="27" spans="1:39" x14ac:dyDescent="0.2">
      <c r="A27" s="25" t="s">
        <v>76</v>
      </c>
      <c r="B27" s="40">
        <v>-10000</v>
      </c>
      <c r="C27" s="14"/>
      <c r="D27" s="25" t="s">
        <v>78</v>
      </c>
      <c r="E27" s="58">
        <v>0</v>
      </c>
      <c r="G27" s="12"/>
      <c r="H27" s="12"/>
      <c r="R27" s="13"/>
      <c r="W27" s="11">
        <f t="shared" si="2"/>
        <v>37221</v>
      </c>
      <c r="X27" s="14">
        <v>0</v>
      </c>
      <c r="Y27" s="14">
        <v>0</v>
      </c>
      <c r="Z27" s="13">
        <f t="shared" si="5"/>
        <v>436959</v>
      </c>
      <c r="AA27" s="13"/>
      <c r="AB27" s="14">
        <v>0</v>
      </c>
      <c r="AC27" s="14">
        <v>0</v>
      </c>
      <c r="AD27" s="14">
        <f t="shared" si="4"/>
        <v>0</v>
      </c>
      <c r="AF27" s="11">
        <f t="shared" si="3"/>
        <v>37221</v>
      </c>
      <c r="AG27" s="12">
        <f>700000+120000</f>
        <v>820000</v>
      </c>
      <c r="AH27" s="12"/>
      <c r="AJ27" s="15">
        <f t="shared" si="6"/>
        <v>37221</v>
      </c>
      <c r="AK27" s="12"/>
      <c r="AL27" s="12"/>
      <c r="AM27" s="12"/>
    </row>
    <row r="28" spans="1:39" ht="13.5" thickBot="1" x14ac:dyDescent="0.25">
      <c r="A28" s="60" t="s">
        <v>51</v>
      </c>
      <c r="B28" s="59">
        <v>-16349</v>
      </c>
      <c r="C28" s="57">
        <f>SUM(B29,B63)</f>
        <v>0</v>
      </c>
      <c r="D28" s="25" t="s">
        <v>35</v>
      </c>
      <c r="E28" s="26">
        <v>0</v>
      </c>
      <c r="G28" s="12"/>
      <c r="H28" s="12"/>
      <c r="R28" s="13"/>
      <c r="W28" s="11">
        <f t="shared" si="2"/>
        <v>37222</v>
      </c>
      <c r="X28" s="14">
        <v>0</v>
      </c>
      <c r="Y28" s="14">
        <v>0</v>
      </c>
      <c r="Z28" s="13">
        <f t="shared" si="5"/>
        <v>436959</v>
      </c>
      <c r="AA28" s="13"/>
      <c r="AB28" s="14">
        <v>0</v>
      </c>
      <c r="AC28" s="14">
        <v>0</v>
      </c>
      <c r="AD28" s="14">
        <f t="shared" si="4"/>
        <v>0</v>
      </c>
      <c r="AF28" s="11">
        <f t="shared" si="3"/>
        <v>37222</v>
      </c>
      <c r="AG28" s="12"/>
      <c r="AH28" s="12"/>
      <c r="AJ28" s="15">
        <f t="shared" si="6"/>
        <v>37222</v>
      </c>
      <c r="AK28" s="12"/>
      <c r="AL28" s="12"/>
      <c r="AM28" s="12"/>
    </row>
    <row r="29" spans="1:39" ht="13.5" thickBot="1" x14ac:dyDescent="0.25">
      <c r="A29" s="33" t="s">
        <v>28</v>
      </c>
      <c r="B29" s="34">
        <f>SUM(B6:B28)+B12</f>
        <v>-759281</v>
      </c>
      <c r="C29" s="14"/>
      <c r="D29" s="33" t="s">
        <v>36</v>
      </c>
      <c r="E29" s="34">
        <f>SUM(E16:E28)</f>
        <v>124641</v>
      </c>
      <c r="G29" s="12"/>
      <c r="H29" s="12"/>
      <c r="R29" s="13"/>
      <c r="W29" s="11">
        <f t="shared" si="2"/>
        <v>37223</v>
      </c>
      <c r="X29" s="14">
        <v>0</v>
      </c>
      <c r="Y29" s="14">
        <v>0</v>
      </c>
      <c r="Z29" s="13">
        <f t="shared" si="5"/>
        <v>436959</v>
      </c>
      <c r="AA29" s="13"/>
      <c r="AB29" s="14">
        <v>0</v>
      </c>
      <c r="AC29" s="14">
        <v>0</v>
      </c>
      <c r="AD29" s="14">
        <f t="shared" si="4"/>
        <v>0</v>
      </c>
      <c r="AF29" s="11">
        <f t="shared" si="3"/>
        <v>37223</v>
      </c>
      <c r="AG29" s="12"/>
      <c r="AH29" s="12"/>
      <c r="AJ29" s="15">
        <f t="shared" si="6"/>
        <v>37223</v>
      </c>
      <c r="AK29" s="12"/>
      <c r="AL29" s="12"/>
      <c r="AM29" s="12"/>
    </row>
    <row r="30" spans="1:39" ht="13.5" thickBot="1" x14ac:dyDescent="0.25">
      <c r="A30" s="25"/>
      <c r="B30" s="40"/>
      <c r="C30" s="14"/>
      <c r="D30" s="30"/>
      <c r="E30" s="35"/>
      <c r="F30" s="14"/>
      <c r="G30" s="12"/>
      <c r="H30" s="12"/>
      <c r="W30" s="11">
        <f t="shared" si="2"/>
        <v>37224</v>
      </c>
      <c r="X30" s="14">
        <v>0</v>
      </c>
      <c r="Y30" s="14">
        <v>0</v>
      </c>
      <c r="Z30" s="13">
        <f t="shared" si="5"/>
        <v>436959</v>
      </c>
      <c r="AA30" s="13"/>
      <c r="AB30" s="14">
        <v>0</v>
      </c>
      <c r="AC30" s="14">
        <v>0</v>
      </c>
      <c r="AD30" s="14">
        <f t="shared" si="4"/>
        <v>0</v>
      </c>
      <c r="AF30" s="11">
        <f t="shared" si="3"/>
        <v>37224</v>
      </c>
      <c r="AG30" s="12"/>
      <c r="AH30" s="12"/>
      <c r="AJ30" s="15">
        <f t="shared" si="6"/>
        <v>37224</v>
      </c>
      <c r="AK30" s="12"/>
      <c r="AL30" s="12"/>
      <c r="AM30" s="12"/>
    </row>
    <row r="31" spans="1:39" x14ac:dyDescent="0.2">
      <c r="A31" s="25" t="s">
        <v>31</v>
      </c>
      <c r="B31" s="40">
        <v>187134</v>
      </c>
      <c r="C31" s="14"/>
      <c r="E31" s="12"/>
      <c r="G31" s="12"/>
      <c r="H31" s="12"/>
      <c r="W31" s="11">
        <f t="shared" si="2"/>
        <v>37225</v>
      </c>
      <c r="X31" s="14">
        <v>0</v>
      </c>
      <c r="Y31" s="14">
        <v>0</v>
      </c>
      <c r="Z31" s="13">
        <f>Z30-X31+Y31</f>
        <v>436959</v>
      </c>
      <c r="AA31" s="13"/>
      <c r="AB31" s="14">
        <v>0</v>
      </c>
      <c r="AC31" s="14">
        <v>0</v>
      </c>
      <c r="AD31" s="14">
        <f t="shared" si="4"/>
        <v>0</v>
      </c>
      <c r="AF31" s="11">
        <f t="shared" si="3"/>
        <v>37225</v>
      </c>
      <c r="AG31" s="12"/>
      <c r="AH31" s="48"/>
      <c r="AJ31" s="15">
        <f t="shared" si="6"/>
        <v>37225</v>
      </c>
      <c r="AK31" s="12"/>
      <c r="AL31" s="12"/>
      <c r="AM31" s="12"/>
    </row>
    <row r="32" spans="1:39" x14ac:dyDescent="0.2">
      <c r="A32" s="25" t="s">
        <v>32</v>
      </c>
      <c r="B32" s="40">
        <v>125000</v>
      </c>
      <c r="C32" s="14"/>
      <c r="E32" s="12"/>
      <c r="G32" s="12"/>
      <c r="H32" s="12"/>
      <c r="W32" s="11">
        <f t="shared" si="2"/>
        <v>37226</v>
      </c>
      <c r="X32" s="14">
        <v>0</v>
      </c>
      <c r="Y32" s="14">
        <v>0</v>
      </c>
      <c r="Z32" s="13">
        <f t="shared" si="5"/>
        <v>436959</v>
      </c>
      <c r="AA32" s="13"/>
      <c r="AB32" s="14">
        <v>0</v>
      </c>
      <c r="AC32" s="14">
        <v>0</v>
      </c>
      <c r="AD32" s="14">
        <f t="shared" si="4"/>
        <v>0</v>
      </c>
      <c r="AF32" s="11">
        <f>AF31+1</f>
        <v>37226</v>
      </c>
      <c r="AG32" s="12"/>
      <c r="AH32" s="12"/>
      <c r="AJ32" s="15">
        <f t="shared" si="6"/>
        <v>37226</v>
      </c>
      <c r="AK32" s="12"/>
      <c r="AL32" s="12"/>
      <c r="AM32" s="12"/>
    </row>
    <row r="33" spans="1:39" x14ac:dyDescent="0.2">
      <c r="A33" s="25" t="s">
        <v>33</v>
      </c>
      <c r="B33" s="40">
        <v>0</v>
      </c>
      <c r="C33" s="14"/>
      <c r="D33" s="51"/>
      <c r="G33" s="12"/>
      <c r="H33" s="12"/>
      <c r="W33" s="11">
        <f t="shared" si="2"/>
        <v>37227</v>
      </c>
      <c r="X33" s="14">
        <v>0</v>
      </c>
      <c r="Y33" s="14">
        <v>0</v>
      </c>
      <c r="Z33" s="13">
        <f t="shared" ref="Z33:Z39" si="7">Z32-X33+Y33</f>
        <v>436959</v>
      </c>
      <c r="AB33" s="14">
        <v>0</v>
      </c>
      <c r="AC33" s="14">
        <v>0</v>
      </c>
      <c r="AD33" s="14">
        <f t="shared" si="4"/>
        <v>0</v>
      </c>
      <c r="AF33" s="11"/>
      <c r="AG33" s="12"/>
      <c r="AJ33" s="15"/>
      <c r="AK33" s="12"/>
      <c r="AL33" s="12"/>
      <c r="AM33" s="12"/>
    </row>
    <row r="34" spans="1:39" x14ac:dyDescent="0.2">
      <c r="A34" s="25" t="s">
        <v>34</v>
      </c>
      <c r="B34" s="40">
        <v>264598</v>
      </c>
      <c r="C34" s="14"/>
      <c r="G34" s="12"/>
      <c r="H34" s="12"/>
      <c r="W34" s="11">
        <f t="shared" si="2"/>
        <v>37228</v>
      </c>
      <c r="X34" s="14">
        <v>0</v>
      </c>
      <c r="Y34" s="14">
        <v>0</v>
      </c>
      <c r="Z34" s="13">
        <f t="shared" si="7"/>
        <v>436959</v>
      </c>
      <c r="AB34" s="14">
        <v>0</v>
      </c>
      <c r="AC34" s="14">
        <v>0</v>
      </c>
      <c r="AD34" s="14">
        <f t="shared" si="4"/>
        <v>0</v>
      </c>
      <c r="AE34" s="14"/>
      <c r="AF34" s="11"/>
      <c r="AG34" s="12"/>
      <c r="AJ34" s="15"/>
      <c r="AK34" s="12"/>
      <c r="AL34" s="12"/>
      <c r="AM34" s="12"/>
    </row>
    <row r="35" spans="1:39" x14ac:dyDescent="0.2">
      <c r="A35" s="25" t="s">
        <v>81</v>
      </c>
      <c r="B35" s="58">
        <v>0</v>
      </c>
      <c r="C35" s="12"/>
      <c r="G35" s="12"/>
      <c r="H35" s="12"/>
      <c r="W35" s="11">
        <f t="shared" si="2"/>
        <v>37229</v>
      </c>
      <c r="X35" s="14">
        <v>0</v>
      </c>
      <c r="Y35" s="14">
        <v>0</v>
      </c>
      <c r="Z35" s="13">
        <f t="shared" si="7"/>
        <v>436959</v>
      </c>
      <c r="AB35" s="14">
        <v>0</v>
      </c>
      <c r="AC35" s="14">
        <v>0</v>
      </c>
      <c r="AD35" s="14">
        <f t="shared" si="4"/>
        <v>0</v>
      </c>
      <c r="AF35" s="11"/>
      <c r="AJ35" s="15"/>
      <c r="AK35" s="12"/>
      <c r="AL35" s="12"/>
      <c r="AM35" s="12"/>
    </row>
    <row r="36" spans="1:39" x14ac:dyDescent="0.2">
      <c r="A36" s="25" t="s">
        <v>82</v>
      </c>
      <c r="B36" s="58">
        <v>0</v>
      </c>
      <c r="C36" s="12"/>
      <c r="G36" s="12"/>
      <c r="H36" s="12"/>
      <c r="W36" s="11">
        <f t="shared" si="2"/>
        <v>37230</v>
      </c>
      <c r="X36" s="14">
        <v>0</v>
      </c>
      <c r="Y36" s="14">
        <v>0</v>
      </c>
      <c r="Z36" s="13">
        <f t="shared" si="7"/>
        <v>436959</v>
      </c>
      <c r="AB36" s="14">
        <v>0</v>
      </c>
      <c r="AC36" s="14">
        <v>0</v>
      </c>
      <c r="AD36" s="14">
        <f t="shared" si="4"/>
        <v>0</v>
      </c>
      <c r="AF36" s="11"/>
      <c r="AJ36" s="15"/>
      <c r="AK36" s="12"/>
      <c r="AL36" s="12"/>
      <c r="AM36" s="12"/>
    </row>
    <row r="37" spans="1:39" x14ac:dyDescent="0.2">
      <c r="A37" s="25" t="s">
        <v>60</v>
      </c>
      <c r="B37" s="40">
        <v>0</v>
      </c>
      <c r="C37" s="1"/>
      <c r="G37" s="12"/>
      <c r="H37" s="12"/>
      <c r="W37" s="11">
        <f t="shared" si="2"/>
        <v>37231</v>
      </c>
      <c r="X37" s="14">
        <v>0</v>
      </c>
      <c r="Y37" s="14">
        <v>0</v>
      </c>
      <c r="Z37" s="13">
        <f t="shared" si="7"/>
        <v>436959</v>
      </c>
      <c r="AB37" s="14">
        <v>0</v>
      </c>
      <c r="AC37" s="14">
        <v>0</v>
      </c>
      <c r="AD37" s="14">
        <f t="shared" si="4"/>
        <v>0</v>
      </c>
      <c r="AL37" s="12"/>
      <c r="AM37" s="12"/>
    </row>
    <row r="38" spans="1:39" x14ac:dyDescent="0.2">
      <c r="A38" s="25" t="s">
        <v>53</v>
      </c>
      <c r="B38" s="40">
        <v>0</v>
      </c>
      <c r="C38" s="61"/>
      <c r="G38" s="12"/>
      <c r="H38" s="12"/>
      <c r="W38" s="11">
        <f t="shared" si="2"/>
        <v>37232</v>
      </c>
      <c r="X38" s="14">
        <v>0</v>
      </c>
      <c r="Y38" s="14">
        <v>0</v>
      </c>
      <c r="Z38" s="13">
        <f t="shared" si="7"/>
        <v>436959</v>
      </c>
      <c r="AB38" s="14">
        <v>0</v>
      </c>
      <c r="AC38" s="14">
        <v>0</v>
      </c>
      <c r="AD38" s="14">
        <f t="shared" si="4"/>
        <v>0</v>
      </c>
      <c r="AL38" s="12"/>
      <c r="AM38" s="12"/>
    </row>
    <row r="39" spans="1:39" x14ac:dyDescent="0.2">
      <c r="A39" s="25" t="s">
        <v>72</v>
      </c>
      <c r="B39" s="40">
        <v>0</v>
      </c>
      <c r="C39" s="1"/>
      <c r="D39" s="53"/>
      <c r="E39" s="54"/>
      <c r="G39" s="12"/>
      <c r="H39" s="12"/>
      <c r="W39" s="11">
        <f t="shared" si="2"/>
        <v>37233</v>
      </c>
      <c r="X39" s="14">
        <v>0</v>
      </c>
      <c r="Y39" s="14">
        <v>0</v>
      </c>
      <c r="Z39" s="13">
        <f t="shared" si="7"/>
        <v>436959</v>
      </c>
      <c r="AB39" s="14">
        <v>0</v>
      </c>
      <c r="AC39" s="14">
        <v>0</v>
      </c>
      <c r="AD39" s="14">
        <f t="shared" si="4"/>
        <v>0</v>
      </c>
      <c r="AJ39" s="12"/>
      <c r="AK39" s="12"/>
      <c r="AL39" s="12"/>
      <c r="AM39" s="12"/>
    </row>
    <row r="40" spans="1:39" x14ac:dyDescent="0.2">
      <c r="A40" s="25" t="s">
        <v>74</v>
      </c>
      <c r="B40" s="40">
        <v>0</v>
      </c>
      <c r="G40" s="12"/>
      <c r="H40" s="12"/>
      <c r="W40" s="11">
        <f t="shared" si="2"/>
        <v>37234</v>
      </c>
      <c r="X40" s="14">
        <v>0</v>
      </c>
      <c r="Y40" s="14">
        <v>0</v>
      </c>
      <c r="Z40" s="13">
        <f t="shared" si="5"/>
        <v>436959</v>
      </c>
      <c r="AB40" s="14">
        <v>0</v>
      </c>
      <c r="AC40" s="14">
        <v>0</v>
      </c>
      <c r="AD40" s="14">
        <f t="shared" si="4"/>
        <v>0</v>
      </c>
      <c r="AJ40" s="12"/>
      <c r="AK40" s="12"/>
      <c r="AL40" s="12"/>
      <c r="AM40" s="12"/>
    </row>
    <row r="41" spans="1:39" x14ac:dyDescent="0.2">
      <c r="A41" s="25" t="s">
        <v>79</v>
      </c>
      <c r="B41" s="40">
        <v>7383</v>
      </c>
      <c r="C41" s="14"/>
      <c r="G41" s="12"/>
      <c r="H41" s="12"/>
      <c r="W41" s="11">
        <f t="shared" si="2"/>
        <v>37235</v>
      </c>
      <c r="X41" s="14">
        <v>0</v>
      </c>
      <c r="Y41" s="14">
        <v>0</v>
      </c>
      <c r="Z41" s="13">
        <f t="shared" si="5"/>
        <v>436959</v>
      </c>
      <c r="AB41" s="14">
        <v>0</v>
      </c>
      <c r="AC41" s="14">
        <v>0</v>
      </c>
      <c r="AD41" s="14">
        <f t="shared" si="4"/>
        <v>0</v>
      </c>
      <c r="AJ41" s="12"/>
      <c r="AK41" s="12"/>
      <c r="AL41" s="12"/>
      <c r="AM41" s="12"/>
    </row>
    <row r="42" spans="1:39" x14ac:dyDescent="0.2">
      <c r="A42" s="25" t="s">
        <v>16</v>
      </c>
      <c r="B42" s="40">
        <v>0</v>
      </c>
      <c r="W42" s="11">
        <f t="shared" si="2"/>
        <v>37236</v>
      </c>
      <c r="X42" s="14">
        <v>0</v>
      </c>
      <c r="Y42" s="14">
        <v>0</v>
      </c>
      <c r="Z42" s="13">
        <f t="shared" si="5"/>
        <v>436959</v>
      </c>
      <c r="AB42" s="14">
        <v>0</v>
      </c>
      <c r="AC42" s="14">
        <v>0</v>
      </c>
      <c r="AD42" s="14">
        <f t="shared" si="4"/>
        <v>0</v>
      </c>
      <c r="AJ42" s="12"/>
      <c r="AK42" s="12"/>
      <c r="AL42" s="12"/>
      <c r="AM42" s="12"/>
    </row>
    <row r="43" spans="1:39" x14ac:dyDescent="0.2">
      <c r="A43" s="25" t="s">
        <v>55</v>
      </c>
      <c r="B43" s="40">
        <v>0</v>
      </c>
      <c r="E43" s="12"/>
      <c r="W43" s="11">
        <f t="shared" si="2"/>
        <v>37237</v>
      </c>
      <c r="X43" s="14">
        <v>0</v>
      </c>
      <c r="Y43" s="14">
        <v>0</v>
      </c>
      <c r="Z43" s="13">
        <f t="shared" si="5"/>
        <v>436959</v>
      </c>
      <c r="AB43" s="14">
        <v>0</v>
      </c>
      <c r="AC43" s="14">
        <v>0</v>
      </c>
      <c r="AD43" s="14">
        <f t="shared" si="4"/>
        <v>0</v>
      </c>
      <c r="AJ43" s="12"/>
      <c r="AK43" s="12"/>
      <c r="AL43" s="12"/>
      <c r="AM43" s="12"/>
    </row>
    <row r="44" spans="1:39" x14ac:dyDescent="0.2">
      <c r="A44" s="25" t="s">
        <v>21</v>
      </c>
      <c r="B44" s="47"/>
      <c r="C44" s="14"/>
      <c r="E44" s="12"/>
      <c r="W44" s="11">
        <f t="shared" si="2"/>
        <v>37238</v>
      </c>
      <c r="X44" s="14">
        <v>0</v>
      </c>
      <c r="Y44" s="14">
        <v>0</v>
      </c>
      <c r="Z44" s="13">
        <f t="shared" si="5"/>
        <v>436959</v>
      </c>
      <c r="AB44" s="14">
        <v>0</v>
      </c>
      <c r="AC44" s="14">
        <v>0</v>
      </c>
      <c r="AD44" s="14">
        <f t="shared" si="4"/>
        <v>0</v>
      </c>
    </row>
    <row r="45" spans="1:39" x14ac:dyDescent="0.2">
      <c r="A45" s="25" t="s">
        <v>50</v>
      </c>
      <c r="B45" s="40">
        <v>0</v>
      </c>
      <c r="E45" s="12"/>
      <c r="W45" s="11">
        <f t="shared" si="2"/>
        <v>37239</v>
      </c>
      <c r="X45" s="14">
        <v>0</v>
      </c>
      <c r="Y45" s="14">
        <v>0</v>
      </c>
      <c r="Z45" s="13">
        <f t="shared" si="5"/>
        <v>436959</v>
      </c>
      <c r="AB45" s="14">
        <v>0</v>
      </c>
      <c r="AC45" s="14">
        <v>0</v>
      </c>
      <c r="AD45" s="14">
        <f t="shared" si="4"/>
        <v>0</v>
      </c>
    </row>
    <row r="46" spans="1:39" x14ac:dyDescent="0.2">
      <c r="A46" s="25" t="s">
        <v>70</v>
      </c>
      <c r="B46" s="40">
        <v>20666</v>
      </c>
      <c r="C46" s="14"/>
      <c r="E46" s="12"/>
      <c r="W46" s="11">
        <f t="shared" si="2"/>
        <v>37240</v>
      </c>
      <c r="X46" s="14">
        <v>0</v>
      </c>
      <c r="Y46" s="14">
        <v>0</v>
      </c>
      <c r="Z46" s="13">
        <f t="shared" si="5"/>
        <v>436959</v>
      </c>
      <c r="AB46" s="14">
        <v>0</v>
      </c>
      <c r="AC46" s="14">
        <v>0</v>
      </c>
      <c r="AD46" s="14">
        <f t="shared" si="4"/>
        <v>0</v>
      </c>
    </row>
    <row r="47" spans="1:39" x14ac:dyDescent="0.2">
      <c r="A47" s="25" t="s">
        <v>37</v>
      </c>
      <c r="B47" s="40">
        <v>18000</v>
      </c>
      <c r="W47" s="11">
        <f t="shared" si="2"/>
        <v>37241</v>
      </c>
      <c r="X47" s="14">
        <v>0</v>
      </c>
      <c r="Y47" s="14">
        <v>0</v>
      </c>
      <c r="Z47" s="13">
        <f t="shared" si="5"/>
        <v>436959</v>
      </c>
      <c r="AB47" s="14">
        <v>0</v>
      </c>
      <c r="AC47" s="14">
        <v>0</v>
      </c>
      <c r="AD47" s="14">
        <f t="shared" si="4"/>
        <v>0</v>
      </c>
    </row>
    <row r="48" spans="1:39" x14ac:dyDescent="0.2">
      <c r="A48" s="25" t="s">
        <v>87</v>
      </c>
      <c r="B48" s="40">
        <v>0</v>
      </c>
      <c r="E48" s="12"/>
    </row>
    <row r="49" spans="1:5" x14ac:dyDescent="0.2">
      <c r="A49" s="25" t="s">
        <v>38</v>
      </c>
      <c r="B49" s="40"/>
      <c r="C49" s="14" t="s">
        <v>15</v>
      </c>
      <c r="E49" s="12"/>
    </row>
    <row r="50" spans="1:5" x14ac:dyDescent="0.2">
      <c r="A50" s="25" t="s">
        <v>48</v>
      </c>
      <c r="B50" s="40">
        <v>35000</v>
      </c>
      <c r="E50" s="12"/>
    </row>
    <row r="51" spans="1:5" x14ac:dyDescent="0.2">
      <c r="A51" s="25" t="s">
        <v>27</v>
      </c>
      <c r="B51" s="40">
        <v>0</v>
      </c>
      <c r="E51" s="12"/>
    </row>
    <row r="52" spans="1:5" x14ac:dyDescent="0.2">
      <c r="A52" s="25" t="s">
        <v>88</v>
      </c>
      <c r="B52" s="58">
        <v>0</v>
      </c>
      <c r="C52" s="14"/>
      <c r="E52" s="12"/>
    </row>
    <row r="53" spans="1:5" x14ac:dyDescent="0.2">
      <c r="A53" s="25" t="s">
        <v>41</v>
      </c>
      <c r="B53" s="40">
        <v>50000</v>
      </c>
      <c r="C53" s="61"/>
      <c r="E53" s="12"/>
    </row>
    <row r="54" spans="1:5" x14ac:dyDescent="0.2">
      <c r="A54" s="25" t="s">
        <v>39</v>
      </c>
      <c r="B54" s="40">
        <v>0</v>
      </c>
      <c r="C54" s="61"/>
      <c r="E54" s="12"/>
    </row>
    <row r="55" spans="1:5" x14ac:dyDescent="0.2">
      <c r="A55" s="25" t="s">
        <v>40</v>
      </c>
      <c r="B55" s="40">
        <v>0</v>
      </c>
      <c r="C55" s="14"/>
      <c r="E55" s="12"/>
    </row>
    <row r="56" spans="1:5" x14ac:dyDescent="0.2">
      <c r="A56" s="25" t="s">
        <v>75</v>
      </c>
      <c r="B56" s="40">
        <v>31500</v>
      </c>
      <c r="C56" s="14"/>
      <c r="E56" s="12"/>
    </row>
    <row r="57" spans="1:5" x14ac:dyDescent="0.2">
      <c r="A57" s="25" t="s">
        <v>80</v>
      </c>
      <c r="B57" s="58">
        <v>0</v>
      </c>
      <c r="C57" s="14"/>
      <c r="E57" s="12"/>
    </row>
    <row r="58" spans="1:5" x14ac:dyDescent="0.2">
      <c r="A58" s="25" t="s">
        <v>83</v>
      </c>
      <c r="B58" s="40">
        <v>0</v>
      </c>
      <c r="C58" s="14"/>
      <c r="E58" s="12"/>
    </row>
    <row r="59" spans="1:5" x14ac:dyDescent="0.2">
      <c r="A59" s="25" t="s">
        <v>84</v>
      </c>
      <c r="B59" s="40">
        <v>20000</v>
      </c>
      <c r="C59" s="14"/>
    </row>
    <row r="60" spans="1:5" x14ac:dyDescent="0.2">
      <c r="A60" s="25" t="s">
        <v>61</v>
      </c>
      <c r="B60" s="58">
        <v>0</v>
      </c>
      <c r="C60" s="14"/>
    </row>
    <row r="61" spans="1:5" x14ac:dyDescent="0.2">
      <c r="A61" s="25" t="s">
        <v>59</v>
      </c>
      <c r="B61" s="40">
        <v>0</v>
      </c>
      <c r="C61" s="62"/>
    </row>
    <row r="62" spans="1:5" ht="13.5" thickBot="1" x14ac:dyDescent="0.25">
      <c r="A62" s="25" t="s">
        <v>35</v>
      </c>
      <c r="B62" s="40">
        <v>0</v>
      </c>
    </row>
    <row r="63" spans="1:5" ht="13.5" thickBot="1" x14ac:dyDescent="0.25">
      <c r="A63" s="33" t="s">
        <v>36</v>
      </c>
      <c r="B63" s="34">
        <f>SUM(B31:B62)</f>
        <v>759281</v>
      </c>
    </row>
    <row r="64" spans="1:5" ht="13.5" thickBot="1" x14ac:dyDescent="0.25">
      <c r="A64" s="30"/>
      <c r="B64" s="36"/>
    </row>
    <row r="65" spans="1:2" x14ac:dyDescent="0.2">
      <c r="A65" s="27"/>
      <c r="B65" s="27"/>
    </row>
  </sheetData>
  <phoneticPr fontId="0" type="noConversion"/>
  <pageMargins left="0.55000000000000004" right="0.3" top="1" bottom="0.5" header="0.5" footer="0.23"/>
  <pageSetup scale="48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D64"/>
  <sheetViews>
    <sheetView zoomScale="75" workbookViewId="0">
      <selection activeCell="C1" sqref="C1"/>
    </sheetView>
  </sheetViews>
  <sheetFormatPr defaultRowHeight="12.75" x14ac:dyDescent="0.2"/>
  <cols>
    <col min="1" max="1" width="41.28515625" style="43" customWidth="1"/>
    <col min="2" max="2" width="11.42578125" style="43" bestFit="1" customWidth="1"/>
    <col min="3" max="3" width="11" style="2" bestFit="1" customWidth="1"/>
    <col min="4" max="4" width="37.28515625" style="2" customWidth="1"/>
    <col min="5" max="5" width="11" style="2" customWidth="1"/>
    <col min="6" max="6" width="9.28515625" style="2" customWidth="1"/>
    <col min="7" max="7" width="41.28515625" style="2" customWidth="1"/>
    <col min="8" max="8" width="11.42578125" style="2" bestFit="1" customWidth="1"/>
    <col min="9" max="9" width="11" style="2" bestFit="1" customWidth="1"/>
    <col min="10" max="10" width="37.28515625" style="2" customWidth="1"/>
    <col min="11" max="11" width="9.28515625" style="2" bestFit="1" customWidth="1"/>
    <col min="12" max="12" width="11.140625" style="2" customWidth="1"/>
    <col min="13" max="13" width="41.28515625" style="2" customWidth="1"/>
    <col min="14" max="14" width="11.5703125" style="2" customWidth="1"/>
    <col min="15" max="15" width="11" style="2" customWidth="1"/>
    <col min="16" max="16" width="37.28515625" style="2" customWidth="1"/>
    <col min="17" max="17" width="11" style="2" customWidth="1"/>
    <col min="18" max="18" width="9.140625" style="2" customWidth="1"/>
    <col min="19" max="19" width="41.140625" style="2" customWidth="1"/>
    <col min="20" max="20" width="11.42578125" style="2" customWidth="1"/>
    <col min="21" max="21" width="11" style="2" customWidth="1"/>
    <col min="22" max="22" width="37.28515625" style="2" customWidth="1"/>
    <col min="23" max="23" width="11" style="2" customWidth="1"/>
    <col min="24" max="24" width="9.140625" style="2" customWidth="1"/>
    <col min="25" max="25" width="41.140625" style="2" hidden="1" customWidth="1"/>
    <col min="26" max="26" width="11.42578125" style="2" hidden="1" customWidth="1"/>
    <col min="27" max="27" width="11" style="2" hidden="1" customWidth="1"/>
    <col min="28" max="28" width="37.28515625" style="2" hidden="1" customWidth="1"/>
    <col min="29" max="29" width="11" style="2" hidden="1" customWidth="1"/>
    <col min="30" max="30" width="9.140625" style="2" hidden="1" customWidth="1"/>
    <col min="31" max="31" width="0" style="2" hidden="1" customWidth="1"/>
    <col min="32" max="16384" width="9.140625" style="2"/>
  </cols>
  <sheetData>
    <row r="1" spans="1:30" ht="27.75" customHeight="1" thickBot="1" x14ac:dyDescent="0.35">
      <c r="A1" s="43" t="s">
        <v>0</v>
      </c>
      <c r="B1" s="44">
        <f ca="1">TODAY()</f>
        <v>41885</v>
      </c>
      <c r="D1" s="67" t="s">
        <v>89</v>
      </c>
      <c r="G1" s="2" t="s">
        <v>0</v>
      </c>
      <c r="H1" s="3">
        <f ca="1">TODAY()</f>
        <v>41885</v>
      </c>
      <c r="J1" s="67" t="s">
        <v>92</v>
      </c>
      <c r="M1" s="2" t="s">
        <v>0</v>
      </c>
      <c r="N1" s="3">
        <f ca="1">TODAY()</f>
        <v>41885</v>
      </c>
      <c r="P1" s="67" t="s">
        <v>91</v>
      </c>
      <c r="S1" s="2" t="s">
        <v>0</v>
      </c>
      <c r="T1" s="3">
        <f ca="1">TODAY()</f>
        <v>41885</v>
      </c>
      <c r="V1" s="67" t="s">
        <v>90</v>
      </c>
      <c r="Y1" s="2" t="s">
        <v>0</v>
      </c>
      <c r="Z1" s="3">
        <f ca="1">TODAY()</f>
        <v>41885</v>
      </c>
      <c r="AB1" s="67" t="s">
        <v>93</v>
      </c>
    </row>
    <row r="2" spans="1:30" ht="13.5" thickBot="1" x14ac:dyDescent="0.25">
      <c r="A2" s="43" t="s">
        <v>10</v>
      </c>
      <c r="B2" s="44">
        <f ca="1">TODAY()+2</f>
        <v>41887</v>
      </c>
      <c r="G2" s="2" t="s">
        <v>10</v>
      </c>
      <c r="H2" s="3">
        <f ca="1">TODAY()+3</f>
        <v>41888</v>
      </c>
      <c r="M2" s="2" t="s">
        <v>10</v>
      </c>
      <c r="N2" s="3">
        <f ca="1">TODAY()+4</f>
        <v>41889</v>
      </c>
      <c r="S2" s="2" t="s">
        <v>10</v>
      </c>
      <c r="T2" s="3">
        <f ca="1">TODAY()+5</f>
        <v>41890</v>
      </c>
      <c r="Y2" s="2" t="s">
        <v>10</v>
      </c>
      <c r="Z2" s="3">
        <f ca="1">TODAY()+4</f>
        <v>41889</v>
      </c>
    </row>
    <row r="3" spans="1:30" ht="25.5" customHeight="1" thickBot="1" x14ac:dyDescent="0.25">
      <c r="B3" s="45" t="s">
        <v>11</v>
      </c>
      <c r="C3" s="1" t="s">
        <v>12</v>
      </c>
      <c r="D3" s="1" t="s">
        <v>13</v>
      </c>
      <c r="H3" s="1" t="s">
        <v>11</v>
      </c>
      <c r="I3" s="1" t="s">
        <v>12</v>
      </c>
      <c r="J3" s="1" t="s">
        <v>13</v>
      </c>
      <c r="N3" s="1" t="s">
        <v>11</v>
      </c>
      <c r="O3" s="1" t="s">
        <v>12</v>
      </c>
      <c r="P3" s="1" t="s">
        <v>13</v>
      </c>
      <c r="T3" s="1" t="s">
        <v>11</v>
      </c>
      <c r="U3" s="1" t="s">
        <v>12</v>
      </c>
      <c r="V3" s="1" t="s">
        <v>13</v>
      </c>
      <c r="Z3" s="1" t="s">
        <v>11</v>
      </c>
      <c r="AA3" s="1" t="s">
        <v>12</v>
      </c>
      <c r="AB3" s="1" t="s">
        <v>13</v>
      </c>
    </row>
    <row r="4" spans="1:30" ht="13.5" thickBot="1" x14ac:dyDescent="0.25">
      <c r="A4" s="2" t="s">
        <v>14</v>
      </c>
      <c r="B4" s="16">
        <v>49</v>
      </c>
      <c r="C4" s="17">
        <v>38</v>
      </c>
      <c r="D4" s="18">
        <f>AVERAGE(B4,C4)</f>
        <v>43.5</v>
      </c>
      <c r="G4" s="2" t="s">
        <v>14</v>
      </c>
      <c r="H4" s="16">
        <v>48</v>
      </c>
      <c r="I4" s="17">
        <v>35</v>
      </c>
      <c r="J4" s="18">
        <f>AVERAGE(H4,I4)</f>
        <v>41.5</v>
      </c>
      <c r="M4" s="2" t="s">
        <v>14</v>
      </c>
      <c r="N4" s="16">
        <v>47</v>
      </c>
      <c r="O4" s="17">
        <v>37</v>
      </c>
      <c r="P4" s="18">
        <f>AVERAGE(N4,O4)</f>
        <v>42</v>
      </c>
      <c r="S4" s="2" t="s">
        <v>14</v>
      </c>
      <c r="T4" s="16">
        <v>0</v>
      </c>
      <c r="U4" s="17">
        <v>0</v>
      </c>
      <c r="V4" s="18">
        <f>AVERAGE(T4,U4)</f>
        <v>0</v>
      </c>
      <c r="Y4" s="2" t="s">
        <v>14</v>
      </c>
      <c r="Z4" s="16">
        <v>56</v>
      </c>
      <c r="AA4" s="17">
        <v>40</v>
      </c>
      <c r="AB4" s="18">
        <f>AVERAGE(Z4,AA4)</f>
        <v>48</v>
      </c>
    </row>
    <row r="5" spans="1:30" x14ac:dyDescent="0.2">
      <c r="A5" s="19"/>
      <c r="B5" s="20"/>
      <c r="C5" s="1"/>
      <c r="D5" s="19"/>
      <c r="E5" s="20"/>
      <c r="F5" s="1"/>
      <c r="G5" s="19"/>
      <c r="H5" s="20"/>
      <c r="I5" s="1"/>
      <c r="J5" s="19"/>
      <c r="K5" s="20"/>
      <c r="L5" s="1"/>
      <c r="M5" s="19"/>
      <c r="N5" s="20"/>
      <c r="O5" s="1"/>
      <c r="P5" s="19"/>
      <c r="Q5" s="20"/>
      <c r="R5" s="1"/>
      <c r="S5" s="19"/>
      <c r="T5" s="20"/>
      <c r="U5" s="1"/>
      <c r="V5" s="19"/>
      <c r="W5" s="20"/>
      <c r="X5" s="1"/>
      <c r="Y5" s="19"/>
      <c r="Z5" s="20"/>
      <c r="AA5" s="1"/>
      <c r="AB5" s="19"/>
      <c r="AC5" s="20"/>
      <c r="AD5" s="1"/>
    </row>
    <row r="6" spans="1:30" x14ac:dyDescent="0.2">
      <c r="A6" s="25" t="s">
        <v>18</v>
      </c>
      <c r="B6" s="40">
        <v>-600000</v>
      </c>
      <c r="C6" s="12">
        <v>0</v>
      </c>
      <c r="D6" s="25" t="s">
        <v>19</v>
      </c>
      <c r="E6" s="26">
        <v>-102000</v>
      </c>
      <c r="F6" s="12">
        <v>0</v>
      </c>
      <c r="G6" s="25" t="s">
        <v>18</v>
      </c>
      <c r="H6" s="40">
        <v>-600000</v>
      </c>
      <c r="I6" s="12">
        <v>0</v>
      </c>
      <c r="J6" s="25" t="s">
        <v>19</v>
      </c>
      <c r="K6" s="26">
        <v>-100000</v>
      </c>
      <c r="L6" s="12">
        <v>0</v>
      </c>
      <c r="M6" s="25" t="s">
        <v>18</v>
      </c>
      <c r="N6" s="40">
        <v>-615000</v>
      </c>
      <c r="O6" s="12">
        <v>0</v>
      </c>
      <c r="P6" s="25" t="s">
        <v>19</v>
      </c>
      <c r="Q6" s="26">
        <v>-103000</v>
      </c>
      <c r="R6" s="12">
        <v>0</v>
      </c>
      <c r="S6" s="25" t="s">
        <v>18</v>
      </c>
      <c r="T6" s="40">
        <v>-700000</v>
      </c>
      <c r="U6" s="12">
        <v>0</v>
      </c>
      <c r="V6" s="25" t="s">
        <v>19</v>
      </c>
      <c r="W6" s="26">
        <v>-120000</v>
      </c>
      <c r="X6" s="12">
        <v>0</v>
      </c>
      <c r="Y6" s="25" t="s">
        <v>18</v>
      </c>
      <c r="Z6" s="40">
        <v>-515000</v>
      </c>
      <c r="AA6" s="12">
        <v>0</v>
      </c>
      <c r="AB6" s="25" t="s">
        <v>19</v>
      </c>
      <c r="AC6" s="26">
        <v>-84000</v>
      </c>
      <c r="AD6" s="12">
        <v>0</v>
      </c>
    </row>
    <row r="7" spans="1:30" x14ac:dyDescent="0.2">
      <c r="A7" s="25" t="s">
        <v>47</v>
      </c>
      <c r="B7" s="40"/>
      <c r="D7" s="25" t="s">
        <v>22</v>
      </c>
      <c r="E7" s="26">
        <v>0</v>
      </c>
      <c r="G7" s="25" t="s">
        <v>47</v>
      </c>
      <c r="H7" s="40"/>
      <c r="J7" s="25" t="s">
        <v>22</v>
      </c>
      <c r="K7" s="26">
        <v>0</v>
      </c>
      <c r="M7" s="25" t="s">
        <v>47</v>
      </c>
      <c r="N7" s="40"/>
      <c r="P7" s="25" t="s">
        <v>22</v>
      </c>
      <c r="Q7" s="26">
        <v>0</v>
      </c>
      <c r="S7" s="25" t="s">
        <v>47</v>
      </c>
      <c r="T7" s="40"/>
      <c r="V7" s="25" t="s">
        <v>22</v>
      </c>
      <c r="W7" s="26">
        <v>0</v>
      </c>
      <c r="Y7" s="25" t="s">
        <v>47</v>
      </c>
      <c r="Z7" s="40"/>
      <c r="AB7" s="25" t="s">
        <v>22</v>
      </c>
      <c r="AC7" s="26">
        <v>0</v>
      </c>
    </row>
    <row r="8" spans="1:30" x14ac:dyDescent="0.2">
      <c r="A8" s="25" t="s">
        <v>49</v>
      </c>
      <c r="B8" s="40"/>
      <c r="D8" s="25" t="s">
        <v>23</v>
      </c>
      <c r="E8" s="26"/>
      <c r="G8" s="25" t="s">
        <v>49</v>
      </c>
      <c r="H8" s="40"/>
      <c r="J8" s="25" t="s">
        <v>23</v>
      </c>
      <c r="K8" s="26"/>
      <c r="M8" s="25" t="s">
        <v>49</v>
      </c>
      <c r="N8" s="40"/>
      <c r="P8" s="25" t="s">
        <v>23</v>
      </c>
      <c r="Q8" s="26"/>
      <c r="S8" s="25" t="s">
        <v>49</v>
      </c>
      <c r="T8" s="40"/>
      <c r="V8" s="25" t="s">
        <v>23</v>
      </c>
      <c r="W8" s="26"/>
      <c r="Y8" s="25" t="s">
        <v>49</v>
      </c>
      <c r="Z8" s="40"/>
      <c r="AB8" s="25" t="s">
        <v>23</v>
      </c>
      <c r="AC8" s="26"/>
    </row>
    <row r="9" spans="1:30" x14ac:dyDescent="0.2">
      <c r="A9" s="60" t="s">
        <v>52</v>
      </c>
      <c r="B9" s="58">
        <v>-50000</v>
      </c>
      <c r="C9" s="66">
        <v>0</v>
      </c>
      <c r="D9" s="25" t="s">
        <v>25</v>
      </c>
      <c r="E9" s="26">
        <v>-20000</v>
      </c>
      <c r="G9" s="60" t="s">
        <v>52</v>
      </c>
      <c r="H9" s="58">
        <v>-50000</v>
      </c>
      <c r="I9" s="66"/>
      <c r="J9" s="25" t="s">
        <v>25</v>
      </c>
      <c r="K9" s="26">
        <v>-20000</v>
      </c>
      <c r="M9" s="60" t="s">
        <v>52</v>
      </c>
      <c r="N9" s="58">
        <v>-50000</v>
      </c>
      <c r="O9" s="66"/>
      <c r="P9" s="25" t="s">
        <v>25</v>
      </c>
      <c r="Q9" s="26">
        <v>-20000</v>
      </c>
      <c r="S9" s="60" t="s">
        <v>52</v>
      </c>
      <c r="T9" s="58">
        <v>-50000</v>
      </c>
      <c r="U9" s="66"/>
      <c r="V9" s="25" t="s">
        <v>25</v>
      </c>
      <c r="W9" s="26">
        <v>-20000</v>
      </c>
      <c r="Y9" s="60" t="s">
        <v>52</v>
      </c>
      <c r="Z9" s="58">
        <v>-50000</v>
      </c>
      <c r="AA9" s="66"/>
      <c r="AB9" s="25" t="s">
        <v>25</v>
      </c>
      <c r="AC9" s="26">
        <v>-20000</v>
      </c>
    </row>
    <row r="10" spans="1:30" x14ac:dyDescent="0.2">
      <c r="A10" s="41" t="s">
        <v>71</v>
      </c>
      <c r="B10" s="40">
        <v>0</v>
      </c>
      <c r="C10" s="14" t="s">
        <v>15</v>
      </c>
      <c r="D10" s="25" t="s">
        <v>44</v>
      </c>
      <c r="E10" s="26"/>
      <c r="G10" s="41" t="s">
        <v>71</v>
      </c>
      <c r="H10" s="40">
        <v>0</v>
      </c>
      <c r="I10" s="14" t="s">
        <v>15</v>
      </c>
      <c r="J10" s="25" t="s">
        <v>44</v>
      </c>
      <c r="K10" s="26"/>
      <c r="M10" s="41" t="s">
        <v>71</v>
      </c>
      <c r="N10" s="40">
        <v>0</v>
      </c>
      <c r="O10" s="14" t="s">
        <v>15</v>
      </c>
      <c r="P10" s="25" t="s">
        <v>44</v>
      </c>
      <c r="Q10" s="26"/>
      <c r="S10" s="41" t="s">
        <v>71</v>
      </c>
      <c r="T10" s="40">
        <v>0</v>
      </c>
      <c r="U10" s="14" t="s">
        <v>15</v>
      </c>
      <c r="V10" s="25" t="s">
        <v>44</v>
      </c>
      <c r="W10" s="26"/>
      <c r="Y10" s="41" t="s">
        <v>71</v>
      </c>
      <c r="Z10" s="40">
        <v>0</v>
      </c>
      <c r="AA10" s="14" t="s">
        <v>15</v>
      </c>
      <c r="AB10" s="25" t="s">
        <v>44</v>
      </c>
      <c r="AC10" s="26"/>
    </row>
    <row r="11" spans="1:30" x14ac:dyDescent="0.2">
      <c r="A11" s="25" t="s">
        <v>25</v>
      </c>
      <c r="B11" s="40">
        <f>-96283-0-0-20000-7383+20666</f>
        <v>-103000</v>
      </c>
      <c r="C11" s="40"/>
      <c r="D11" s="25" t="s">
        <v>26</v>
      </c>
      <c r="E11" s="26">
        <v>0</v>
      </c>
      <c r="G11" s="25" t="s">
        <v>25</v>
      </c>
      <c r="H11" s="40">
        <f>-96283-0-0-20000-7383+20666</f>
        <v>-103000</v>
      </c>
      <c r="I11" s="40"/>
      <c r="J11" s="25" t="s">
        <v>26</v>
      </c>
      <c r="K11" s="26">
        <v>0</v>
      </c>
      <c r="M11" s="25" t="s">
        <v>25</v>
      </c>
      <c r="N11" s="40">
        <f>-96283-0-0-20000-7383+20666</f>
        <v>-103000</v>
      </c>
      <c r="O11" s="40"/>
      <c r="P11" s="25" t="s">
        <v>26</v>
      </c>
      <c r="Q11" s="26">
        <v>0</v>
      </c>
      <c r="S11" s="25" t="s">
        <v>25</v>
      </c>
      <c r="T11" s="40">
        <f>-96283-0-0-20000-7383+20666</f>
        <v>-103000</v>
      </c>
      <c r="U11" s="40"/>
      <c r="V11" s="25" t="s">
        <v>26</v>
      </c>
      <c r="W11" s="26">
        <v>0</v>
      </c>
      <c r="Y11" s="25" t="s">
        <v>25</v>
      </c>
      <c r="Z11" s="40">
        <f>-118283-0-0-20000-7383+20666</f>
        <v>-125000</v>
      </c>
      <c r="AA11" s="40"/>
      <c r="AB11" s="25" t="s">
        <v>26</v>
      </c>
      <c r="AC11" s="26">
        <v>0</v>
      </c>
    </row>
    <row r="12" spans="1:30" x14ac:dyDescent="0.2">
      <c r="A12" s="25" t="s">
        <v>63</v>
      </c>
      <c r="B12" s="40">
        <v>-20666</v>
      </c>
      <c r="C12" s="14"/>
      <c r="D12" s="41" t="s">
        <v>46</v>
      </c>
      <c r="E12" s="40">
        <v>0</v>
      </c>
      <c r="G12" s="25" t="s">
        <v>63</v>
      </c>
      <c r="H12" s="40">
        <v>-20666</v>
      </c>
      <c r="I12" s="14"/>
      <c r="J12" s="41" t="s">
        <v>46</v>
      </c>
      <c r="K12" s="40">
        <v>0</v>
      </c>
      <c r="M12" s="25" t="s">
        <v>63</v>
      </c>
      <c r="N12" s="40">
        <v>-20666</v>
      </c>
      <c r="O12" s="14"/>
      <c r="P12" s="41" t="s">
        <v>46</v>
      </c>
      <c r="Q12" s="40">
        <v>0</v>
      </c>
      <c r="S12" s="25" t="s">
        <v>63</v>
      </c>
      <c r="T12" s="40">
        <v>-20666</v>
      </c>
      <c r="U12" s="14"/>
      <c r="V12" s="41" t="s">
        <v>46</v>
      </c>
      <c r="W12" s="40">
        <v>0</v>
      </c>
      <c r="Y12" s="25" t="s">
        <v>63</v>
      </c>
      <c r="Z12" s="40">
        <v>-20666</v>
      </c>
      <c r="AA12" s="14"/>
      <c r="AB12" s="41" t="s">
        <v>46</v>
      </c>
      <c r="AC12" s="40">
        <v>0</v>
      </c>
    </row>
    <row r="13" spans="1:30" ht="13.5" thickBot="1" x14ac:dyDescent="0.25">
      <c r="A13" s="25" t="s">
        <v>16</v>
      </c>
      <c r="B13" s="40">
        <v>0</v>
      </c>
      <c r="C13" s="1"/>
      <c r="D13" s="60" t="s">
        <v>27</v>
      </c>
      <c r="E13" s="59">
        <v>-2641</v>
      </c>
      <c r="G13" s="25" t="s">
        <v>16</v>
      </c>
      <c r="H13" s="40">
        <v>0</v>
      </c>
      <c r="I13" s="1"/>
      <c r="J13" s="60" t="s">
        <v>27</v>
      </c>
      <c r="K13" s="59">
        <v>-4641</v>
      </c>
      <c r="M13" s="25" t="s">
        <v>16</v>
      </c>
      <c r="N13" s="40">
        <v>0</v>
      </c>
      <c r="O13" s="1"/>
      <c r="P13" s="60" t="s">
        <v>27</v>
      </c>
      <c r="Q13" s="59">
        <v>-1641</v>
      </c>
      <c r="S13" s="25" t="s">
        <v>16</v>
      </c>
      <c r="T13" s="40">
        <v>0</v>
      </c>
      <c r="U13" s="1"/>
      <c r="V13" s="25" t="s">
        <v>27</v>
      </c>
      <c r="W13" s="26">
        <v>0</v>
      </c>
      <c r="Y13" s="25" t="s">
        <v>16</v>
      </c>
      <c r="Z13" s="40">
        <v>0</v>
      </c>
      <c r="AA13" s="1"/>
      <c r="AB13" s="60" t="s">
        <v>27</v>
      </c>
      <c r="AC13" s="59">
        <v>-20641</v>
      </c>
    </row>
    <row r="14" spans="1:30" ht="13.5" thickBot="1" x14ac:dyDescent="0.25">
      <c r="A14" s="25" t="s">
        <v>55</v>
      </c>
      <c r="B14" s="40">
        <v>0</v>
      </c>
      <c r="C14" s="14"/>
      <c r="D14" s="33" t="s">
        <v>28</v>
      </c>
      <c r="E14" s="34">
        <f>SUM(E6:E13)</f>
        <v>-124641</v>
      </c>
      <c r="G14" s="25" t="s">
        <v>55</v>
      </c>
      <c r="H14" s="40">
        <v>0</v>
      </c>
      <c r="I14" s="14"/>
      <c r="J14" s="33" t="s">
        <v>28</v>
      </c>
      <c r="K14" s="34">
        <f>SUM(K6:K13)</f>
        <v>-124641</v>
      </c>
      <c r="M14" s="25" t="s">
        <v>55</v>
      </c>
      <c r="N14" s="40">
        <v>0</v>
      </c>
      <c r="O14" s="14"/>
      <c r="P14" s="33" t="s">
        <v>28</v>
      </c>
      <c r="Q14" s="34">
        <f>SUM(Q6:Q13)</f>
        <v>-124641</v>
      </c>
      <c r="S14" s="25" t="s">
        <v>55</v>
      </c>
      <c r="T14" s="40">
        <v>0</v>
      </c>
      <c r="U14" s="14"/>
      <c r="V14" s="33" t="s">
        <v>28</v>
      </c>
      <c r="W14" s="34">
        <f>SUM(W6:W13)</f>
        <v>-140000</v>
      </c>
      <c r="Y14" s="25" t="s">
        <v>55</v>
      </c>
      <c r="Z14" s="40">
        <v>0</v>
      </c>
      <c r="AA14" s="14"/>
      <c r="AB14" s="33" t="s">
        <v>28</v>
      </c>
      <c r="AC14" s="34">
        <f>SUM(AC6:AC13)</f>
        <v>-124641</v>
      </c>
    </row>
    <row r="15" spans="1:30" x14ac:dyDescent="0.2">
      <c r="A15" s="25" t="s">
        <v>23</v>
      </c>
      <c r="B15" s="40"/>
      <c r="C15" s="14"/>
      <c r="D15" s="25"/>
      <c r="E15" s="26"/>
      <c r="F15" s="14">
        <f>+E14+E29</f>
        <v>0</v>
      </c>
      <c r="G15" s="25" t="s">
        <v>23</v>
      </c>
      <c r="H15" s="40"/>
      <c r="I15" s="14"/>
      <c r="J15" s="25"/>
      <c r="K15" s="26"/>
      <c r="L15" s="14">
        <f>+K14+K29</f>
        <v>0</v>
      </c>
      <c r="M15" s="25" t="s">
        <v>23</v>
      </c>
      <c r="N15" s="40"/>
      <c r="O15" s="14"/>
      <c r="P15" s="25"/>
      <c r="Q15" s="26"/>
      <c r="R15" s="14">
        <f>+Q14+Q29</f>
        <v>0</v>
      </c>
      <c r="S15" s="25" t="s">
        <v>23</v>
      </c>
      <c r="T15" s="40"/>
      <c r="U15" s="14"/>
      <c r="V15" s="25"/>
      <c r="W15" s="26"/>
      <c r="X15" s="14">
        <f>+W14+W29</f>
        <v>0</v>
      </c>
      <c r="Y15" s="25" t="s">
        <v>23</v>
      </c>
      <c r="Z15" s="40"/>
      <c r="AA15" s="14"/>
      <c r="AB15" s="25"/>
      <c r="AC15" s="26"/>
      <c r="AD15" s="14">
        <f>+AC14+AC29</f>
        <v>0</v>
      </c>
    </row>
    <row r="16" spans="1:30" x14ac:dyDescent="0.2">
      <c r="A16" s="25" t="s">
        <v>48</v>
      </c>
      <c r="B16" s="40">
        <v>0</v>
      </c>
      <c r="C16" s="14"/>
      <c r="D16" s="25" t="s">
        <v>31</v>
      </c>
      <c r="E16" s="26">
        <v>39111</v>
      </c>
      <c r="G16" s="25" t="s">
        <v>48</v>
      </c>
      <c r="H16" s="40">
        <v>0</v>
      </c>
      <c r="I16" s="14"/>
      <c r="J16" s="25" t="s">
        <v>31</v>
      </c>
      <c r="K16" s="26">
        <v>39111</v>
      </c>
      <c r="M16" s="25" t="s">
        <v>48</v>
      </c>
      <c r="N16" s="40">
        <v>0</v>
      </c>
      <c r="O16" s="14"/>
      <c r="P16" s="25" t="s">
        <v>31</v>
      </c>
      <c r="Q16" s="26">
        <v>39111</v>
      </c>
      <c r="S16" s="25" t="s">
        <v>48</v>
      </c>
      <c r="T16" s="40">
        <v>0</v>
      </c>
      <c r="U16" s="14"/>
      <c r="V16" s="25" t="s">
        <v>31</v>
      </c>
      <c r="W16" s="26">
        <v>39111</v>
      </c>
      <c r="Y16" s="25" t="s">
        <v>48</v>
      </c>
      <c r="Z16" s="40">
        <v>0</v>
      </c>
      <c r="AA16" s="14"/>
      <c r="AB16" s="25" t="s">
        <v>31</v>
      </c>
      <c r="AC16" s="26">
        <v>39111</v>
      </c>
    </row>
    <row r="17" spans="1:30" x14ac:dyDescent="0.2">
      <c r="A17" s="25" t="s">
        <v>27</v>
      </c>
      <c r="B17" s="40">
        <v>0</v>
      </c>
      <c r="C17" s="14"/>
      <c r="D17" s="25" t="s">
        <v>32</v>
      </c>
      <c r="E17" s="26">
        <v>10000</v>
      </c>
      <c r="G17" s="25" t="s">
        <v>27</v>
      </c>
      <c r="H17" s="40">
        <v>0</v>
      </c>
      <c r="I17" s="14"/>
      <c r="J17" s="25" t="s">
        <v>32</v>
      </c>
      <c r="K17" s="26">
        <v>10000</v>
      </c>
      <c r="M17" s="25" t="s">
        <v>27</v>
      </c>
      <c r="N17" s="40">
        <v>0</v>
      </c>
      <c r="O17" s="14"/>
      <c r="P17" s="25" t="s">
        <v>32</v>
      </c>
      <c r="Q17" s="26">
        <v>10000</v>
      </c>
      <c r="S17" s="25" t="s">
        <v>27</v>
      </c>
      <c r="T17" s="40">
        <v>0</v>
      </c>
      <c r="U17" s="14"/>
      <c r="V17" s="25" t="s">
        <v>32</v>
      </c>
      <c r="W17" s="26">
        <v>10000</v>
      </c>
      <c r="Y17" s="25" t="s">
        <v>27</v>
      </c>
      <c r="Z17" s="40">
        <v>0</v>
      </c>
      <c r="AA17" s="14"/>
      <c r="AB17" s="25" t="s">
        <v>32</v>
      </c>
      <c r="AC17" s="26">
        <v>10000</v>
      </c>
    </row>
    <row r="18" spans="1:30" x14ac:dyDescent="0.2">
      <c r="A18" s="25" t="s">
        <v>88</v>
      </c>
      <c r="B18" s="40">
        <v>0</v>
      </c>
      <c r="D18" s="25" t="s">
        <v>33</v>
      </c>
      <c r="E18" s="26">
        <v>0</v>
      </c>
      <c r="F18" s="14" t="s">
        <v>15</v>
      </c>
      <c r="G18" s="25" t="s">
        <v>88</v>
      </c>
      <c r="H18" s="40">
        <v>0</v>
      </c>
      <c r="J18" s="25" t="s">
        <v>33</v>
      </c>
      <c r="K18" s="26">
        <v>0</v>
      </c>
      <c r="L18" s="14" t="s">
        <v>15</v>
      </c>
      <c r="M18" s="25" t="s">
        <v>88</v>
      </c>
      <c r="N18" s="40">
        <v>0</v>
      </c>
      <c r="P18" s="25" t="s">
        <v>33</v>
      </c>
      <c r="Q18" s="26">
        <v>0</v>
      </c>
      <c r="R18" s="14" t="s">
        <v>15</v>
      </c>
      <c r="S18" s="25" t="s">
        <v>88</v>
      </c>
      <c r="T18" s="40">
        <v>0</v>
      </c>
      <c r="V18" s="25" t="s">
        <v>33</v>
      </c>
      <c r="W18" s="26">
        <v>0</v>
      </c>
      <c r="X18" s="14" t="s">
        <v>15</v>
      </c>
      <c r="Y18" s="25" t="s">
        <v>88</v>
      </c>
      <c r="Z18" s="40">
        <v>0</v>
      </c>
      <c r="AB18" s="25" t="s">
        <v>33</v>
      </c>
      <c r="AC18" s="26">
        <v>0</v>
      </c>
      <c r="AD18" s="14" t="s">
        <v>15</v>
      </c>
    </row>
    <row r="19" spans="1:30" x14ac:dyDescent="0.2">
      <c r="A19" s="25" t="s">
        <v>67</v>
      </c>
      <c r="B19" s="40">
        <v>0</v>
      </c>
      <c r="C19" s="56"/>
      <c r="D19" s="25" t="s">
        <v>34</v>
      </c>
      <c r="E19" s="26">
        <v>31530</v>
      </c>
      <c r="G19" s="25" t="s">
        <v>67</v>
      </c>
      <c r="H19" s="40">
        <v>0</v>
      </c>
      <c r="I19" s="56"/>
      <c r="J19" s="25" t="s">
        <v>34</v>
      </c>
      <c r="K19" s="26">
        <v>31530</v>
      </c>
      <c r="M19" s="25" t="s">
        <v>67</v>
      </c>
      <c r="N19" s="40">
        <v>0</v>
      </c>
      <c r="O19" s="56"/>
      <c r="P19" s="25" t="s">
        <v>34</v>
      </c>
      <c r="Q19" s="26">
        <v>31530</v>
      </c>
      <c r="S19" s="25" t="s">
        <v>67</v>
      </c>
      <c r="T19" s="40">
        <v>0</v>
      </c>
      <c r="U19" s="56"/>
      <c r="V19" s="25" t="s">
        <v>34</v>
      </c>
      <c r="W19" s="26">
        <v>31530</v>
      </c>
      <c r="Y19" s="25" t="s">
        <v>67</v>
      </c>
      <c r="Z19" s="40">
        <v>0</v>
      </c>
      <c r="AA19" s="56"/>
      <c r="AB19" s="25" t="s">
        <v>34</v>
      </c>
      <c r="AC19" s="26">
        <v>31530</v>
      </c>
    </row>
    <row r="20" spans="1:30" x14ac:dyDescent="0.2">
      <c r="A20" s="25" t="s">
        <v>66</v>
      </c>
      <c r="B20" s="58">
        <v>0</v>
      </c>
      <c r="C20" s="14"/>
      <c r="D20" s="25" t="s">
        <v>38</v>
      </c>
      <c r="E20" s="26">
        <v>0</v>
      </c>
      <c r="G20" s="25" t="s">
        <v>66</v>
      </c>
      <c r="H20" s="58">
        <v>0</v>
      </c>
      <c r="I20" s="14"/>
      <c r="J20" s="25" t="s">
        <v>38</v>
      </c>
      <c r="K20" s="26">
        <v>0</v>
      </c>
      <c r="M20" s="25" t="s">
        <v>66</v>
      </c>
      <c r="N20" s="58">
        <v>0</v>
      </c>
      <c r="O20" s="14"/>
      <c r="P20" s="25" t="s">
        <v>38</v>
      </c>
      <c r="Q20" s="26">
        <v>0</v>
      </c>
      <c r="S20" s="25" t="s">
        <v>66</v>
      </c>
      <c r="T20" s="58">
        <v>0</v>
      </c>
      <c r="U20" s="14"/>
      <c r="V20" s="25" t="s">
        <v>38</v>
      </c>
      <c r="W20" s="26">
        <v>0</v>
      </c>
      <c r="Y20" s="25" t="s">
        <v>66</v>
      </c>
      <c r="Z20" s="58">
        <v>0</v>
      </c>
      <c r="AA20" s="14"/>
      <c r="AB20" s="25" t="s">
        <v>38</v>
      </c>
      <c r="AC20" s="26">
        <v>0</v>
      </c>
    </row>
    <row r="21" spans="1:30" x14ac:dyDescent="0.2">
      <c r="A21" s="25" t="s">
        <v>77</v>
      </c>
      <c r="B21" s="58">
        <v>0</v>
      </c>
      <c r="C21" s="14"/>
      <c r="D21" s="25" t="s">
        <v>48</v>
      </c>
      <c r="E21" s="26">
        <v>20000</v>
      </c>
      <c r="F21" s="25"/>
      <c r="G21" s="25" t="s">
        <v>77</v>
      </c>
      <c r="H21" s="58">
        <v>0</v>
      </c>
      <c r="I21" s="14"/>
      <c r="J21" s="25" t="s">
        <v>48</v>
      </c>
      <c r="K21" s="26">
        <v>20000</v>
      </c>
      <c r="L21" s="25"/>
      <c r="M21" s="25" t="s">
        <v>77</v>
      </c>
      <c r="N21" s="58">
        <v>0</v>
      </c>
      <c r="O21" s="14"/>
      <c r="P21" s="25" t="s">
        <v>48</v>
      </c>
      <c r="Q21" s="26">
        <v>20000</v>
      </c>
      <c r="R21" s="25"/>
      <c r="S21" s="25" t="s">
        <v>77</v>
      </c>
      <c r="T21" s="58">
        <v>0</v>
      </c>
      <c r="U21" s="14"/>
      <c r="V21" s="25" t="s">
        <v>48</v>
      </c>
      <c r="W21" s="26">
        <v>20000</v>
      </c>
      <c r="X21" s="25"/>
      <c r="Y21" s="25" t="s">
        <v>77</v>
      </c>
      <c r="Z21" s="58">
        <v>0</v>
      </c>
      <c r="AA21" s="14"/>
      <c r="AB21" s="25" t="s">
        <v>48</v>
      </c>
      <c r="AC21" s="26">
        <v>20000</v>
      </c>
      <c r="AD21" s="27"/>
    </row>
    <row r="22" spans="1:30" x14ac:dyDescent="0.2">
      <c r="A22" s="25" t="s">
        <v>42</v>
      </c>
      <c r="B22" s="40">
        <v>0</v>
      </c>
      <c r="D22" s="25" t="s">
        <v>27</v>
      </c>
      <c r="E22" s="26">
        <v>0</v>
      </c>
      <c r="F22" s="25"/>
      <c r="G22" s="25" t="s">
        <v>42</v>
      </c>
      <c r="H22" s="40">
        <v>0</v>
      </c>
      <c r="J22" s="25" t="s">
        <v>27</v>
      </c>
      <c r="K22" s="26">
        <v>0</v>
      </c>
      <c r="L22" s="25"/>
      <c r="M22" s="25" t="s">
        <v>42</v>
      </c>
      <c r="N22" s="40">
        <v>0</v>
      </c>
      <c r="P22" s="25" t="s">
        <v>27</v>
      </c>
      <c r="Q22" s="26">
        <v>0</v>
      </c>
      <c r="R22" s="25"/>
      <c r="S22" s="25" t="s">
        <v>42</v>
      </c>
      <c r="T22" s="40">
        <v>0</v>
      </c>
      <c r="V22" s="25" t="s">
        <v>27</v>
      </c>
      <c r="W22" s="26">
        <v>0</v>
      </c>
      <c r="X22" s="25"/>
      <c r="Y22" s="25" t="s">
        <v>42</v>
      </c>
      <c r="Z22" s="40">
        <v>0</v>
      </c>
      <c r="AB22" s="25" t="s">
        <v>27</v>
      </c>
      <c r="AC22" s="26">
        <v>0</v>
      </c>
      <c r="AD22" s="27"/>
    </row>
    <row r="23" spans="1:30" x14ac:dyDescent="0.2">
      <c r="A23" s="25" t="s">
        <v>43</v>
      </c>
      <c r="B23" s="40">
        <v>0</v>
      </c>
      <c r="C23" s="14"/>
      <c r="D23" s="25" t="s">
        <v>68</v>
      </c>
      <c r="E23" s="40">
        <v>7000</v>
      </c>
      <c r="F23" s="14">
        <v>0</v>
      </c>
      <c r="G23" s="25" t="s">
        <v>43</v>
      </c>
      <c r="H23" s="40">
        <v>0</v>
      </c>
      <c r="I23" s="14"/>
      <c r="J23" s="25" t="s">
        <v>68</v>
      </c>
      <c r="K23" s="40">
        <v>7000</v>
      </c>
      <c r="L23" s="14">
        <v>0</v>
      </c>
      <c r="M23" s="25" t="s">
        <v>43</v>
      </c>
      <c r="N23" s="40">
        <v>0</v>
      </c>
      <c r="O23" s="14"/>
      <c r="P23" s="25" t="s">
        <v>68</v>
      </c>
      <c r="Q23" s="40">
        <v>7000</v>
      </c>
      <c r="R23" s="14">
        <v>0</v>
      </c>
      <c r="S23" s="25" t="s">
        <v>43</v>
      </c>
      <c r="T23" s="40">
        <v>0</v>
      </c>
      <c r="U23" s="14"/>
      <c r="V23" s="25" t="s">
        <v>68</v>
      </c>
      <c r="W23" s="40">
        <v>7000</v>
      </c>
      <c r="X23" s="14">
        <v>0</v>
      </c>
      <c r="Y23" s="25" t="s">
        <v>43</v>
      </c>
      <c r="Z23" s="40">
        <v>0</v>
      </c>
      <c r="AA23" s="14"/>
      <c r="AB23" s="25" t="s">
        <v>68</v>
      </c>
      <c r="AC23" s="40">
        <v>7000</v>
      </c>
      <c r="AD23" s="14">
        <v>0</v>
      </c>
    </row>
    <row r="24" spans="1:30" x14ac:dyDescent="0.2">
      <c r="A24" s="25" t="s">
        <v>29</v>
      </c>
      <c r="B24" s="40">
        <v>0</v>
      </c>
      <c r="C24" s="14">
        <v>0</v>
      </c>
      <c r="D24" s="25" t="s">
        <v>86</v>
      </c>
      <c r="E24" s="40">
        <v>7000</v>
      </c>
      <c r="F24" s="14">
        <v>0</v>
      </c>
      <c r="G24" s="25" t="s">
        <v>29</v>
      </c>
      <c r="H24" s="40">
        <v>0</v>
      </c>
      <c r="I24" s="14">
        <v>0</v>
      </c>
      <c r="J24" s="25" t="s">
        <v>86</v>
      </c>
      <c r="K24" s="40">
        <v>7000</v>
      </c>
      <c r="L24" s="14">
        <v>0</v>
      </c>
      <c r="M24" s="25" t="s">
        <v>29</v>
      </c>
      <c r="N24" s="40">
        <v>0</v>
      </c>
      <c r="O24" s="14">
        <v>0</v>
      </c>
      <c r="P24" s="25" t="s">
        <v>86</v>
      </c>
      <c r="Q24" s="40">
        <v>7000</v>
      </c>
      <c r="R24" s="14">
        <v>0</v>
      </c>
      <c r="S24" s="25" t="s">
        <v>29</v>
      </c>
      <c r="T24" s="40">
        <v>0</v>
      </c>
      <c r="U24" s="14">
        <v>0</v>
      </c>
      <c r="V24" s="25" t="s">
        <v>86</v>
      </c>
      <c r="W24" s="40">
        <v>7000</v>
      </c>
      <c r="X24" s="14">
        <v>0</v>
      </c>
      <c r="Y24" s="25" t="s">
        <v>29</v>
      </c>
      <c r="Z24" s="40">
        <v>0</v>
      </c>
      <c r="AA24" s="14">
        <v>0</v>
      </c>
      <c r="AB24" s="25" t="s">
        <v>86</v>
      </c>
      <c r="AC24" s="40">
        <v>7000</v>
      </c>
      <c r="AD24" s="14">
        <v>0</v>
      </c>
    </row>
    <row r="25" spans="1:30" x14ac:dyDescent="0.2">
      <c r="A25" s="25" t="s">
        <v>73</v>
      </c>
      <c r="B25" s="40">
        <v>0</v>
      </c>
      <c r="C25" s="14"/>
      <c r="D25" s="25" t="s">
        <v>85</v>
      </c>
      <c r="E25" s="40">
        <v>10000</v>
      </c>
      <c r="G25" s="25" t="s">
        <v>73</v>
      </c>
      <c r="H25" s="40">
        <v>0</v>
      </c>
      <c r="I25" s="14"/>
      <c r="J25" s="25" t="s">
        <v>85</v>
      </c>
      <c r="K25" s="40">
        <v>10000</v>
      </c>
      <c r="M25" s="25" t="s">
        <v>73</v>
      </c>
      <c r="N25" s="40">
        <v>0</v>
      </c>
      <c r="O25" s="14"/>
      <c r="P25" s="25" t="s">
        <v>85</v>
      </c>
      <c r="Q25" s="40">
        <v>10000</v>
      </c>
      <c r="S25" s="25" t="s">
        <v>73</v>
      </c>
      <c r="T25" s="40">
        <v>0</v>
      </c>
      <c r="U25" s="14"/>
      <c r="V25" s="25" t="s">
        <v>85</v>
      </c>
      <c r="W25" s="40">
        <v>10000</v>
      </c>
      <c r="Y25" s="25" t="s">
        <v>73</v>
      </c>
      <c r="Z25" s="40">
        <v>0</v>
      </c>
      <c r="AA25" s="14"/>
      <c r="AB25" s="25" t="s">
        <v>85</v>
      </c>
      <c r="AC25" s="40">
        <v>10000</v>
      </c>
    </row>
    <row r="26" spans="1:30" x14ac:dyDescent="0.2">
      <c r="A26" s="25" t="s">
        <v>30</v>
      </c>
      <c r="B26" s="40">
        <v>-1600</v>
      </c>
      <c r="D26" s="25" t="s">
        <v>69</v>
      </c>
      <c r="E26" s="40">
        <v>0</v>
      </c>
      <c r="G26" s="25" t="s">
        <v>30</v>
      </c>
      <c r="H26" s="40">
        <v>-1600</v>
      </c>
      <c r="J26" s="25" t="s">
        <v>69</v>
      </c>
      <c r="K26" s="40">
        <v>0</v>
      </c>
      <c r="M26" s="25" t="s">
        <v>30</v>
      </c>
      <c r="N26" s="40">
        <v>-1600</v>
      </c>
      <c r="P26" s="25" t="s">
        <v>69</v>
      </c>
      <c r="Q26" s="40">
        <v>0</v>
      </c>
      <c r="S26" s="25" t="s">
        <v>30</v>
      </c>
      <c r="T26" s="40">
        <v>-2400</v>
      </c>
      <c r="V26" s="25" t="s">
        <v>69</v>
      </c>
      <c r="W26" s="40">
        <v>0</v>
      </c>
      <c r="Y26" s="25" t="s">
        <v>30</v>
      </c>
      <c r="Z26" s="40">
        <v>-1600</v>
      </c>
      <c r="AB26" s="25" t="s">
        <v>69</v>
      </c>
      <c r="AC26" s="40">
        <v>0</v>
      </c>
    </row>
    <row r="27" spans="1:30" x14ac:dyDescent="0.2">
      <c r="A27" s="25" t="s">
        <v>76</v>
      </c>
      <c r="B27" s="40">
        <v>-10000</v>
      </c>
      <c r="C27" s="14"/>
      <c r="D27" s="25" t="s">
        <v>78</v>
      </c>
      <c r="E27" s="58">
        <v>0</v>
      </c>
      <c r="G27" s="25" t="s">
        <v>76</v>
      </c>
      <c r="H27" s="40">
        <v>-10000</v>
      </c>
      <c r="I27" s="14"/>
      <c r="J27" s="25" t="s">
        <v>78</v>
      </c>
      <c r="K27" s="58">
        <v>0</v>
      </c>
      <c r="M27" s="25" t="s">
        <v>76</v>
      </c>
      <c r="N27" s="40">
        <v>-10000</v>
      </c>
      <c r="O27" s="14"/>
      <c r="P27" s="25" t="s">
        <v>78</v>
      </c>
      <c r="Q27" s="58">
        <v>0</v>
      </c>
      <c r="S27" s="25" t="s">
        <v>76</v>
      </c>
      <c r="T27" s="40">
        <v>-10000</v>
      </c>
      <c r="U27" s="14"/>
      <c r="V27" s="25" t="s">
        <v>78</v>
      </c>
      <c r="W27" s="58">
        <v>0</v>
      </c>
      <c r="Y27" s="25" t="s">
        <v>76</v>
      </c>
      <c r="Z27" s="40">
        <v>-10000</v>
      </c>
      <c r="AA27" s="14"/>
      <c r="AB27" s="25" t="s">
        <v>78</v>
      </c>
      <c r="AC27" s="58">
        <v>0</v>
      </c>
    </row>
    <row r="28" spans="1:30" ht="13.5" thickBot="1" x14ac:dyDescent="0.25">
      <c r="A28" s="25" t="s">
        <v>51</v>
      </c>
      <c r="B28" s="26">
        <v>0</v>
      </c>
      <c r="C28" s="57">
        <f>SUM(B29,B63)</f>
        <v>0</v>
      </c>
      <c r="D28" s="25" t="s">
        <v>35</v>
      </c>
      <c r="E28" s="26">
        <v>0</v>
      </c>
      <c r="G28" s="25" t="s">
        <v>51</v>
      </c>
      <c r="H28" s="26">
        <v>0</v>
      </c>
      <c r="I28" s="57">
        <f>SUM(H29,H63)</f>
        <v>-93302</v>
      </c>
      <c r="J28" s="25" t="s">
        <v>35</v>
      </c>
      <c r="K28" s="26">
        <v>0</v>
      </c>
      <c r="M28" s="25" t="s">
        <v>51</v>
      </c>
      <c r="N28" s="26">
        <v>0</v>
      </c>
      <c r="O28" s="57">
        <f>SUM(N29,N63)</f>
        <v>0</v>
      </c>
      <c r="P28" s="25" t="s">
        <v>35</v>
      </c>
      <c r="Q28" s="26">
        <v>0</v>
      </c>
      <c r="S28" s="25" t="s">
        <v>51</v>
      </c>
      <c r="T28" s="26">
        <v>0</v>
      </c>
      <c r="U28" s="57">
        <f>SUM(T29,T63)</f>
        <v>0</v>
      </c>
      <c r="V28" s="60" t="s">
        <v>35</v>
      </c>
      <c r="W28" s="59">
        <v>15359</v>
      </c>
      <c r="Y28" s="60" t="s">
        <v>51</v>
      </c>
      <c r="Z28" s="59">
        <v>-16349</v>
      </c>
      <c r="AA28" s="57">
        <f>SUM(Z29,Z63)</f>
        <v>0</v>
      </c>
      <c r="AB28" s="25" t="s">
        <v>35</v>
      </c>
      <c r="AC28" s="26">
        <v>0</v>
      </c>
    </row>
    <row r="29" spans="1:30" ht="13.5" thickBot="1" x14ac:dyDescent="0.25">
      <c r="A29" s="33" t="s">
        <v>28</v>
      </c>
      <c r="B29" s="34">
        <f>SUM(B6:B28)+B12</f>
        <v>-805932</v>
      </c>
      <c r="C29" s="14"/>
      <c r="D29" s="33" t="s">
        <v>36</v>
      </c>
      <c r="E29" s="34">
        <f>SUM(E16:E28)</f>
        <v>124641</v>
      </c>
      <c r="G29" s="33" t="s">
        <v>28</v>
      </c>
      <c r="H29" s="34">
        <f>SUM(H6:H28)+H12</f>
        <v>-805932</v>
      </c>
      <c r="I29" s="14"/>
      <c r="J29" s="33" t="s">
        <v>36</v>
      </c>
      <c r="K29" s="34">
        <f>SUM(K16:K28)</f>
        <v>124641</v>
      </c>
      <c r="M29" s="33" t="s">
        <v>28</v>
      </c>
      <c r="N29" s="34">
        <f>SUM(N6:N28)+N12</f>
        <v>-820932</v>
      </c>
      <c r="O29" s="14"/>
      <c r="P29" s="33" t="s">
        <v>36</v>
      </c>
      <c r="Q29" s="34">
        <f>SUM(Q16:Q28)</f>
        <v>124641</v>
      </c>
      <c r="S29" s="33" t="s">
        <v>28</v>
      </c>
      <c r="T29" s="34">
        <f>SUM(T6:T28)+T12</f>
        <v>-906732</v>
      </c>
      <c r="U29" s="14"/>
      <c r="V29" s="33" t="s">
        <v>36</v>
      </c>
      <c r="W29" s="34">
        <f>SUM(W16:W28)</f>
        <v>140000</v>
      </c>
      <c r="Y29" s="33" t="s">
        <v>28</v>
      </c>
      <c r="Z29" s="34">
        <f>SUM(Z6:Z28)+Z12</f>
        <v>-759281</v>
      </c>
      <c r="AA29" s="14"/>
      <c r="AB29" s="33" t="s">
        <v>36</v>
      </c>
      <c r="AC29" s="34">
        <f>SUM(AC16:AC28)</f>
        <v>124641</v>
      </c>
    </row>
    <row r="30" spans="1:30" ht="13.5" thickBot="1" x14ac:dyDescent="0.25">
      <c r="A30" s="25"/>
      <c r="B30" s="40"/>
      <c r="C30" s="14"/>
      <c r="D30" s="30"/>
      <c r="E30" s="35"/>
      <c r="F30" s="14"/>
      <c r="G30" s="25"/>
      <c r="H30" s="40"/>
      <c r="I30" s="14"/>
      <c r="J30" s="30"/>
      <c r="K30" s="35"/>
      <c r="L30" s="14"/>
      <c r="M30" s="25"/>
      <c r="N30" s="40"/>
      <c r="O30" s="14"/>
      <c r="P30" s="30"/>
      <c r="Q30" s="35"/>
      <c r="R30" s="14"/>
      <c r="S30" s="25"/>
      <c r="T30" s="40"/>
      <c r="U30" s="14"/>
      <c r="V30" s="30"/>
      <c r="W30" s="35"/>
      <c r="X30" s="14"/>
      <c r="Y30" s="25"/>
      <c r="Z30" s="40"/>
      <c r="AA30" s="14"/>
      <c r="AB30" s="30"/>
      <c r="AC30" s="35"/>
      <c r="AD30" s="14"/>
    </row>
    <row r="31" spans="1:30" x14ac:dyDescent="0.2">
      <c r="A31" s="25" t="s">
        <v>31</v>
      </c>
      <c r="B31" s="40">
        <v>187134</v>
      </c>
      <c r="C31" s="14"/>
      <c r="E31" s="12"/>
      <c r="G31" s="25" t="s">
        <v>31</v>
      </c>
      <c r="H31" s="40">
        <v>187134</v>
      </c>
      <c r="I31" s="14"/>
      <c r="K31" s="12"/>
      <c r="M31" s="25" t="s">
        <v>31</v>
      </c>
      <c r="N31" s="40">
        <v>187134</v>
      </c>
      <c r="O31" s="14"/>
      <c r="S31" s="25" t="s">
        <v>31</v>
      </c>
      <c r="T31" s="40">
        <v>187134</v>
      </c>
      <c r="U31" s="14"/>
      <c r="Y31" s="25" t="s">
        <v>31</v>
      </c>
      <c r="Z31" s="40">
        <v>187134</v>
      </c>
      <c r="AA31" s="14"/>
    </row>
    <row r="32" spans="1:30" x14ac:dyDescent="0.2">
      <c r="A32" s="25" t="s">
        <v>32</v>
      </c>
      <c r="B32" s="40">
        <v>125000</v>
      </c>
      <c r="C32" s="14"/>
      <c r="E32" s="12"/>
      <c r="G32" s="25" t="s">
        <v>32</v>
      </c>
      <c r="H32" s="40">
        <v>125000</v>
      </c>
      <c r="I32" s="14"/>
      <c r="K32" s="12"/>
      <c r="M32" s="25" t="s">
        <v>32</v>
      </c>
      <c r="N32" s="40">
        <v>125000</v>
      </c>
      <c r="O32" s="14"/>
      <c r="S32" s="25" t="s">
        <v>32</v>
      </c>
      <c r="T32" s="40">
        <v>125000</v>
      </c>
      <c r="U32" s="14"/>
      <c r="Y32" s="25" t="s">
        <v>32</v>
      </c>
      <c r="Z32" s="40">
        <v>125000</v>
      </c>
      <c r="AA32" s="14"/>
    </row>
    <row r="33" spans="1:27" x14ac:dyDescent="0.2">
      <c r="A33" s="25" t="s">
        <v>33</v>
      </c>
      <c r="B33" s="40">
        <v>0</v>
      </c>
      <c r="C33" s="14"/>
      <c r="D33" s="51"/>
      <c r="G33" s="25" t="s">
        <v>33</v>
      </c>
      <c r="H33" s="40">
        <v>0</v>
      </c>
      <c r="I33" s="14"/>
      <c r="J33" s="51"/>
      <c r="M33" s="25" t="s">
        <v>33</v>
      </c>
      <c r="N33" s="40">
        <v>0</v>
      </c>
      <c r="O33" s="14"/>
      <c r="S33" s="25" t="s">
        <v>33</v>
      </c>
      <c r="T33" s="40">
        <v>0</v>
      </c>
      <c r="U33" s="14"/>
      <c r="Y33" s="25" t="s">
        <v>33</v>
      </c>
      <c r="Z33" s="40">
        <v>0</v>
      </c>
      <c r="AA33" s="14"/>
    </row>
    <row r="34" spans="1:27" x14ac:dyDescent="0.2">
      <c r="A34" s="25" t="s">
        <v>34</v>
      </c>
      <c r="B34" s="40">
        <v>264598</v>
      </c>
      <c r="C34" s="14"/>
      <c r="G34" s="25" t="s">
        <v>34</v>
      </c>
      <c r="H34" s="40">
        <v>264598</v>
      </c>
      <c r="I34" s="14"/>
      <c r="M34" s="25" t="s">
        <v>34</v>
      </c>
      <c r="N34" s="40">
        <v>264598</v>
      </c>
      <c r="O34" s="14"/>
      <c r="S34" s="25" t="s">
        <v>34</v>
      </c>
      <c r="T34" s="40">
        <v>264598</v>
      </c>
      <c r="U34" s="14"/>
      <c r="Y34" s="25" t="s">
        <v>34</v>
      </c>
      <c r="Z34" s="40">
        <v>264598</v>
      </c>
      <c r="AA34" s="14"/>
    </row>
    <row r="35" spans="1:27" x14ac:dyDescent="0.2">
      <c r="A35" s="25" t="s">
        <v>81</v>
      </c>
      <c r="B35" s="58">
        <v>0</v>
      </c>
      <c r="C35" s="12"/>
      <c r="G35" s="25" t="s">
        <v>81</v>
      </c>
      <c r="H35" s="58">
        <v>0</v>
      </c>
      <c r="I35" s="12"/>
      <c r="M35" s="25" t="s">
        <v>81</v>
      </c>
      <c r="N35" s="58">
        <v>0</v>
      </c>
      <c r="O35" s="12"/>
      <c r="S35" s="25" t="s">
        <v>81</v>
      </c>
      <c r="T35" s="58">
        <v>0</v>
      </c>
      <c r="U35" s="12"/>
      <c r="Y35" s="25" t="s">
        <v>81</v>
      </c>
      <c r="Z35" s="58">
        <v>0</v>
      </c>
      <c r="AA35" s="12"/>
    </row>
    <row r="36" spans="1:27" x14ac:dyDescent="0.2">
      <c r="A36" s="25" t="s">
        <v>82</v>
      </c>
      <c r="B36" s="58">
        <v>0</v>
      </c>
      <c r="C36" s="12"/>
      <c r="G36" s="25" t="s">
        <v>82</v>
      </c>
      <c r="H36" s="58">
        <v>0</v>
      </c>
      <c r="I36" s="12"/>
      <c r="M36" s="25" t="s">
        <v>82</v>
      </c>
      <c r="N36" s="58">
        <v>0</v>
      </c>
      <c r="O36" s="12"/>
      <c r="S36" s="25" t="s">
        <v>82</v>
      </c>
      <c r="T36" s="58">
        <v>0</v>
      </c>
      <c r="U36" s="12"/>
      <c r="Y36" s="25" t="s">
        <v>82</v>
      </c>
      <c r="Z36" s="58">
        <v>0</v>
      </c>
      <c r="AA36" s="12"/>
    </row>
    <row r="37" spans="1:27" x14ac:dyDescent="0.2">
      <c r="A37" s="25" t="s">
        <v>60</v>
      </c>
      <c r="B37" s="40">
        <v>0</v>
      </c>
      <c r="C37" s="1"/>
      <c r="D37" s="50"/>
      <c r="G37" s="25" t="s">
        <v>60</v>
      </c>
      <c r="H37" s="40">
        <v>0</v>
      </c>
      <c r="I37" s="1"/>
      <c r="J37" s="50"/>
      <c r="M37" s="25" t="s">
        <v>60</v>
      </c>
      <c r="N37" s="40">
        <v>0</v>
      </c>
      <c r="O37" s="1"/>
      <c r="S37" s="25" t="s">
        <v>60</v>
      </c>
      <c r="T37" s="40">
        <v>0</v>
      </c>
      <c r="U37" s="1"/>
      <c r="Y37" s="25" t="s">
        <v>60</v>
      </c>
      <c r="Z37" s="40">
        <v>0</v>
      </c>
      <c r="AA37" s="1"/>
    </row>
    <row r="38" spans="1:27" x14ac:dyDescent="0.2">
      <c r="A38" s="25" t="s">
        <v>53</v>
      </c>
      <c r="B38" s="40">
        <v>0</v>
      </c>
      <c r="C38" s="61"/>
      <c r="D38" s="49"/>
      <c r="E38" s="14"/>
      <c r="G38" s="25" t="s">
        <v>53</v>
      </c>
      <c r="H38" s="40">
        <v>0</v>
      </c>
      <c r="I38" s="61"/>
      <c r="J38" s="49"/>
      <c r="K38" s="14"/>
      <c r="M38" s="25" t="s">
        <v>53</v>
      </c>
      <c r="N38" s="40">
        <v>0</v>
      </c>
      <c r="O38" s="61"/>
      <c r="S38" s="25" t="s">
        <v>53</v>
      </c>
      <c r="T38" s="40">
        <v>0</v>
      </c>
      <c r="U38" s="61"/>
      <c r="Y38" s="25" t="s">
        <v>53</v>
      </c>
      <c r="Z38" s="40">
        <v>0</v>
      </c>
      <c r="AA38" s="61"/>
    </row>
    <row r="39" spans="1:27" x14ac:dyDescent="0.2">
      <c r="A39" s="25" t="s">
        <v>72</v>
      </c>
      <c r="B39" s="40">
        <v>0</v>
      </c>
      <c r="C39" s="1"/>
      <c r="G39" s="25" t="s">
        <v>72</v>
      </c>
      <c r="H39" s="40">
        <v>0</v>
      </c>
      <c r="I39" s="1"/>
      <c r="M39" s="25" t="s">
        <v>72</v>
      </c>
      <c r="N39" s="40">
        <v>0</v>
      </c>
      <c r="O39" s="1"/>
      <c r="S39" s="25" t="s">
        <v>72</v>
      </c>
      <c r="T39" s="40">
        <v>0</v>
      </c>
      <c r="U39" s="1"/>
      <c r="Y39" s="25" t="s">
        <v>72</v>
      </c>
      <c r="Z39" s="40">
        <v>0</v>
      </c>
      <c r="AA39" s="1"/>
    </row>
    <row r="40" spans="1:27" x14ac:dyDescent="0.2">
      <c r="A40" s="25" t="s">
        <v>74</v>
      </c>
      <c r="B40" s="40">
        <v>0</v>
      </c>
      <c r="G40" s="25" t="s">
        <v>74</v>
      </c>
      <c r="H40" s="40">
        <v>0</v>
      </c>
      <c r="M40" s="25" t="s">
        <v>74</v>
      </c>
      <c r="N40" s="40">
        <v>0</v>
      </c>
      <c r="S40" s="25" t="s">
        <v>74</v>
      </c>
      <c r="T40" s="40">
        <v>0</v>
      </c>
      <c r="Y40" s="25" t="s">
        <v>74</v>
      </c>
      <c r="Z40" s="40">
        <v>0</v>
      </c>
    </row>
    <row r="41" spans="1:27" x14ac:dyDescent="0.2">
      <c r="A41" s="25" t="s">
        <v>79</v>
      </c>
      <c r="B41" s="40">
        <v>7383</v>
      </c>
      <c r="C41" s="14"/>
      <c r="G41" s="25" t="s">
        <v>79</v>
      </c>
      <c r="H41" s="40">
        <v>7383</v>
      </c>
      <c r="I41" s="14"/>
      <c r="M41" s="25" t="s">
        <v>79</v>
      </c>
      <c r="N41" s="40">
        <v>7383</v>
      </c>
      <c r="O41" s="14"/>
      <c r="S41" s="25" t="s">
        <v>79</v>
      </c>
      <c r="T41" s="40">
        <v>7383</v>
      </c>
      <c r="U41" s="14"/>
      <c r="Y41" s="25" t="s">
        <v>79</v>
      </c>
      <c r="Z41" s="40">
        <v>7383</v>
      </c>
      <c r="AA41" s="14"/>
    </row>
    <row r="42" spans="1:27" x14ac:dyDescent="0.2">
      <c r="A42" s="25" t="s">
        <v>16</v>
      </c>
      <c r="B42" s="40">
        <v>0</v>
      </c>
      <c r="G42" s="25" t="s">
        <v>16</v>
      </c>
      <c r="H42" s="40">
        <v>0</v>
      </c>
      <c r="M42" s="25" t="s">
        <v>16</v>
      </c>
      <c r="N42" s="40">
        <v>0</v>
      </c>
      <c r="S42" s="25" t="s">
        <v>16</v>
      </c>
      <c r="T42" s="40">
        <v>0</v>
      </c>
      <c r="Y42" s="25" t="s">
        <v>16</v>
      </c>
      <c r="Z42" s="40">
        <v>0</v>
      </c>
    </row>
    <row r="43" spans="1:27" x14ac:dyDescent="0.2">
      <c r="A43" s="25" t="s">
        <v>55</v>
      </c>
      <c r="B43" s="40">
        <v>0</v>
      </c>
      <c r="E43" s="12"/>
      <c r="G43" s="25" t="s">
        <v>55</v>
      </c>
      <c r="H43" s="40">
        <v>0</v>
      </c>
      <c r="K43" s="12"/>
      <c r="M43" s="25" t="s">
        <v>55</v>
      </c>
      <c r="N43" s="40">
        <v>0</v>
      </c>
      <c r="S43" s="25" t="s">
        <v>55</v>
      </c>
      <c r="T43" s="40">
        <v>0</v>
      </c>
      <c r="Y43" s="25" t="s">
        <v>55</v>
      </c>
      <c r="Z43" s="40">
        <v>0</v>
      </c>
    </row>
    <row r="44" spans="1:27" x14ac:dyDescent="0.2">
      <c r="A44" s="25" t="s">
        <v>21</v>
      </c>
      <c r="B44" s="47"/>
      <c r="C44" s="14"/>
      <c r="E44" s="12"/>
      <c r="G44" s="25" t="s">
        <v>21</v>
      </c>
      <c r="H44" s="47"/>
      <c r="I44" s="14"/>
      <c r="K44" s="12"/>
      <c r="M44" s="25" t="s">
        <v>21</v>
      </c>
      <c r="N44" s="47"/>
      <c r="O44" s="14"/>
      <c r="S44" s="25" t="s">
        <v>21</v>
      </c>
      <c r="T44" s="47"/>
      <c r="U44" s="14"/>
      <c r="Y44" s="25" t="s">
        <v>21</v>
      </c>
      <c r="Z44" s="47"/>
      <c r="AA44" s="14"/>
    </row>
    <row r="45" spans="1:27" x14ac:dyDescent="0.2">
      <c r="A45" s="25" t="s">
        <v>50</v>
      </c>
      <c r="B45" s="40">
        <v>0</v>
      </c>
      <c r="E45" s="12"/>
      <c r="G45" s="25" t="s">
        <v>50</v>
      </c>
      <c r="H45" s="40">
        <v>0</v>
      </c>
      <c r="K45" s="12"/>
      <c r="M45" s="25" t="s">
        <v>50</v>
      </c>
      <c r="N45" s="40">
        <v>0</v>
      </c>
      <c r="S45" s="25" t="s">
        <v>50</v>
      </c>
      <c r="T45" s="40">
        <v>0</v>
      </c>
      <c r="Y45" s="25" t="s">
        <v>50</v>
      </c>
      <c r="Z45" s="40">
        <v>0</v>
      </c>
    </row>
    <row r="46" spans="1:27" x14ac:dyDescent="0.2">
      <c r="A46" s="25" t="s">
        <v>70</v>
      </c>
      <c r="B46" s="40">
        <v>20666</v>
      </c>
      <c r="C46" s="14"/>
      <c r="E46" s="12"/>
      <c r="G46" s="25" t="s">
        <v>70</v>
      </c>
      <c r="H46" s="40">
        <v>20666</v>
      </c>
      <c r="I46" s="14"/>
      <c r="K46" s="12"/>
      <c r="M46" s="25" t="s">
        <v>70</v>
      </c>
      <c r="N46" s="40">
        <v>20666</v>
      </c>
      <c r="O46" s="14"/>
      <c r="S46" s="25" t="s">
        <v>70</v>
      </c>
      <c r="T46" s="40">
        <v>20666</v>
      </c>
      <c r="U46" s="14"/>
      <c r="Y46" s="25" t="s">
        <v>70</v>
      </c>
      <c r="Z46" s="40">
        <v>20666</v>
      </c>
      <c r="AA46" s="14"/>
    </row>
    <row r="47" spans="1:27" x14ac:dyDescent="0.2">
      <c r="A47" s="25" t="s">
        <v>37</v>
      </c>
      <c r="B47" s="40">
        <v>18000</v>
      </c>
      <c r="G47" s="25" t="s">
        <v>37</v>
      </c>
      <c r="H47" s="40">
        <v>18000</v>
      </c>
      <c r="M47" s="25" t="s">
        <v>37</v>
      </c>
      <c r="N47" s="40">
        <v>18000</v>
      </c>
      <c r="S47" s="25" t="s">
        <v>37</v>
      </c>
      <c r="T47" s="40">
        <v>18000</v>
      </c>
      <c r="Y47" s="25" t="s">
        <v>37</v>
      </c>
      <c r="Z47" s="40">
        <v>18000</v>
      </c>
    </row>
    <row r="48" spans="1:27" x14ac:dyDescent="0.2">
      <c r="A48" s="25" t="s">
        <v>87</v>
      </c>
      <c r="B48" s="40">
        <v>0</v>
      </c>
      <c r="E48" s="12"/>
      <c r="G48" s="25" t="s">
        <v>87</v>
      </c>
      <c r="H48" s="40">
        <v>0</v>
      </c>
      <c r="K48" s="12"/>
      <c r="M48" s="25" t="s">
        <v>87</v>
      </c>
      <c r="N48" s="40">
        <v>0</v>
      </c>
      <c r="S48" s="25" t="s">
        <v>87</v>
      </c>
      <c r="T48" s="40">
        <v>0</v>
      </c>
      <c r="Y48" s="25" t="s">
        <v>87</v>
      </c>
      <c r="Z48" s="40">
        <v>0</v>
      </c>
    </row>
    <row r="49" spans="1:27" x14ac:dyDescent="0.2">
      <c r="A49" s="25" t="s">
        <v>38</v>
      </c>
      <c r="B49" s="40"/>
      <c r="C49" s="14" t="s">
        <v>15</v>
      </c>
      <c r="E49" s="12"/>
      <c r="G49" s="25" t="s">
        <v>38</v>
      </c>
      <c r="H49" s="40"/>
      <c r="I49" s="14" t="s">
        <v>15</v>
      </c>
      <c r="K49" s="12"/>
      <c r="M49" s="25" t="s">
        <v>38</v>
      </c>
      <c r="N49" s="40"/>
      <c r="O49" s="14" t="s">
        <v>15</v>
      </c>
      <c r="S49" s="25" t="s">
        <v>38</v>
      </c>
      <c r="T49" s="40"/>
      <c r="U49" s="14" t="s">
        <v>15</v>
      </c>
      <c r="Y49" s="25" t="s">
        <v>38</v>
      </c>
      <c r="Z49" s="40"/>
      <c r="AA49" s="14" t="s">
        <v>15</v>
      </c>
    </row>
    <row r="50" spans="1:27" x14ac:dyDescent="0.2">
      <c r="A50" s="25" t="s">
        <v>48</v>
      </c>
      <c r="B50" s="40">
        <v>35000</v>
      </c>
      <c r="E50" s="12"/>
      <c r="G50" s="25" t="s">
        <v>48</v>
      </c>
      <c r="H50" s="40">
        <v>35000</v>
      </c>
      <c r="K50" s="12"/>
      <c r="M50" s="25" t="s">
        <v>48</v>
      </c>
      <c r="N50" s="40">
        <v>35000</v>
      </c>
      <c r="S50" s="25" t="s">
        <v>48</v>
      </c>
      <c r="T50" s="40">
        <v>35000</v>
      </c>
      <c r="Y50" s="25" t="s">
        <v>48</v>
      </c>
      <c r="Z50" s="40">
        <v>35000</v>
      </c>
    </row>
    <row r="51" spans="1:27" x14ac:dyDescent="0.2">
      <c r="A51" s="25" t="s">
        <v>27</v>
      </c>
      <c r="B51" s="40">
        <v>0</v>
      </c>
      <c r="E51" s="12"/>
      <c r="G51" s="25" t="s">
        <v>27</v>
      </c>
      <c r="H51" s="40">
        <v>0</v>
      </c>
      <c r="K51" s="12"/>
      <c r="M51" s="25" t="s">
        <v>27</v>
      </c>
      <c r="N51" s="40">
        <v>0</v>
      </c>
      <c r="S51" s="25" t="s">
        <v>27</v>
      </c>
      <c r="T51" s="40">
        <v>0</v>
      </c>
      <c r="Y51" s="25" t="s">
        <v>27</v>
      </c>
      <c r="Z51" s="40">
        <v>0</v>
      </c>
    </row>
    <row r="52" spans="1:27" x14ac:dyDescent="0.2">
      <c r="A52" s="25" t="s">
        <v>88</v>
      </c>
      <c r="B52" s="58">
        <v>0</v>
      </c>
      <c r="C52" s="14"/>
      <c r="E52" s="12"/>
      <c r="G52" s="25" t="s">
        <v>88</v>
      </c>
      <c r="H52" s="58">
        <v>0</v>
      </c>
      <c r="I52" s="14"/>
      <c r="K52" s="12"/>
      <c r="M52" s="25" t="s">
        <v>88</v>
      </c>
      <c r="N52" s="58">
        <v>0</v>
      </c>
      <c r="O52" s="14"/>
      <c r="S52" s="25" t="s">
        <v>88</v>
      </c>
      <c r="T52" s="58">
        <v>0</v>
      </c>
      <c r="U52" s="14"/>
      <c r="Y52" s="25" t="s">
        <v>88</v>
      </c>
      <c r="Z52" s="58">
        <v>0</v>
      </c>
      <c r="AA52" s="14"/>
    </row>
    <row r="53" spans="1:27" x14ac:dyDescent="0.2">
      <c r="A53" s="25" t="s">
        <v>41</v>
      </c>
      <c r="B53" s="40">
        <v>50000</v>
      </c>
      <c r="C53" s="61"/>
      <c r="E53" s="12"/>
      <c r="G53" s="25" t="s">
        <v>41</v>
      </c>
      <c r="H53" s="40">
        <v>50000</v>
      </c>
      <c r="I53" s="61"/>
      <c r="K53" s="12"/>
      <c r="M53" s="25" t="s">
        <v>41</v>
      </c>
      <c r="N53" s="40">
        <v>50000</v>
      </c>
      <c r="O53" s="61"/>
      <c r="S53" s="25" t="s">
        <v>41</v>
      </c>
      <c r="T53" s="40">
        <v>50000</v>
      </c>
      <c r="U53" s="61"/>
      <c r="Y53" s="25" t="s">
        <v>41</v>
      </c>
      <c r="Z53" s="40">
        <v>50000</v>
      </c>
      <c r="AA53" s="61"/>
    </row>
    <row r="54" spans="1:27" x14ac:dyDescent="0.2">
      <c r="A54" s="25" t="s">
        <v>39</v>
      </c>
      <c r="B54" s="40">
        <v>0</v>
      </c>
      <c r="C54" s="61"/>
      <c r="E54" s="12"/>
      <c r="G54" s="25" t="s">
        <v>39</v>
      </c>
      <c r="H54" s="40">
        <v>0</v>
      </c>
      <c r="I54" s="61"/>
      <c r="K54" s="12"/>
      <c r="M54" s="25" t="s">
        <v>39</v>
      </c>
      <c r="N54" s="40">
        <v>0</v>
      </c>
      <c r="O54" s="61"/>
      <c r="S54" s="25" t="s">
        <v>39</v>
      </c>
      <c r="T54" s="40">
        <v>0</v>
      </c>
      <c r="U54" s="61"/>
      <c r="Y54" s="25" t="s">
        <v>39</v>
      </c>
      <c r="Z54" s="40">
        <v>0</v>
      </c>
      <c r="AA54" s="61"/>
    </row>
    <row r="55" spans="1:27" x14ac:dyDescent="0.2">
      <c r="A55" s="25" t="s">
        <v>40</v>
      </c>
      <c r="B55" s="40">
        <v>0</v>
      </c>
      <c r="C55" s="14"/>
      <c r="E55" s="12"/>
      <c r="G55" s="25" t="s">
        <v>40</v>
      </c>
      <c r="H55" s="40">
        <v>0</v>
      </c>
      <c r="I55" s="14"/>
      <c r="K55" s="12"/>
      <c r="M55" s="25" t="s">
        <v>40</v>
      </c>
      <c r="N55" s="40">
        <v>0</v>
      </c>
      <c r="O55" s="14"/>
      <c r="S55" s="25" t="s">
        <v>40</v>
      </c>
      <c r="T55" s="40">
        <v>0</v>
      </c>
      <c r="U55" s="14"/>
      <c r="Y55" s="25" t="s">
        <v>40</v>
      </c>
      <c r="Z55" s="40">
        <v>0</v>
      </c>
      <c r="AA55" s="14"/>
    </row>
    <row r="56" spans="1:27" x14ac:dyDescent="0.2">
      <c r="A56" s="25" t="s">
        <v>75</v>
      </c>
      <c r="B56" s="40">
        <v>31500</v>
      </c>
      <c r="C56" s="14"/>
      <c r="E56" s="12"/>
      <c r="G56" s="25" t="s">
        <v>75</v>
      </c>
      <c r="H56" s="40">
        <v>31500</v>
      </c>
      <c r="I56" s="14"/>
      <c r="K56" s="12"/>
      <c r="M56" s="25" t="s">
        <v>75</v>
      </c>
      <c r="N56" s="40">
        <v>31500</v>
      </c>
      <c r="O56" s="14"/>
      <c r="S56" s="25" t="s">
        <v>75</v>
      </c>
      <c r="T56" s="40">
        <v>31500</v>
      </c>
      <c r="U56" s="14"/>
      <c r="Y56" s="25" t="s">
        <v>75</v>
      </c>
      <c r="Z56" s="40">
        <v>31500</v>
      </c>
      <c r="AA56" s="14"/>
    </row>
    <row r="57" spans="1:27" x14ac:dyDescent="0.2">
      <c r="A57" s="25" t="s">
        <v>80</v>
      </c>
      <c r="B57" s="58">
        <v>0</v>
      </c>
      <c r="C57" s="14"/>
      <c r="E57" s="12"/>
      <c r="G57" s="25" t="s">
        <v>80</v>
      </c>
      <c r="H57" s="58">
        <v>0</v>
      </c>
      <c r="I57" s="14"/>
      <c r="K57" s="12"/>
      <c r="M57" s="25" t="s">
        <v>80</v>
      </c>
      <c r="N57" s="58">
        <v>0</v>
      </c>
      <c r="O57" s="14"/>
      <c r="S57" s="25" t="s">
        <v>80</v>
      </c>
      <c r="T57" s="58">
        <v>0</v>
      </c>
      <c r="U57" s="14"/>
      <c r="Y57" s="25" t="s">
        <v>80</v>
      </c>
      <c r="Z57" s="58">
        <v>0</v>
      </c>
      <c r="AA57" s="14"/>
    </row>
    <row r="58" spans="1:27" x14ac:dyDescent="0.2">
      <c r="A58" s="25" t="s">
        <v>83</v>
      </c>
      <c r="B58" s="40">
        <v>0</v>
      </c>
      <c r="C58" s="14"/>
      <c r="G58" s="25" t="s">
        <v>83</v>
      </c>
      <c r="H58" s="40">
        <v>0</v>
      </c>
      <c r="I58" s="14"/>
      <c r="M58" s="25" t="s">
        <v>83</v>
      </c>
      <c r="N58" s="40">
        <v>0</v>
      </c>
      <c r="O58" s="14"/>
      <c r="S58" s="25" t="s">
        <v>83</v>
      </c>
      <c r="T58" s="40">
        <v>0</v>
      </c>
      <c r="U58" s="14"/>
      <c r="Y58" s="25" t="s">
        <v>83</v>
      </c>
      <c r="Z58" s="40">
        <v>0</v>
      </c>
      <c r="AA58" s="14"/>
    </row>
    <row r="59" spans="1:27" x14ac:dyDescent="0.2">
      <c r="A59" s="25" t="s">
        <v>84</v>
      </c>
      <c r="B59" s="40">
        <v>20000</v>
      </c>
      <c r="C59" s="14"/>
      <c r="E59" s="12"/>
      <c r="G59" s="25" t="s">
        <v>84</v>
      </c>
      <c r="H59" s="40">
        <v>20000</v>
      </c>
      <c r="I59" s="14"/>
      <c r="K59" s="12"/>
      <c r="M59" s="25" t="s">
        <v>84</v>
      </c>
      <c r="N59" s="40">
        <v>20000</v>
      </c>
      <c r="O59" s="14"/>
      <c r="S59" s="25" t="s">
        <v>84</v>
      </c>
      <c r="T59" s="40">
        <v>20000</v>
      </c>
      <c r="U59" s="14"/>
      <c r="Y59" s="25" t="s">
        <v>84</v>
      </c>
      <c r="Z59" s="40">
        <v>20000</v>
      </c>
      <c r="AA59" s="14"/>
    </row>
    <row r="60" spans="1:27" x14ac:dyDescent="0.2">
      <c r="A60" s="25" t="s">
        <v>61</v>
      </c>
      <c r="B60" s="58">
        <v>0</v>
      </c>
      <c r="C60" s="14"/>
      <c r="G60" s="25" t="s">
        <v>61</v>
      </c>
      <c r="H60" s="58">
        <v>0</v>
      </c>
      <c r="I60" s="14"/>
      <c r="M60" s="25" t="s">
        <v>61</v>
      </c>
      <c r="N60" s="58">
        <v>0</v>
      </c>
      <c r="O60" s="14"/>
      <c r="S60" s="25" t="s">
        <v>61</v>
      </c>
      <c r="T60" s="58">
        <v>0</v>
      </c>
      <c r="U60" s="14"/>
      <c r="Y60" s="25" t="s">
        <v>61</v>
      </c>
      <c r="Z60" s="58">
        <v>0</v>
      </c>
      <c r="AA60" s="14"/>
    </row>
    <row r="61" spans="1:27" x14ac:dyDescent="0.2">
      <c r="A61" s="25" t="s">
        <v>59</v>
      </c>
      <c r="B61" s="40">
        <v>0</v>
      </c>
      <c r="C61" s="62"/>
      <c r="G61" s="25" t="s">
        <v>59</v>
      </c>
      <c r="H61" s="40">
        <v>0</v>
      </c>
      <c r="I61" s="62"/>
      <c r="M61" s="25" t="s">
        <v>59</v>
      </c>
      <c r="N61" s="40">
        <v>0</v>
      </c>
      <c r="O61" s="62"/>
      <c r="S61" s="25" t="s">
        <v>59</v>
      </c>
      <c r="T61" s="40">
        <v>0</v>
      </c>
      <c r="U61" s="62"/>
      <c r="Y61" s="25" t="s">
        <v>59</v>
      </c>
      <c r="Z61" s="40">
        <v>0</v>
      </c>
      <c r="AA61" s="62"/>
    </row>
    <row r="62" spans="1:27" ht="13.5" thickBot="1" x14ac:dyDescent="0.25">
      <c r="A62" s="60" t="s">
        <v>35</v>
      </c>
      <c r="B62" s="58">
        <v>46651</v>
      </c>
      <c r="G62" s="60" t="s">
        <v>35</v>
      </c>
      <c r="H62" s="58">
        <v>-46651</v>
      </c>
      <c r="M62" s="60" t="s">
        <v>35</v>
      </c>
      <c r="N62" s="58">
        <v>61651</v>
      </c>
      <c r="S62" s="60" t="s">
        <v>35</v>
      </c>
      <c r="T62" s="58">
        <v>147451</v>
      </c>
      <c r="Y62" s="25" t="s">
        <v>35</v>
      </c>
      <c r="Z62" s="40">
        <v>0</v>
      </c>
    </row>
    <row r="63" spans="1:27" ht="13.5" thickBot="1" x14ac:dyDescent="0.25">
      <c r="A63" s="33" t="s">
        <v>36</v>
      </c>
      <c r="B63" s="34">
        <f>SUM(B31:B62)</f>
        <v>805932</v>
      </c>
      <c r="G63" s="33" t="s">
        <v>36</v>
      </c>
      <c r="H63" s="34">
        <f>SUM(H31:H62)</f>
        <v>712630</v>
      </c>
      <c r="M63" s="33" t="s">
        <v>36</v>
      </c>
      <c r="N63" s="34">
        <f>SUM(N31:N62)</f>
        <v>820932</v>
      </c>
      <c r="S63" s="33" t="s">
        <v>36</v>
      </c>
      <c r="T63" s="34">
        <f>SUM(T31:T62)</f>
        <v>906732</v>
      </c>
      <c r="Y63" s="33" t="s">
        <v>36</v>
      </c>
      <c r="Z63" s="34">
        <f>SUM(Z31:Z62)</f>
        <v>759281</v>
      </c>
    </row>
    <row r="64" spans="1:27" ht="13.5" thickBot="1" x14ac:dyDescent="0.25">
      <c r="A64" s="30"/>
      <c r="B64" s="36"/>
      <c r="G64" s="30"/>
      <c r="H64" s="36"/>
      <c r="M64" s="30"/>
      <c r="N64" s="36"/>
      <c r="S64" s="30"/>
      <c r="T64" s="36"/>
      <c r="Y64" s="30"/>
      <c r="Z64" s="36"/>
    </row>
  </sheetData>
  <phoneticPr fontId="0" type="noConversion"/>
  <pageMargins left="0.55000000000000004" right="0.3" top="1" bottom="0.5" header="0.5" footer="0.5"/>
  <pageSetup scale="60" fitToWidth="2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DAILY</vt:lpstr>
      <vt:lpstr>WEEKEND</vt:lpstr>
      <vt:lpstr>DAILY!Print_Area</vt:lpstr>
      <vt:lpstr>WEEKEND!Print_Area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Felienne</cp:lastModifiedBy>
  <cp:lastPrinted>2001-11-20T20:25:58Z</cp:lastPrinted>
  <dcterms:created xsi:type="dcterms:W3CDTF">2000-09-26T13:26:15Z</dcterms:created>
  <dcterms:modified xsi:type="dcterms:W3CDTF">2014-09-03T19:14:07Z</dcterms:modified>
</cp:coreProperties>
</file>