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15" yWindow="-15" windowWidth="15360" windowHeight="867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152511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AD2" i="9"/>
  <c r="AD3" i="9" s="1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G2" i="9"/>
  <c r="AH2" i="9"/>
  <c r="AJ2" i="9"/>
  <c r="AK2" i="9"/>
  <c r="K3" i="9"/>
  <c r="L3" i="9"/>
  <c r="P3" i="9"/>
  <c r="T3" i="9"/>
  <c r="W3" i="9"/>
  <c r="AF3" i="9"/>
  <c r="AG3" i="9"/>
  <c r="AH3" i="9"/>
  <c r="AJ3" i="9"/>
  <c r="AK3" i="9"/>
  <c r="D4" i="9"/>
  <c r="M4" i="9"/>
  <c r="W4" i="9"/>
  <c r="AF4" i="9"/>
  <c r="AG4" i="9"/>
  <c r="AH4" i="9"/>
  <c r="AJ4" i="9"/>
  <c r="AK4" i="9"/>
  <c r="M5" i="9"/>
  <c r="W5" i="9"/>
  <c r="AF5" i="9"/>
  <c r="AJ5" i="9" s="1"/>
  <c r="AG5" i="9"/>
  <c r="AH5" i="9"/>
  <c r="AK5" i="9"/>
  <c r="K6" i="9"/>
  <c r="L6" i="9"/>
  <c r="M6" i="9" s="1"/>
  <c r="W6" i="9"/>
  <c r="AG6" i="9"/>
  <c r="AH6" i="9"/>
  <c r="AK6" i="9"/>
  <c r="W7" i="9"/>
  <c r="AG7" i="9"/>
  <c r="AH7" i="9"/>
  <c r="AK7" i="9"/>
  <c r="W8" i="9"/>
  <c r="AG8" i="9"/>
  <c r="AH8" i="9"/>
  <c r="AK8" i="9"/>
  <c r="W9" i="9"/>
  <c r="AG9" i="9"/>
  <c r="AH9" i="9"/>
  <c r="AK9" i="9"/>
  <c r="W10" i="9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AG10" i="9"/>
  <c r="AH10" i="9"/>
  <c r="AK10" i="9"/>
  <c r="B11" i="9"/>
  <c r="AG11" i="9"/>
  <c r="AH11" i="9"/>
  <c r="AK11" i="9"/>
  <c r="AG12" i="9"/>
  <c r="AH12" i="9"/>
  <c r="AK12" i="9"/>
  <c r="AG13" i="9"/>
  <c r="AH13" i="9"/>
  <c r="AK13" i="9"/>
  <c r="E14" i="9"/>
  <c r="F15" i="9" s="1"/>
  <c r="AG14" i="9"/>
  <c r="AH14" i="9"/>
  <c r="AK14" i="9"/>
  <c r="AG15" i="9"/>
  <c r="AH15" i="9"/>
  <c r="AK15" i="9"/>
  <c r="AG16" i="9"/>
  <c r="AH16" i="9"/>
  <c r="AK16" i="9"/>
  <c r="AG17" i="9"/>
  <c r="AH17" i="9"/>
  <c r="AK17" i="9"/>
  <c r="AG18" i="9"/>
  <c r="AH18" i="9"/>
  <c r="AK18" i="9"/>
  <c r="AG19" i="9"/>
  <c r="AH19" i="9"/>
  <c r="AK19" i="9"/>
  <c r="AG20" i="9"/>
  <c r="AH20" i="9"/>
  <c r="AK20" i="9"/>
  <c r="AG21" i="9"/>
  <c r="AH21" i="9"/>
  <c r="AK21" i="9"/>
  <c r="AG22" i="9"/>
  <c r="AH22" i="9"/>
  <c r="AK22" i="9"/>
  <c r="AG23" i="9"/>
  <c r="AH23" i="9"/>
  <c r="AK23" i="9"/>
  <c r="E24" i="9"/>
  <c r="AG24" i="9"/>
  <c r="AH24" i="9"/>
  <c r="AK24" i="9"/>
  <c r="AG25" i="9"/>
  <c r="AH25" i="9"/>
  <c r="AK25" i="9"/>
  <c r="AG26" i="9"/>
  <c r="AK26" i="9"/>
  <c r="AG27" i="9"/>
  <c r="AK27" i="9"/>
  <c r="AG28" i="9"/>
  <c r="AK28" i="9"/>
  <c r="B29" i="9"/>
  <c r="C28" i="9" s="1"/>
  <c r="AG29" i="9"/>
  <c r="E30" i="9"/>
  <c r="AG30" i="9"/>
  <c r="AG31" i="9"/>
  <c r="B64" i="9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H11" i="11"/>
  <c r="N11" i="11"/>
  <c r="N29" i="11" s="1"/>
  <c r="O28" i="11" s="1"/>
  <c r="T11" i="11"/>
  <c r="Z11" i="11"/>
  <c r="E14" i="11"/>
  <c r="K14" i="11"/>
  <c r="L15" i="11" s="1"/>
  <c r="Q14" i="11"/>
  <c r="R15" i="11" s="1"/>
  <c r="W14" i="11"/>
  <c r="X15" i="11" s="1"/>
  <c r="AC14" i="11"/>
  <c r="F15" i="11"/>
  <c r="AD15" i="11"/>
  <c r="C28" i="11"/>
  <c r="B29" i="11"/>
  <c r="E29" i="11"/>
  <c r="H29" i="11"/>
  <c r="I28" i="11" s="1"/>
  <c r="K29" i="11"/>
  <c r="Q29" i="11"/>
  <c r="T29" i="11"/>
  <c r="U28" i="11" s="1"/>
  <c r="W29" i="11"/>
  <c r="Z29" i="11"/>
  <c r="AA28" i="11" s="1"/>
  <c r="AC29" i="11"/>
  <c r="B63" i="11"/>
  <c r="H63" i="11"/>
  <c r="N63" i="11"/>
  <c r="T63" i="11"/>
  <c r="Z63" i="11"/>
  <c r="Z32" i="9" l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Q6" i="9"/>
  <c r="AD32" i="9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U6" i="9"/>
  <c r="AF6" i="9"/>
  <c r="AJ6" i="9" l="1"/>
  <c r="AF7" i="9"/>
  <c r="AJ7" i="9" l="1"/>
  <c r="AF8" i="9"/>
  <c r="AF9" i="9" l="1"/>
  <c r="AJ8" i="9"/>
  <c r="AJ9" i="9" l="1"/>
  <c r="AF10" i="9"/>
  <c r="AF11" i="9" l="1"/>
  <c r="AJ10" i="9"/>
  <c r="AJ11" i="9" l="1"/>
  <c r="AF12" i="9"/>
  <c r="AF13" i="9" l="1"/>
  <c r="AJ12" i="9"/>
  <c r="AJ13" i="9" l="1"/>
  <c r="AF14" i="9"/>
  <c r="AJ14" i="9" l="1"/>
  <c r="AF15" i="9"/>
  <c r="AJ15" i="9" l="1"/>
  <c r="AF16" i="9"/>
  <c r="AJ16" i="9" l="1"/>
  <c r="AF17" i="9"/>
  <c r="AJ17" i="9" l="1"/>
  <c r="AF18" i="9"/>
  <c r="AJ18" i="9" l="1"/>
  <c r="AF19" i="9"/>
  <c r="AJ19" i="9" l="1"/>
  <c r="AF20" i="9"/>
  <c r="AJ20" i="9" l="1"/>
  <c r="AF21" i="9"/>
  <c r="AJ21" i="9" l="1"/>
  <c r="AF22" i="9"/>
  <c r="AJ22" i="9" l="1"/>
  <c r="AF23" i="9"/>
  <c r="AJ23" i="9" l="1"/>
  <c r="AF24" i="9"/>
  <c r="AF25" i="9" l="1"/>
  <c r="AJ24" i="9"/>
  <c r="AJ25" i="9" l="1"/>
  <c r="AF26" i="9"/>
  <c r="AJ26" i="9" l="1"/>
  <c r="AF27" i="9"/>
  <c r="AJ27" i="9" l="1"/>
  <c r="AF28" i="9"/>
  <c r="AJ28" i="9" l="1"/>
  <c r="AF29" i="9"/>
  <c r="AJ29" i="9" l="1"/>
  <c r="AF30" i="9"/>
  <c r="AJ30" i="9" l="1"/>
  <c r="AF31" i="9"/>
  <c r="AF32" i="9" l="1"/>
  <c r="AJ32" i="9" s="1"/>
  <c r="AJ31" i="9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<sst xmlns="http://schemas.openxmlformats.org/spreadsheetml/2006/main" count="571" uniqueCount="101">
  <si>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</si>
  <si>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</si>
  <si>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</si>
  <si>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</si>
  <si>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</si>
  <si>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</si>
  <si>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</si>
  <si>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</si>
  <si>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</si>
  <si>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</si>
  <si>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</si>
  <si>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</si>
  <si>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</si>
  <si>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</si>
  <si>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</si>
  <si>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</si>
  <si>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</si>
  <si>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</si>
  <si>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</si>
  <si>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</si>
  <si>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</si>
  <si>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</si>
  <si>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</si>
  <si>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</si>
  <si>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</si>
  <si>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</si>
  <si>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</si>
  <si>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</si>
  <si>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</si>
  <si>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</si>
  <si>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</si>
  <si>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</si>
  <si>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</si>
  <si>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</si>
  <si>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</si>
  <si>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</si>
  <si>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</si>
  <si>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</si>
  <si>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</si>
  <si>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</si>
  <si>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</si>
  <si>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</si>
  <si>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</si>
  <si>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</si>
  <si>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</si>
  <si>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</si>
  <si>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</si>
  <si>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</si>
  <si>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</si>
  <si>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</si>
  <si>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</si>
  <si>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</si>
  <si>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</si>
  <si>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</si>
  <si>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</si>
  <si>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</si>
  <si>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</si>
  <si>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</si>
  <si>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</si>
  <si>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</si>
  <si>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</si>
  <si>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</si>
  <si>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</si>
  <si>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</si>
  <si>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</si>
  <si>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</si>
  <si>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</si>
  <si>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</si>
  <si>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</si>
  <si>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</si>
  <si>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</si>
  <si>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</si>
  <si>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</si>
  <si>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</si>
  <si>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</si>
  <si>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</si>
  <si>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</si>
  <si>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</si>
  <si>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</si>
  <si>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</si>
  <si>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</si>
  <si>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</si>
  <si>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</si>
  <si>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</si>
  <si>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</si>
  <si>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</si>
  <si>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</si>
  <si>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</si>
  <si>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</si>
  <si>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</si>
  <si>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</si>
  <si>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</si>
  <si>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</si>
  <si>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</si>
  <si>
    <t>Lorinda</t>
  </si>
  <si>
    <t xml:space="preserve">     -  ADDITIONAL NGPL DSS WITHDRWALS</t>
  </si>
  <si>
    <t>********  NOTES  **********</t>
  </si>
  <si>
    <t>PGL WANTS TO BE 126,677 SHORT DUE TO POSSIBLE WARMER</t>
  </si>
  <si>
    <t>WEATHER.  ANY SHORT POSITION WILL BE SPLIT BETWEEN</t>
  </si>
  <si>
    <t>DSS &amp; ANR.</t>
  </si>
  <si>
    <t xml:space="preserve">     -  ADDITIONAL NGPL DSS WITHDRAWLS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</si>
</sst>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5824"/>
        <c:axId val="212356384"/>
      </c:lineChart>
      <c:catAx>
        <c:axId val="212355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5638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2356384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558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384"/>
        <c:axId val="212936944"/>
      </c:lineChart>
      <c:catAx>
        <c:axId val="2129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694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2936944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63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3152"/>
        <c:axId val="213383712"/>
      </c:lineChart>
      <c:catAx>
        <c:axId val="21338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371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338371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31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5952"/>
        <c:axId val="213386512"/>
      </c:lineChart>
      <c:catAx>
        <c:axId val="2133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651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338651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59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312"/>
        <c:axId val="213389872"/>
      </c:lineChart>
      <c:catAx>
        <c:axId val="213389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987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3389872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93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2112"/>
        <c:axId val="213392672"/>
      </c:lineChart>
      <c:dateAx>
        <c:axId val="2133921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9267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339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921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4912"/>
        <c:axId val="213395472"/>
      </c:lineChart>
      <c:catAx>
        <c:axId val="213394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95472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1339547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9491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1152"/>
        <c:axId val="213861712"/>
      </c:lineChart>
      <c:catAx>
        <c:axId val="2138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171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3861712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11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8064"/>
        <c:axId val="212941424"/>
      </c:lineChart>
      <c:catAx>
        <c:axId val="2129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4142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294142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8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3392"/>
        <c:axId val="213863952"/>
      </c:lineChart>
      <c:catAx>
        <c:axId val="2138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395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386395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33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6752"/>
        <c:axId val="213867312"/>
      </c:lineChart>
      <c:catAx>
        <c:axId val="213866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731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3867312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67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8624"/>
        <c:axId val="212359184"/>
      </c:lineChart>
      <c:dateAx>
        <c:axId val="212358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5918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2359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586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9552"/>
        <c:axId val="213870112"/>
      </c:lineChart>
      <c:dateAx>
        <c:axId val="213869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011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387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9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2352"/>
        <c:axId val="213872912"/>
      </c:lineChart>
      <c:catAx>
        <c:axId val="2138723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291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387291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235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5152"/>
        <c:axId val="213875712"/>
      </c:lineChart>
      <c:catAx>
        <c:axId val="21387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571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3875712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51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6848"/>
        <c:axId val="214337408"/>
      </c:lineChart>
      <c:catAx>
        <c:axId val="21433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3740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433740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36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9648"/>
        <c:axId val="214340208"/>
      </c:lineChart>
      <c:catAx>
        <c:axId val="2143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020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434020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39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3008"/>
        <c:axId val="214343568"/>
      </c:lineChart>
      <c:catAx>
        <c:axId val="214343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356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434356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30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6368"/>
        <c:axId val="214346928"/>
      </c:lineChart>
      <c:dateAx>
        <c:axId val="214346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692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434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6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9168"/>
        <c:axId val="214349728"/>
      </c:lineChart>
      <c:catAx>
        <c:axId val="214349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972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434972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491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0752"/>
        <c:axId val="214721312"/>
      </c:lineChart>
      <c:catAx>
        <c:axId val="21472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131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4721312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07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3552"/>
        <c:axId val="214724112"/>
      </c:lineChart>
      <c:catAx>
        <c:axId val="2147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411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472411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3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1424"/>
        <c:axId val="212361984"/>
      </c:lineChart>
      <c:catAx>
        <c:axId val="21236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1984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12361984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14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6352"/>
        <c:axId val="214726912"/>
      </c:lineChart>
      <c:catAx>
        <c:axId val="21472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691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472691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6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85812326804864"/>
          <c:y val="8.333596414464716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62727740110049E-2"/>
          <c:y val="5.0001578486788302E-2"/>
          <c:w val="0.94474743773844994"/>
          <c:h val="0.82502604503200705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815000</c:v>
                </c:pt>
                <c:pt idx="26">
                  <c:v>834000</c:v>
                </c:pt>
                <c:pt idx="27">
                  <c:v>928000</c:v>
                </c:pt>
                <c:pt idx="28">
                  <c:v>938000</c:v>
                </c:pt>
                <c:pt idx="29">
                  <c:v>892000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  <c:pt idx="17">
                  <c:v>435264</c:v>
                </c:pt>
                <c:pt idx="18">
                  <c:v>808001</c:v>
                </c:pt>
                <c:pt idx="19">
                  <c:v>880715</c:v>
                </c:pt>
                <c:pt idx="20">
                  <c:v>690217</c:v>
                </c:pt>
                <c:pt idx="21">
                  <c:v>587725</c:v>
                </c:pt>
                <c:pt idx="22">
                  <c:v>479958</c:v>
                </c:pt>
                <c:pt idx="23">
                  <c:v>476767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9712"/>
        <c:axId val="214730272"/>
      </c:lineChart>
      <c:catAx>
        <c:axId val="21472971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02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14730272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971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48424955113375"/>
          <c:y val="0.91836232487401182"/>
          <c:w val="4.8715250265771753E-2"/>
          <c:h val="7.66690870130753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2512"/>
        <c:axId val="214733072"/>
      </c:lineChart>
      <c:dateAx>
        <c:axId val="214732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307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14733072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2512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8818815130561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990778511144804E-2"/>
          <c:y val="0.10057780555495467"/>
          <c:w val="0.9506061634196008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  <c:pt idx="21">
                  <c:v>275272</c:v>
                </c:pt>
                <c:pt idx="22">
                  <c:v>275272</c:v>
                </c:pt>
                <c:pt idx="23">
                  <c:v>275272</c:v>
                </c:pt>
                <c:pt idx="24">
                  <c:v>275272</c:v>
                </c:pt>
                <c:pt idx="25">
                  <c:v>275272</c:v>
                </c:pt>
                <c:pt idx="26">
                  <c:v>268910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5312"/>
        <c:axId val="214735872"/>
      </c:lineChart>
      <c:catAx>
        <c:axId val="21473531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4735872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531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99949057578615"/>
          <c:y val="0.93106311428015176"/>
          <c:w val="4.00891103001911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05200"/>
        <c:axId val="215205760"/>
      </c:lineChart>
      <c:catAx>
        <c:axId val="215205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05760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15205760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05200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47652947909362"/>
          <c:w val="0.85422391699679712"/>
          <c:h val="0.5936700038153051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08000"/>
        <c:axId val="215208560"/>
      </c:lineChart>
      <c:catAx>
        <c:axId val="21520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085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5208560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08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66471179913634"/>
          <c:w val="9.8677590411698976E-2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094978664891988"/>
          <c:w val="0.85509946700472361"/>
          <c:h val="0.6340908473885279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10800"/>
        <c:axId val="215211360"/>
      </c:lineChart>
      <c:catAx>
        <c:axId val="215210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11360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15211360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10800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400948881680663"/>
          <c:w val="0.134786865138032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4224"/>
        <c:axId val="212364784"/>
      </c:lineChart>
      <c:catAx>
        <c:axId val="2123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478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2364784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422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7024"/>
        <c:axId val="212367584"/>
      </c:lineChart>
      <c:catAx>
        <c:axId val="21236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758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236758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70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9824"/>
        <c:axId val="212370384"/>
      </c:lineChart>
      <c:catAx>
        <c:axId val="2123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70384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2370384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9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7984"/>
        <c:axId val="212928544"/>
      </c:lineChart>
      <c:catAx>
        <c:axId val="2129279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2854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2928544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279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0784"/>
        <c:axId val="212931344"/>
      </c:lineChart>
      <c:dateAx>
        <c:axId val="212930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134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293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07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584"/>
        <c:axId val="212934144"/>
      </c:lineChart>
      <c:catAx>
        <c:axId val="212933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4144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12934144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335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28575</xdr:rowOff>
    </xdr:from>
    <xdr:to>
      <xdr:col>0</xdr:col>
      <xdr:colOff>0</xdr:colOff>
      <xdr:row>83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95250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66</xdr:row>
      <xdr:rowOff>28575</xdr:rowOff>
    </xdr:from>
    <xdr:to>
      <xdr:col>0</xdr:col>
      <xdr:colOff>0</xdr:colOff>
      <xdr:row>83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66</xdr:row>
      <xdr:rowOff>28575</xdr:rowOff>
    </xdr:from>
    <xdr:to>
      <xdr:col>0</xdr:col>
      <xdr:colOff>0</xdr:colOff>
      <xdr:row>83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65</xdr:row>
      <xdr:rowOff>95250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66</xdr:row>
      <xdr:rowOff>28575</xdr:rowOff>
    </xdr:from>
    <xdr:to>
      <xdr:col>0</xdr:col>
      <xdr:colOff>0</xdr:colOff>
      <xdr:row>83</xdr:row>
      <xdr:rowOff>47625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67</xdr:row>
      <xdr:rowOff>95250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68</xdr:row>
      <xdr:rowOff>28575</xdr:rowOff>
    </xdr:from>
    <xdr:to>
      <xdr:col>0</xdr:col>
      <xdr:colOff>0</xdr:colOff>
      <xdr:row>85</xdr:row>
      <xdr:rowOff>47625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80</xdr:row>
      <xdr:rowOff>152400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9525</xdr:colOff>
      <xdr:row>82</xdr:row>
      <xdr:rowOff>85725</xdr:rowOff>
    </xdr:from>
    <xdr:to>
      <xdr:col>20</xdr:col>
      <xdr:colOff>666750</xdr:colOff>
      <xdr:row>103</xdr:row>
      <xdr:rowOff>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905250" y="5629275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52" name="Text Box 10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58" name="Text Box 11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390525</xdr:colOff>
      <xdr:row>30</xdr:row>
      <xdr:rowOff>38100</xdr:rowOff>
    </xdr:from>
    <xdr:ext cx="104775" cy="212725"/>
    <xdr:sp macro="" textlink="">
      <xdr:nvSpPr>
        <xdr:cNvPr id="2164" name="Text Box 116"/>
        <xdr:cNvSpPr txBox="1">
          <a:spLocks noChangeArrowheads="1"/>
        </xdr:cNvSpPr>
      </xdr:nvSpPr>
      <xdr:spPr bwMode="auto">
        <a:xfrm>
          <a:off x="200977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0" name="Text Box 122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1" name="Text Box 123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2" name="Text Box 124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3" name="Text Box 125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4" name="Text Box 126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5" name="Text Box 127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6" name="Text Box 128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7" name="Text Box 129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8" name="Text Box 130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9" name="Text Box 131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80" name="Text Box 132"/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390525</xdr:colOff>
      <xdr:row>30</xdr:row>
      <xdr:rowOff>38100</xdr:rowOff>
    </xdr:from>
    <xdr:ext cx="104775" cy="212725"/>
    <xdr:sp macro="" textlink="">
      <xdr:nvSpPr>
        <xdr:cNvPr id="2181" name="Text Box 133"/>
        <xdr:cNvSpPr txBox="1">
          <a:spLocks noChangeArrowheads="1"/>
        </xdr:cNvSpPr>
      </xdr:nvSpPr>
      <xdr:spPr bwMode="auto">
        <a:xfrm>
          <a:off x="281654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7" name="Text Box 139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8" name="Text Box 140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9" name="Text Box 141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0" name="Text Box 142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1" name="Text Box 143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2" name="Text Box 144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3" name="Text Box 145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4" name="Text Box 146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5" name="Text Box 147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6" name="Text Box 148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7" name="Text Box 149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8" name="Text Box 150"/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8.710937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41885</v>
      </c>
      <c r="F1" s="4" t="s">
        <v>1</v>
      </c>
      <c r="G1" s="5">
        <v>715000</v>
      </c>
      <c r="H1" s="6"/>
      <c r="I1" s="7" t="s">
        <v>2</v>
      </c>
      <c r="J1" s="8">
        <v>119000</v>
      </c>
      <c r="O1" s="42" t="s">
        <v>3</v>
      </c>
      <c r="P1" s="11">
        <f ca="1">TODAY()+2</f>
        <v>41887</v>
      </c>
      <c r="Q1" s="12">
        <v>800000</v>
      </c>
      <c r="S1" s="42" t="s">
        <v>4</v>
      </c>
      <c r="T1" s="11">
        <f ca="1">TODAY()+2</f>
        <v>41887</v>
      </c>
      <c r="U1" s="12">
        <v>138000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41886</v>
      </c>
      <c r="D2" s="14"/>
      <c r="P2" s="11">
        <f ca="1">TODAY()+3</f>
        <v>41888</v>
      </c>
      <c r="Q2" s="12">
        <v>760000</v>
      </c>
      <c r="T2" s="11">
        <f ca="1">TODAY()+3</f>
        <v>41888</v>
      </c>
      <c r="U2" s="12">
        <v>132000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41884</v>
      </c>
      <c r="L3" s="23">
        <f ca="1">TODAY()</f>
        <v>41885</v>
      </c>
      <c r="M3" s="24" t="s">
        <v>17</v>
      </c>
      <c r="P3" s="11">
        <f ca="1">TODAY()+4</f>
        <v>41889</v>
      </c>
      <c r="Q3" s="12">
        <v>760000</v>
      </c>
      <c r="T3" s="11">
        <f ca="1">TODAY()+4</f>
        <v>41889</v>
      </c>
      <c r="U3" s="12">
        <v>140000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42</v>
      </c>
      <c r="C4" s="17">
        <v>37</v>
      </c>
      <c r="D4" s="18">
        <f>AVERAGE(B4,C4)</f>
        <v>39.5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 t="s">
        <v>94</v>
      </c>
      <c r="D5" s="19"/>
      <c r="E5" s="20"/>
      <c r="F5" s="1" t="s">
        <v>94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-800000</v>
      </c>
      <c r="C6" s="12">
        <v>-784000</v>
      </c>
      <c r="D6" s="25" t="s">
        <v>19</v>
      </c>
      <c r="E6" s="26">
        <v>-128000</v>
      </c>
      <c r="F6" s="12">
        <v>-121000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-95145-0-0-20000-7383+22528</f>
        <v>-100000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-22528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-148000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+E14+E30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27908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>
        <f>370713+64551</f>
        <v>435264</v>
      </c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>
        <f>680938+127063</f>
        <v>808001</v>
      </c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60" t="s">
        <v>48</v>
      </c>
      <c r="E21" s="59">
        <v>30000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>
        <f>750643+130072</f>
        <v>880715</v>
      </c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>
        <f>593853+96364</f>
        <v>690217</v>
      </c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63">
        <f t="shared" si="3"/>
        <v>37217</v>
      </c>
      <c r="AG23" s="12">
        <f>515000+84000</f>
        <v>599000</v>
      </c>
      <c r="AH23" s="12">
        <f>506306+81419</f>
        <v>587725</v>
      </c>
      <c r="AJ23" s="64">
        <f t="shared" si="6"/>
        <v>37217</v>
      </c>
      <c r="AK23" s="12">
        <f>245180+30092</f>
        <v>275272</v>
      </c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60" t="s">
        <v>95</v>
      </c>
      <c r="E24" s="58">
        <f>5000+11981</f>
        <v>16981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63">
        <f t="shared" si="3"/>
        <v>37218</v>
      </c>
      <c r="AG24" s="12">
        <f>600000+102000</f>
        <v>702000</v>
      </c>
      <c r="AH24" s="12">
        <f>414501+65457</f>
        <v>479958</v>
      </c>
      <c r="AJ24" s="64">
        <f t="shared" si="6"/>
        <v>37218</v>
      </c>
      <c r="AK24" s="12">
        <f>245180+30092</f>
        <v>275272</v>
      </c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86</v>
      </c>
      <c r="E25" s="40">
        <v>7000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63">
        <f t="shared" si="3"/>
        <v>37219</v>
      </c>
      <c r="AG25" s="12">
        <f>600000+100000</f>
        <v>700000</v>
      </c>
      <c r="AH25" s="12">
        <f>407952+68815</f>
        <v>476767</v>
      </c>
      <c r="AJ25" s="64">
        <f t="shared" si="6"/>
        <v>37219</v>
      </c>
      <c r="AK25" s="12">
        <f>245180+30092</f>
        <v>275272</v>
      </c>
      <c r="AL25" s="12"/>
      <c r="AM25" s="12"/>
    </row>
    <row r="26" spans="1:39" x14ac:dyDescent="0.2">
      <c r="A26" s="25" t="s">
        <v>30</v>
      </c>
      <c r="B26" s="40">
        <v>-2400</v>
      </c>
      <c r="D26" s="25" t="s">
        <v>85</v>
      </c>
      <c r="E26" s="40">
        <v>10000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63">
        <f t="shared" si="3"/>
        <v>37220</v>
      </c>
      <c r="AG26" s="12">
        <f>615000+103000</f>
        <v>718000</v>
      </c>
      <c r="AH26" s="12"/>
      <c r="AJ26" s="64">
        <f t="shared" si="6"/>
        <v>37220</v>
      </c>
      <c r="AK26" s="12">
        <f>245180+30092</f>
        <v>275272</v>
      </c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69</v>
      </c>
      <c r="E27" s="40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63">
        <f t="shared" si="3"/>
        <v>37221</v>
      </c>
      <c r="AG27" s="12">
        <f>700000+115000</f>
        <v>815000</v>
      </c>
      <c r="AH27" s="12"/>
      <c r="AJ27" s="64">
        <f t="shared" si="6"/>
        <v>37221</v>
      </c>
      <c r="AK27" s="12">
        <f>245180+30092</f>
        <v>275272</v>
      </c>
      <c r="AL27" s="12"/>
      <c r="AM27" s="12"/>
    </row>
    <row r="28" spans="1:39" ht="13.5" thickBot="1" x14ac:dyDescent="0.25">
      <c r="A28" s="25" t="s">
        <v>51</v>
      </c>
      <c r="B28" s="26">
        <v>0</v>
      </c>
      <c r="C28" s="57">
        <f>SUM(B29,B64)</f>
        <v>0</v>
      </c>
      <c r="D28" s="25" t="s">
        <v>78</v>
      </c>
      <c r="E28" s="58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63">
        <f t="shared" si="3"/>
        <v>37222</v>
      </c>
      <c r="AG28" s="12">
        <f>715000+119000</f>
        <v>834000</v>
      </c>
      <c r="AH28" s="12"/>
      <c r="AJ28" s="64">
        <f t="shared" si="6"/>
        <v>37222</v>
      </c>
      <c r="AK28" s="12">
        <f>241002+27908</f>
        <v>268910</v>
      </c>
      <c r="AL28" s="12"/>
      <c r="AM28" s="12"/>
    </row>
    <row r="29" spans="1:39" ht="13.5" thickBot="1" x14ac:dyDescent="0.25">
      <c r="A29" s="33" t="s">
        <v>28</v>
      </c>
      <c r="B29" s="34">
        <f>SUM(B6:B28)+B12</f>
        <v>-957456</v>
      </c>
      <c r="C29" s="14"/>
      <c r="D29" s="25" t="s">
        <v>35</v>
      </c>
      <c r="E29" s="59"/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>
        <f>800000+128000</f>
        <v>928000</v>
      </c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3" t="s">
        <v>36</v>
      </c>
      <c r="E30" s="34">
        <f>SUM(E16:E29)</f>
        <v>148000</v>
      </c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>
        <f>800000+138000</f>
        <v>938000</v>
      </c>
      <c r="AH30" s="12"/>
      <c r="AJ30" s="15">
        <f t="shared" si="6"/>
        <v>37224</v>
      </c>
      <c r="AK30" s="12"/>
      <c r="AL30" s="12"/>
      <c r="AM30" s="12"/>
    </row>
    <row r="31" spans="1:39" ht="13.5" thickBot="1" x14ac:dyDescent="0.25">
      <c r="A31" s="25" t="s">
        <v>31</v>
      </c>
      <c r="B31" s="40">
        <v>187134</v>
      </c>
      <c r="C31" s="14"/>
      <c r="D31" s="30"/>
      <c r="E31" s="35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>
        <f>760000+132000</f>
        <v>892000</v>
      </c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33</v>
      </c>
      <c r="B33" s="40">
        <v>10855</v>
      </c>
      <c r="C33" s="14"/>
      <c r="E33" s="12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241002</v>
      </c>
      <c r="C34" s="14"/>
      <c r="D34" s="51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25" t="s">
        <v>81</v>
      </c>
      <c r="B35" s="40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">
      <c r="A36" s="25" t="s">
        <v>82</v>
      </c>
      <c r="B36" s="40">
        <v>57377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D40" s="53"/>
      <c r="E40" s="54"/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">
      <c r="A46" s="25" t="s">
        <v>70</v>
      </c>
      <c r="B46" s="40">
        <v>22528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">
      <c r="A47" s="25" t="s">
        <v>37</v>
      </c>
      <c r="B47" s="40">
        <v>18000</v>
      </c>
      <c r="E47" s="12"/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">
      <c r="A48" s="25" t="s">
        <v>87</v>
      </c>
      <c r="B48" s="40">
        <v>0</v>
      </c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27</v>
      </c>
      <c r="B51" s="40">
        <v>0</v>
      </c>
      <c r="E51" s="12"/>
    </row>
    <row r="52" spans="1:5" x14ac:dyDescent="0.2">
      <c r="A52" s="25" t="s">
        <v>88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100</v>
      </c>
      <c r="B54" s="40">
        <v>10000</v>
      </c>
      <c r="C54" s="61"/>
      <c r="E54" s="12"/>
    </row>
    <row r="55" spans="1:5" x14ac:dyDescent="0.2">
      <c r="A55" s="25" t="s">
        <v>39</v>
      </c>
      <c r="B55" s="40">
        <v>0</v>
      </c>
      <c r="C55" s="14"/>
      <c r="E55" s="12"/>
    </row>
    <row r="56" spans="1:5" x14ac:dyDescent="0.2">
      <c r="A56" s="25" t="s">
        <v>40</v>
      </c>
      <c r="B56" s="40">
        <v>0</v>
      </c>
      <c r="C56" s="14"/>
      <c r="E56" s="12"/>
    </row>
    <row r="57" spans="1:5" x14ac:dyDescent="0.2">
      <c r="A57" s="25" t="s">
        <v>75</v>
      </c>
      <c r="B57" s="40">
        <v>31500</v>
      </c>
      <c r="C57" s="14"/>
      <c r="E57" s="12"/>
    </row>
    <row r="58" spans="1:5" x14ac:dyDescent="0.2">
      <c r="A58" s="25" t="s">
        <v>80</v>
      </c>
      <c r="B58" s="58">
        <v>0</v>
      </c>
      <c r="C58" s="14"/>
      <c r="E58" s="12"/>
    </row>
    <row r="59" spans="1:5" x14ac:dyDescent="0.2">
      <c r="A59" s="25" t="s">
        <v>83</v>
      </c>
      <c r="B59" s="40">
        <v>0</v>
      </c>
      <c r="C59" s="14"/>
      <c r="E59" s="12"/>
    </row>
    <row r="60" spans="1:5" x14ac:dyDescent="0.2">
      <c r="A60" s="25" t="s">
        <v>84</v>
      </c>
      <c r="B60" s="40">
        <v>20000</v>
      </c>
      <c r="C60" s="14"/>
    </row>
    <row r="61" spans="1:5" x14ac:dyDescent="0.2">
      <c r="A61" s="25" t="s">
        <v>61</v>
      </c>
      <c r="B61" s="58">
        <v>0</v>
      </c>
      <c r="C61" s="62"/>
    </row>
    <row r="62" spans="1:5" x14ac:dyDescent="0.2">
      <c r="A62" s="25" t="s">
        <v>59</v>
      </c>
      <c r="B62" s="40">
        <v>0</v>
      </c>
      <c r="C62" s="68"/>
    </row>
    <row r="63" spans="1:5" ht="13.5" thickBot="1" x14ac:dyDescent="0.25">
      <c r="A63" s="60" t="s">
        <v>35</v>
      </c>
      <c r="B63" s="58">
        <v>126677</v>
      </c>
    </row>
    <row r="64" spans="1:5" ht="13.5" thickBot="1" x14ac:dyDescent="0.25">
      <c r="A64" s="33" t="s">
        <v>36</v>
      </c>
      <c r="B64" s="34">
        <f>SUM(B31:B63)</f>
        <v>957456</v>
      </c>
    </row>
    <row r="65" spans="1:2" ht="13.5" thickBot="1" x14ac:dyDescent="0.25">
      <c r="A65" s="30"/>
      <c r="B65" s="36"/>
    </row>
    <row r="66" spans="1:2" x14ac:dyDescent="0.2">
      <c r="A66" s="27"/>
      <c r="B66" s="27"/>
    </row>
    <row r="67" spans="1:2" ht="15.75" x14ac:dyDescent="0.25">
      <c r="A67" s="69" t="s">
        <v>96</v>
      </c>
    </row>
    <row r="69" spans="1:2" x14ac:dyDescent="0.2">
      <c r="A69" s="68" t="s">
        <v>97</v>
      </c>
    </row>
    <row r="70" spans="1:2" x14ac:dyDescent="0.2">
      <c r="A70" s="68" t="s">
        <v>98</v>
      </c>
    </row>
    <row r="71" spans="1:2" x14ac:dyDescent="0.2">
      <c r="A71" s="68" t="s">
        <v>99</v>
      </c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3" width="41.28515625" style="2" customWidth="1"/>
    <col min="14" max="14" width="11.5703125" style="2" customWidth="1"/>
    <col min="15" max="15" width="11" style="2" customWidth="1"/>
    <col min="16" max="16" width="37.28515625" style="2" customWidth="1"/>
    <col min="17" max="17" width="11" style="2" customWidth="1"/>
    <col min="18" max="18" width="9.140625" style="2"/>
    <col min="19" max="19" width="41.140625" style="2" customWidth="1"/>
    <col min="20" max="20" width="11.42578125" style="2" customWidth="1"/>
    <col min="21" max="21" width="11" style="2" customWidth="1"/>
    <col min="22" max="22" width="37.28515625" style="2" customWidth="1"/>
    <col min="23" max="23" width="11" style="2" customWidth="1"/>
    <col min="24" max="24" width="9.140625" style="2"/>
    <col min="25" max="25" width="41.140625" style="2" hidden="1" customWidth="1"/>
    <col min="26" max="26" width="11.42578125" style="2" hidden="1" customWidth="1"/>
    <col min="27" max="27" width="11" style="2" hidden="1" customWidth="1"/>
    <col min="28" max="28" width="37.28515625" style="2" hidden="1" customWidth="1"/>
    <col min="29" max="29" width="11" style="2" hidden="1" customWidth="1"/>
    <col min="30" max="30" width="9.140625" style="2" hidden="1" customWidth="1"/>
    <col min="31" max="31" width="0" style="2" hidden="1" customWidth="1"/>
    <col min="32" max="16384" width="9.140625" style="2"/>
  </cols>
  <sheetData>
    <row r="1" spans="1:30" ht="27.75" customHeight="1" thickBot="1" x14ac:dyDescent="0.35">
      <c r="A1" s="43" t="s">
        <v>0</v>
      </c>
      <c r="B1" s="44">
        <f ca="1">TODAY()</f>
        <v>41885</v>
      </c>
      <c r="D1" s="67" t="s">
        <v>89</v>
      </c>
      <c r="G1" s="2" t="s">
        <v>0</v>
      </c>
      <c r="H1" s="3">
        <f ca="1">TODAY()</f>
        <v>41885</v>
      </c>
      <c r="J1" s="67" t="s">
        <v>92</v>
      </c>
      <c r="M1" s="2" t="s">
        <v>0</v>
      </c>
      <c r="N1" s="3">
        <f ca="1">TODAY()</f>
        <v>41885</v>
      </c>
      <c r="P1" s="67" t="s">
        <v>91</v>
      </c>
      <c r="S1" s="2" t="s">
        <v>0</v>
      </c>
      <c r="T1" s="3">
        <f ca="1">TODAY()</f>
        <v>41885</v>
      </c>
      <c r="V1" s="67" t="s">
        <v>90</v>
      </c>
      <c r="Y1" s="2" t="s">
        <v>0</v>
      </c>
      <c r="Z1" s="3">
        <f ca="1">TODAY()</f>
        <v>41885</v>
      </c>
      <c r="AB1" s="67" t="s">
        <v>93</v>
      </c>
    </row>
    <row r="2" spans="1:30" ht="13.5" thickBot="1" x14ac:dyDescent="0.25">
      <c r="A2" s="43" t="s">
        <v>10</v>
      </c>
      <c r="B2" s="44">
        <f ca="1">TODAY()+2</f>
        <v>41887</v>
      </c>
      <c r="G2" s="2" t="s">
        <v>10</v>
      </c>
      <c r="H2" s="3">
        <f ca="1">TODAY()+3</f>
        <v>41888</v>
      </c>
      <c r="M2" s="2" t="s">
        <v>10</v>
      </c>
      <c r="N2" s="3">
        <f ca="1">TODAY()+4</f>
        <v>41889</v>
      </c>
      <c r="S2" s="2" t="s">
        <v>10</v>
      </c>
      <c r="T2" s="3">
        <f ca="1">TODAY()+5</f>
        <v>41890</v>
      </c>
      <c r="Y2" s="2" t="s">
        <v>10</v>
      </c>
      <c r="Z2" s="3">
        <f ca="1">TODAY()+4</f>
        <v>41889</v>
      </c>
    </row>
    <row r="3" spans="1:30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5" thickBot="1" x14ac:dyDescent="0.25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5" thickBot="1" x14ac:dyDescent="0.25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5" thickBot="1" x14ac:dyDescent="0.25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5" thickBot="1" x14ac:dyDescent="0.25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5" thickBot="1" x14ac:dyDescent="0.25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5" thickBot="1" x14ac:dyDescent="0.25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5" thickBot="1" x14ac:dyDescent="0.25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cp:lastPrinted>2001-11-26T20:13:59Z</cp:lastPrinted>
  <dcterms:created xsi:type="dcterms:W3CDTF">2000-09-26T13:26:15Z</dcterms:created>
  <dcterms:modified xsi:type="dcterms:W3CDTF">2014-09-03T19:14:25Z</dcterms:modified>
</cp:coreProperties>
</file>