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4320" windowWidth="15330" windowHeight="4380" tabRatio="598" activeTab="1"/>
  </bookViews>
  <sheets>
    <sheet name="CTC Derivation" sheetId="11" r:id="rId1"/>
    <sheet name="PG&amp;E" sheetId="8" r:id="rId2"/>
    <sheet name="SCE" sheetId="9" r:id="rId3"/>
    <sheet name="SDG&amp;E" sheetId="10" r:id="rId4"/>
  </sheets>
  <externalReferences>
    <externalReference r:id="rId5"/>
  </externalReferences>
  <definedNames>
    <definedName name="_xlnm.Print_Area" localSheetId="1">'PG&amp;E'!$A$1:$R$79</definedName>
    <definedName name="_xlnm.Print_Area" localSheetId="2">SCE!$A$1:$R$93</definedName>
  </definedNames>
  <calcPr calcId="152511"/>
</workbook>
</file>

<file path=xl/calcChain.xml><?xml version="1.0" encoding="utf-8"?>
<calcChain xmlns="http://schemas.openxmlformats.org/spreadsheetml/2006/main">
  <c r="G6" i="11" l="1"/>
  <c r="H6" i="11"/>
  <c r="I6" i="11"/>
  <c r="J6" i="11"/>
  <c r="K6" i="11" s="1"/>
  <c r="L6" i="11" s="1"/>
  <c r="M6" i="11" s="1"/>
  <c r="N6" i="11"/>
  <c r="O6" i="11" s="1"/>
  <c r="P6" i="11"/>
  <c r="Q6" i="11" s="1"/>
  <c r="R6" i="11" s="1"/>
  <c r="S6" i="11" s="1"/>
  <c r="T6" i="11"/>
  <c r="U6" i="11" s="1"/>
  <c r="V6" i="11" s="1"/>
  <c r="W6" i="11" s="1"/>
  <c r="G9" i="11"/>
  <c r="H9" i="11"/>
  <c r="I9" i="11"/>
  <c r="J9" i="11"/>
  <c r="G10" i="11"/>
  <c r="H10" i="11"/>
  <c r="I10" i="11"/>
  <c r="K10" i="11"/>
  <c r="L10" i="11" s="1"/>
  <c r="M10" i="11" s="1"/>
  <c r="N10" i="11" s="1"/>
  <c r="O10" i="11"/>
  <c r="P10" i="11"/>
  <c r="Q10" i="11" s="1"/>
  <c r="R10" i="11" s="1"/>
  <c r="S10" i="11" s="1"/>
  <c r="T10" i="11"/>
  <c r="U10" i="11" s="1"/>
  <c r="V10" i="11" s="1"/>
  <c r="W10" i="11" s="1"/>
  <c r="J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L12" i="11"/>
  <c r="M12" i="11" s="1"/>
  <c r="N12" i="11" s="1"/>
  <c r="O12" i="11" s="1"/>
  <c r="P12" i="11" s="1"/>
  <c r="Q12" i="11"/>
  <c r="R12" i="11" s="1"/>
  <c r="S12" i="11" s="1"/>
  <c r="T12" i="11"/>
  <c r="U12" i="11"/>
  <c r="V12" i="11" s="1"/>
  <c r="W12" i="11" s="1"/>
  <c r="G13" i="11"/>
  <c r="G14" i="11" s="1"/>
  <c r="G15" i="11" s="1"/>
  <c r="H13" i="11"/>
  <c r="I13" i="11"/>
  <c r="I14" i="11"/>
  <c r="I15" i="11"/>
  <c r="G19" i="11"/>
  <c r="H19" i="11"/>
  <c r="G20" i="11"/>
  <c r="G22" i="11"/>
  <c r="G26" i="11" s="1"/>
  <c r="G27" i="11" s="1"/>
  <c r="G28" i="11" s="1"/>
  <c r="O24" i="11"/>
  <c r="S24" i="11"/>
  <c r="T24" i="11"/>
  <c r="L25" i="11"/>
  <c r="M25" i="11" s="1"/>
  <c r="N25" i="11" s="1"/>
  <c r="O25" i="11" s="1"/>
  <c r="P25" i="11"/>
  <c r="Q25" i="11" s="1"/>
  <c r="R25" i="11"/>
  <c r="S25" i="11" s="1"/>
  <c r="T25" i="11" s="1"/>
  <c r="U25" i="11" s="1"/>
  <c r="V25" i="11" s="1"/>
  <c r="W25" i="11" s="1"/>
  <c r="J32" i="11"/>
  <c r="K32" i="11"/>
  <c r="L32" i="11" s="1"/>
  <c r="M32" i="11"/>
  <c r="N32" i="11" s="1"/>
  <c r="O32" i="11" s="1"/>
  <c r="P32" i="11" s="1"/>
  <c r="Q32" i="11"/>
  <c r="R32" i="11" s="1"/>
  <c r="S32" i="11" s="1"/>
  <c r="T32" i="11" s="1"/>
  <c r="U32" i="11" s="1"/>
  <c r="V32" i="11" s="1"/>
  <c r="W32" i="11" s="1"/>
  <c r="G33" i="11"/>
  <c r="G35" i="11"/>
  <c r="G40" i="11" s="1"/>
  <c r="G41" i="11" s="1"/>
  <c r="H35" i="11"/>
  <c r="G36" i="11"/>
  <c r="H36" i="11"/>
  <c r="I36" i="11" s="1"/>
  <c r="J36" i="11" s="1"/>
  <c r="K36" i="11" s="1"/>
  <c r="L36" i="11"/>
  <c r="M36" i="11" s="1"/>
  <c r="N36" i="11"/>
  <c r="O36" i="11" s="1"/>
  <c r="P36" i="11" s="1"/>
  <c r="Q36" i="11" s="1"/>
  <c r="R36" i="11" s="1"/>
  <c r="S36" i="11" s="1"/>
  <c r="T36" i="11" s="1"/>
  <c r="U36" i="11" s="1"/>
  <c r="V36" i="11" s="1"/>
  <c r="W36" i="11" s="1"/>
  <c r="H37" i="11"/>
  <c r="I37" i="11"/>
  <c r="J37" i="11"/>
  <c r="L39" i="11"/>
  <c r="M39" i="11" s="1"/>
  <c r="N39" i="11" s="1"/>
  <c r="O39" i="11" s="1"/>
  <c r="P39" i="11" s="1"/>
  <c r="Q39" i="11" s="1"/>
  <c r="R39" i="11" s="1"/>
  <c r="S39" i="11" s="1"/>
  <c r="T39" i="11" s="1"/>
  <c r="U39" i="11" s="1"/>
  <c r="V39" i="11" s="1"/>
  <c r="W39" i="11" s="1"/>
  <c r="G42" i="11"/>
  <c r="H42" i="11"/>
  <c r="I42" i="11"/>
  <c r="J42" i="11"/>
  <c r="F4" i="8"/>
  <c r="G4" i="8" s="1"/>
  <c r="H4" i="8" s="1"/>
  <c r="I4" i="8" s="1"/>
  <c r="J4" i="8" s="1"/>
  <c r="K4" i="8" s="1"/>
  <c r="L4" i="8" s="1"/>
  <c r="M4" i="8" s="1"/>
  <c r="N4" i="8"/>
  <c r="E5" i="8"/>
  <c r="F6" i="8"/>
  <c r="F7" i="8"/>
  <c r="F8" i="8"/>
  <c r="B10" i="8"/>
  <c r="B11" i="8" s="1"/>
  <c r="C10" i="8"/>
  <c r="D10" i="8"/>
  <c r="E10" i="8"/>
  <c r="F10" i="8"/>
  <c r="C11" i="8"/>
  <c r="D11" i="8"/>
  <c r="E14" i="8"/>
  <c r="E15" i="8"/>
  <c r="B16" i="8"/>
  <c r="C16" i="8"/>
  <c r="D16" i="8"/>
  <c r="D38" i="8" s="1"/>
  <c r="E16" i="8"/>
  <c r="F16" i="8"/>
  <c r="E18" i="8"/>
  <c r="F18" i="8"/>
  <c r="G18" i="8"/>
  <c r="H18" i="8" s="1"/>
  <c r="I18" i="8" s="1"/>
  <c r="B26" i="8"/>
  <c r="E26" i="8"/>
  <c r="E39" i="8" s="1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C28" i="8"/>
  <c r="D28" i="8" s="1"/>
  <c r="E28" i="8"/>
  <c r="F28" i="8" s="1"/>
  <c r="G28" i="8"/>
  <c r="H28" i="8"/>
  <c r="I28" i="8" s="1"/>
  <c r="J28" i="8" s="1"/>
  <c r="K28" i="8" s="1"/>
  <c r="L28" i="8" s="1"/>
  <c r="M28" i="8" s="1"/>
  <c r="N28" i="8" s="1"/>
  <c r="O28" i="8" s="1"/>
  <c r="P28" i="8" s="1"/>
  <c r="Q28" i="8" s="1"/>
  <c r="R28" i="8" s="1"/>
  <c r="C30" i="8"/>
  <c r="D30" i="8" s="1"/>
  <c r="E30" i="8" s="1"/>
  <c r="F30" i="8" s="1"/>
  <c r="G30" i="8"/>
  <c r="H30" i="8" s="1"/>
  <c r="I30" i="8" s="1"/>
  <c r="J30" i="8" s="1"/>
  <c r="K30" i="8" s="1"/>
  <c r="L30" i="8" s="1"/>
  <c r="M30" i="8" s="1"/>
  <c r="N30" i="8" s="1"/>
  <c r="O30" i="8" s="1"/>
  <c r="P30" i="8" s="1"/>
  <c r="Q30" i="8"/>
  <c r="R30" i="8" s="1"/>
  <c r="C32" i="8"/>
  <c r="D32" i="8" s="1"/>
  <c r="E32" i="8" s="1"/>
  <c r="F32" i="8" s="1"/>
  <c r="G32" i="8" s="1"/>
  <c r="H32" i="8" s="1"/>
  <c r="I32" i="8" s="1"/>
  <c r="J32" i="8" s="1"/>
  <c r="K32" i="8" s="1"/>
  <c r="L32" i="8" s="1"/>
  <c r="M32" i="8" s="1"/>
  <c r="N32" i="8" s="1"/>
  <c r="O32" i="8" s="1"/>
  <c r="P32" i="8" s="1"/>
  <c r="Q32" i="8" s="1"/>
  <c r="R32" i="8" s="1"/>
  <c r="D37" i="8"/>
  <c r="C38" i="8"/>
  <c r="C47" i="8" s="1"/>
  <c r="C39" i="8"/>
  <c r="C48" i="8" s="1"/>
  <c r="D48" i="8" s="1"/>
  <c r="E48" i="8" s="1"/>
  <c r="D39" i="8"/>
  <c r="H39" i="8"/>
  <c r="C40" i="8"/>
  <c r="D40" i="8" s="1"/>
  <c r="E40" i="8" s="1"/>
  <c r="F40" i="8" s="1"/>
  <c r="G40" i="8"/>
  <c r="H40" i="8"/>
  <c r="I40" i="8" s="1"/>
  <c r="J40" i="8" s="1"/>
  <c r="K40" i="8" s="1"/>
  <c r="L40" i="8" s="1"/>
  <c r="M40" i="8" s="1"/>
  <c r="N40" i="8" s="1"/>
  <c r="O40" i="8" s="1"/>
  <c r="P40" i="8" s="1"/>
  <c r="Q40" i="8" s="1"/>
  <c r="R40" i="8" s="1"/>
  <c r="C41" i="8"/>
  <c r="C50" i="8" s="1"/>
  <c r="D50" i="8" s="1"/>
  <c r="D41" i="8"/>
  <c r="C49" i="8"/>
  <c r="D49" i="8" s="1"/>
  <c r="E49" i="8" s="1"/>
  <c r="F49" i="8"/>
  <c r="G49" i="8" s="1"/>
  <c r="H49" i="8" s="1"/>
  <c r="I49" i="8" s="1"/>
  <c r="J49" i="8" s="1"/>
  <c r="K49" i="8" s="1"/>
  <c r="L49" i="8" s="1"/>
  <c r="M49" i="8" s="1"/>
  <c r="N49" i="8" s="1"/>
  <c r="O49" i="8" s="1"/>
  <c r="P49" i="8" s="1"/>
  <c r="Q49" i="8" s="1"/>
  <c r="R49" i="8" s="1"/>
  <c r="E50" i="8"/>
  <c r="F50" i="8" s="1"/>
  <c r="G50" i="8" s="1"/>
  <c r="H50" i="8" s="1"/>
  <c r="I50" i="8" s="1"/>
  <c r="J50" i="8" s="1"/>
  <c r="K50" i="8"/>
  <c r="L50" i="8" s="1"/>
  <c r="M50" i="8" s="1"/>
  <c r="N50" i="8" s="1"/>
  <c r="O50" i="8" s="1"/>
  <c r="P50" i="8" s="1"/>
  <c r="Q50" i="8"/>
  <c r="R50" i="8" s="1"/>
  <c r="B53" i="8"/>
  <c r="B53" i="8" a="1"/>
  <c r="F53" i="8" s="1"/>
  <c r="C53" i="8"/>
  <c r="D53" i="8"/>
  <c r="E53" i="8"/>
  <c r="G53" i="8"/>
  <c r="H53" i="8"/>
  <c r="I53" i="8"/>
  <c r="J53" i="8"/>
  <c r="K53" i="8"/>
  <c r="L53" i="8"/>
  <c r="M53" i="8"/>
  <c r="O53" i="8"/>
  <c r="P53" i="8"/>
  <c r="Q53" i="8"/>
  <c r="R53" i="8"/>
  <c r="B54" i="8"/>
  <c r="C54" i="8"/>
  <c r="D54" i="8"/>
  <c r="E54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B55" i="8"/>
  <c r="C55" i="8"/>
  <c r="D55" i="8"/>
  <c r="E55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B56" i="8"/>
  <c r="B4" i="9"/>
  <c r="D4" i="9"/>
  <c r="I19" i="11" s="1"/>
  <c r="E4" i="9"/>
  <c r="E7" i="9"/>
  <c r="F7" i="9"/>
  <c r="F11" i="9" s="1"/>
  <c r="D8" i="9"/>
  <c r="D11" i="9" s="1"/>
  <c r="E8" i="9"/>
  <c r="F8" i="9" s="1"/>
  <c r="F9" i="9"/>
  <c r="B11" i="9"/>
  <c r="C11" i="9"/>
  <c r="C14" i="9"/>
  <c r="G15" i="9"/>
  <c r="H15" i="9" s="1"/>
  <c r="I15" i="9"/>
  <c r="J15" i="9"/>
  <c r="K15" i="9"/>
  <c r="L15" i="9" s="1"/>
  <c r="M15" i="9" s="1"/>
  <c r="N15" i="9" s="1"/>
  <c r="O15" i="9" s="1"/>
  <c r="P15" i="9" s="1"/>
  <c r="Q15" i="9"/>
  <c r="R15" i="9" s="1"/>
  <c r="C16" i="9"/>
  <c r="F16" i="9"/>
  <c r="G16" i="9" s="1"/>
  <c r="H16" i="9"/>
  <c r="I16" i="9" s="1"/>
  <c r="J16" i="9" s="1"/>
  <c r="K16" i="9"/>
  <c r="L16" i="9"/>
  <c r="M16" i="9" s="1"/>
  <c r="N16" i="9" s="1"/>
  <c r="O16" i="9" s="1"/>
  <c r="P16" i="9" s="1"/>
  <c r="Q16" i="9"/>
  <c r="R16" i="9" s="1"/>
  <c r="B17" i="9"/>
  <c r="B18" i="9" s="1"/>
  <c r="C23" i="9"/>
  <c r="C24" i="9" s="1"/>
  <c r="B24" i="9"/>
  <c r="B36" i="9"/>
  <c r="C36" i="9"/>
  <c r="C37" i="9" s="1"/>
  <c r="D37" i="9" s="1"/>
  <c r="E37" i="9" s="1"/>
  <c r="B37" i="9"/>
  <c r="G23" i="11" s="1"/>
  <c r="F37" i="9"/>
  <c r="G37" i="9" s="1"/>
  <c r="H37" i="9" s="1"/>
  <c r="I37" i="9" s="1"/>
  <c r="J37" i="9" s="1"/>
  <c r="K37" i="9" s="1"/>
  <c r="L37" i="9" s="1"/>
  <c r="M37" i="9" s="1"/>
  <c r="N37" i="9" s="1"/>
  <c r="O37" i="9" s="1"/>
  <c r="P37" i="9" s="1"/>
  <c r="Q37" i="9" s="1"/>
  <c r="R37" i="9" s="1"/>
  <c r="B45" i="9"/>
  <c r="C45" i="9"/>
  <c r="D45" i="9"/>
  <c r="E45" i="9"/>
  <c r="J24" i="11" s="1"/>
  <c r="F45" i="9"/>
  <c r="K24" i="11" s="1"/>
  <c r="G45" i="9"/>
  <c r="L24" i="11" s="1"/>
  <c r="H45" i="9"/>
  <c r="M24" i="11" s="1"/>
  <c r="I45" i="9"/>
  <c r="N24" i="11" s="1"/>
  <c r="J45" i="9"/>
  <c r="K45" i="9"/>
  <c r="P24" i="11" s="1"/>
  <c r="L45" i="9"/>
  <c r="Q24" i="11" s="1"/>
  <c r="M45" i="9"/>
  <c r="R24" i="11" s="1"/>
  <c r="N45" i="9"/>
  <c r="O45" i="9"/>
  <c r="P45" i="9"/>
  <c r="U24" i="11" s="1"/>
  <c r="Q45" i="9"/>
  <c r="V24" i="11" s="1"/>
  <c r="R45" i="9"/>
  <c r="W24" i="11" s="1"/>
  <c r="C47" i="9"/>
  <c r="D47" i="9" s="1"/>
  <c r="E47" i="9" s="1"/>
  <c r="F47" i="9" s="1"/>
  <c r="G47" i="9" s="1"/>
  <c r="H47" i="9"/>
  <c r="I47" i="9"/>
  <c r="J47" i="9" s="1"/>
  <c r="K47" i="9" s="1"/>
  <c r="L47" i="9" s="1"/>
  <c r="M47" i="9" s="1"/>
  <c r="N47" i="9"/>
  <c r="O47" i="9" s="1"/>
  <c r="P47" i="9" s="1"/>
  <c r="Q47" i="9" s="1"/>
  <c r="R47" i="9" s="1"/>
  <c r="C49" i="9"/>
  <c r="D49" i="9"/>
  <c r="E49" i="9"/>
  <c r="F49" i="9" s="1"/>
  <c r="G49" i="9" s="1"/>
  <c r="H49" i="9"/>
  <c r="I49" i="9" s="1"/>
  <c r="J49" i="9" s="1"/>
  <c r="K49" i="9" s="1"/>
  <c r="L49" i="9" s="1"/>
  <c r="M49" i="9"/>
  <c r="N49" i="9"/>
  <c r="O49" i="9" s="1"/>
  <c r="P49" i="9" s="1"/>
  <c r="Q49" i="9" s="1"/>
  <c r="R49" i="9" s="1"/>
  <c r="C51" i="9"/>
  <c r="D51" i="9"/>
  <c r="E51" i="9" s="1"/>
  <c r="F51" i="9" s="1"/>
  <c r="G51" i="9" s="1"/>
  <c r="H51" i="9" s="1"/>
  <c r="I51" i="9" s="1"/>
  <c r="J51" i="9" s="1"/>
  <c r="K51" i="9" s="1"/>
  <c r="L51" i="9" s="1"/>
  <c r="M51" i="9" s="1"/>
  <c r="N51" i="9" s="1"/>
  <c r="O51" i="9" s="1"/>
  <c r="P51" i="9" s="1"/>
  <c r="Q51" i="9" s="1"/>
  <c r="R51" i="9" s="1"/>
  <c r="C56" i="9"/>
  <c r="C65" i="9" s="1"/>
  <c r="D65" i="9" s="1"/>
  <c r="D56" i="9"/>
  <c r="C59" i="9"/>
  <c r="C68" i="9" s="1"/>
  <c r="D59" i="9"/>
  <c r="E59" i="9" s="1"/>
  <c r="F59" i="9" s="1"/>
  <c r="G59" i="9" s="1"/>
  <c r="H59" i="9"/>
  <c r="I59" i="9" s="1"/>
  <c r="J59" i="9" s="1"/>
  <c r="K59" i="9"/>
  <c r="L59" i="9" s="1"/>
  <c r="M59" i="9" s="1"/>
  <c r="N59" i="9" s="1"/>
  <c r="O59" i="9"/>
  <c r="P59" i="9"/>
  <c r="Q59" i="9" s="1"/>
  <c r="R59" i="9" s="1"/>
  <c r="C60" i="9"/>
  <c r="D60" i="9"/>
  <c r="C69" i="9"/>
  <c r="D69" i="9"/>
  <c r="E69" i="9" s="1"/>
  <c r="F69" i="9" s="1"/>
  <c r="G69" i="9" s="1"/>
  <c r="H69" i="9" s="1"/>
  <c r="I69" i="9" s="1"/>
  <c r="J69" i="9" s="1"/>
  <c r="K69" i="9" s="1"/>
  <c r="L69" i="9" s="1"/>
  <c r="M69" i="9" s="1"/>
  <c r="N69" i="9" s="1"/>
  <c r="O69" i="9" s="1"/>
  <c r="P69" i="9" s="1"/>
  <c r="Q69" i="9" s="1"/>
  <c r="R69" i="9" s="1"/>
  <c r="B72" i="9" a="1"/>
  <c r="C72" i="9"/>
  <c r="D72" i="9"/>
  <c r="G72" i="9"/>
  <c r="H72" i="9"/>
  <c r="I72" i="9"/>
  <c r="K72" i="9"/>
  <c r="L72" i="9"/>
  <c r="M72" i="9"/>
  <c r="P72" i="9"/>
  <c r="Q72" i="9"/>
  <c r="R72" i="9"/>
  <c r="C73" i="9"/>
  <c r="D73" i="9"/>
  <c r="F73" i="9"/>
  <c r="H73" i="9"/>
  <c r="I73" i="9"/>
  <c r="J73" i="9"/>
  <c r="L73" i="9"/>
  <c r="N73" i="9"/>
  <c r="O73" i="9"/>
  <c r="Q73" i="9"/>
  <c r="R73" i="9"/>
  <c r="B74" i="9"/>
  <c r="E74" i="9"/>
  <c r="F74" i="9"/>
  <c r="G74" i="9"/>
  <c r="I74" i="9"/>
  <c r="J74" i="9"/>
  <c r="K74" i="9"/>
  <c r="N74" i="9"/>
  <c r="O74" i="9"/>
  <c r="P74" i="9"/>
  <c r="R74" i="9"/>
  <c r="B75" i="9"/>
  <c r="E6" i="10"/>
  <c r="F6" i="10"/>
  <c r="E7" i="10"/>
  <c r="F7" i="10"/>
  <c r="F10" i="10" s="1"/>
  <c r="E8" i="10"/>
  <c r="F8" i="10" s="1"/>
  <c r="B10" i="10"/>
  <c r="C10" i="10"/>
  <c r="D10" i="10"/>
  <c r="E16" i="10"/>
  <c r="F16" i="10" s="1"/>
  <c r="F17" i="10" s="1"/>
  <c r="G16" i="10"/>
  <c r="G17" i="10" s="1"/>
  <c r="H16" i="10"/>
  <c r="C17" i="10"/>
  <c r="D17" i="10"/>
  <c r="E17" i="10"/>
  <c r="C18" i="10"/>
  <c r="C58" i="10" s="1"/>
  <c r="D18" i="10"/>
  <c r="D58" i="10" s="1"/>
  <c r="E18" i="10"/>
  <c r="E58" i="10" s="1"/>
  <c r="F18" i="10"/>
  <c r="D21" i="10"/>
  <c r="E21" i="10" s="1"/>
  <c r="E47" i="10" s="1"/>
  <c r="F21" i="10"/>
  <c r="D23" i="10"/>
  <c r="E23" i="10"/>
  <c r="F23" i="10"/>
  <c r="G23" i="10"/>
  <c r="E25" i="10"/>
  <c r="F25" i="10"/>
  <c r="G25" i="10"/>
  <c r="H25" i="10" s="1"/>
  <c r="I25" i="10" s="1"/>
  <c r="J25" i="10" s="1"/>
  <c r="K25" i="10" s="1"/>
  <c r="L25" i="10"/>
  <c r="M25" i="10" s="1"/>
  <c r="N25" i="10"/>
  <c r="O25" i="10" s="1"/>
  <c r="P25" i="10" s="1"/>
  <c r="Q25" i="10" s="1"/>
  <c r="R25" i="10" s="1"/>
  <c r="E27" i="10"/>
  <c r="M27" i="10"/>
  <c r="N27" i="10"/>
  <c r="N61" i="10" s="1"/>
  <c r="O27" i="10"/>
  <c r="O61" i="10" s="1"/>
  <c r="P27" i="10"/>
  <c r="Q27" i="10" s="1"/>
  <c r="R27" i="10" s="1"/>
  <c r="R61" i="10" s="1"/>
  <c r="D30" i="10"/>
  <c r="E30" i="10"/>
  <c r="D31" i="10"/>
  <c r="E31" i="10"/>
  <c r="F31" i="10"/>
  <c r="F32" i="10" s="1"/>
  <c r="F51" i="10" s="1"/>
  <c r="G31" i="10"/>
  <c r="G32" i="10" s="1"/>
  <c r="H51" i="10" s="1"/>
  <c r="H31" i="10"/>
  <c r="I31" i="10"/>
  <c r="J31" i="10"/>
  <c r="K31" i="10"/>
  <c r="K32" i="10" s="1"/>
  <c r="L31" i="10"/>
  <c r="M31" i="10"/>
  <c r="N31" i="10"/>
  <c r="N32" i="10" s="1"/>
  <c r="S37" i="11" s="1"/>
  <c r="O31" i="10"/>
  <c r="O32" i="10" s="1"/>
  <c r="P31" i="10"/>
  <c r="Q31" i="10"/>
  <c r="R31" i="10"/>
  <c r="C32" i="10"/>
  <c r="C59" i="10" s="1"/>
  <c r="H32" i="10"/>
  <c r="M37" i="11" s="1"/>
  <c r="I32" i="10"/>
  <c r="N37" i="11" s="1"/>
  <c r="J32" i="10"/>
  <c r="L32" i="10"/>
  <c r="M32" i="10"/>
  <c r="M51" i="10" s="1"/>
  <c r="P32" i="10"/>
  <c r="U37" i="11" s="1"/>
  <c r="Q32" i="10"/>
  <c r="V37" i="11" s="1"/>
  <c r="R32" i="10"/>
  <c r="E34" i="10"/>
  <c r="F34" i="10" s="1"/>
  <c r="G34" i="10"/>
  <c r="H34" i="10" s="1"/>
  <c r="I34" i="10"/>
  <c r="J34" i="10"/>
  <c r="K34" i="10" s="1"/>
  <c r="L34" i="10" s="1"/>
  <c r="M34" i="10" s="1"/>
  <c r="N34" i="10"/>
  <c r="O34" i="10" s="1"/>
  <c r="P34" i="10" s="1"/>
  <c r="Q34" i="10"/>
  <c r="R34" i="10" s="1"/>
  <c r="E37" i="10"/>
  <c r="F37" i="10" s="1"/>
  <c r="E38" i="10"/>
  <c r="F38" i="10" s="1"/>
  <c r="F39" i="10" s="1"/>
  <c r="C39" i="10"/>
  <c r="H38" i="11" s="1"/>
  <c r="D39" i="10"/>
  <c r="I38" i="11" s="1"/>
  <c r="E39" i="10"/>
  <c r="G39" i="10"/>
  <c r="H39" i="10"/>
  <c r="I39" i="10"/>
  <c r="J39" i="10"/>
  <c r="K39" i="10"/>
  <c r="L39" i="10"/>
  <c r="M39" i="10"/>
  <c r="N39" i="10"/>
  <c r="O39" i="10"/>
  <c r="P39" i="10"/>
  <c r="Q39" i="10"/>
  <c r="R39" i="10"/>
  <c r="E46" i="10"/>
  <c r="F46" i="10"/>
  <c r="G46" i="10"/>
  <c r="E48" i="10"/>
  <c r="F48" i="10"/>
  <c r="E49" i="10"/>
  <c r="F49" i="10" s="1"/>
  <c r="G49" i="10"/>
  <c r="H49" i="10" s="1"/>
  <c r="I49" i="10" s="1"/>
  <c r="J49" i="10" s="1"/>
  <c r="K49" i="10" s="1"/>
  <c r="L49" i="10" s="1"/>
  <c r="M49" i="10" s="1"/>
  <c r="N49" i="10" s="1"/>
  <c r="O49" i="10" s="1"/>
  <c r="P49" i="10" s="1"/>
  <c r="Q49" i="10" s="1"/>
  <c r="R49" i="10" s="1"/>
  <c r="E51" i="10"/>
  <c r="E52" i="10"/>
  <c r="F52" i="10" s="1"/>
  <c r="G52" i="10" s="1"/>
  <c r="H52" i="10"/>
  <c r="I52" i="10" s="1"/>
  <c r="J52" i="10" s="1"/>
  <c r="K52" i="10" s="1"/>
  <c r="L52" i="10" s="1"/>
  <c r="M52" i="10" s="1"/>
  <c r="N52" i="10" s="1"/>
  <c r="O52" i="10" s="1"/>
  <c r="P52" i="10" s="1"/>
  <c r="Q52" i="10" s="1"/>
  <c r="R52" i="10" s="1"/>
  <c r="B57" i="10"/>
  <c r="C57" i="10"/>
  <c r="D57" i="10"/>
  <c r="B58" i="10"/>
  <c r="F58" i="10"/>
  <c r="G58" i="10"/>
  <c r="B59" i="10"/>
  <c r="D59" i="10"/>
  <c r="B61" i="10"/>
  <c r="C61" i="10"/>
  <c r="D61" i="10"/>
  <c r="L61" i="10"/>
  <c r="M61" i="10"/>
  <c r="B64" i="10" a="1"/>
  <c r="E64" i="10" s="1"/>
  <c r="C64" i="10"/>
  <c r="D64" i="10"/>
  <c r="G64" i="10"/>
  <c r="I64" i="10"/>
  <c r="K64" i="10"/>
  <c r="L64" i="10"/>
  <c r="M64" i="10"/>
  <c r="Q64" i="10"/>
  <c r="R64" i="10"/>
  <c r="C65" i="10"/>
  <c r="D65" i="10"/>
  <c r="E65" i="10"/>
  <c r="I65" i="10"/>
  <c r="J65" i="10"/>
  <c r="L65" i="10"/>
  <c r="M65" i="10"/>
  <c r="N65" i="10"/>
  <c r="R65" i="10"/>
  <c r="B66" i="10"/>
  <c r="D66" i="10"/>
  <c r="E66" i="10"/>
  <c r="G66" i="10"/>
  <c r="J66" i="10"/>
  <c r="K66" i="10"/>
  <c r="M66" i="10"/>
  <c r="O66" i="10"/>
  <c r="P66" i="10"/>
  <c r="B67" i="10"/>
  <c r="F53" i="10" l="1"/>
  <c r="G53" i="10"/>
  <c r="H53" i="10" s="1"/>
  <c r="I53" i="10" s="1"/>
  <c r="J53" i="10" s="1"/>
  <c r="K53" i="10" s="1"/>
  <c r="L53" i="10" s="1"/>
  <c r="M53" i="10" s="1"/>
  <c r="N53" i="10" s="1"/>
  <c r="O53" i="10" s="1"/>
  <c r="P53" i="10" s="1"/>
  <c r="Q53" i="10" s="1"/>
  <c r="R53" i="10" s="1"/>
  <c r="K38" i="11"/>
  <c r="F45" i="10"/>
  <c r="G10" i="10"/>
  <c r="F57" i="10"/>
  <c r="C18" i="9"/>
  <c r="T37" i="11"/>
  <c r="O51" i="10"/>
  <c r="P51" i="10"/>
  <c r="G21" i="10"/>
  <c r="F47" i="10"/>
  <c r="F59" i="10"/>
  <c r="Q51" i="10"/>
  <c r="N51" i="10"/>
  <c r="Q37" i="11"/>
  <c r="L51" i="10"/>
  <c r="Q61" i="10"/>
  <c r="G11" i="9"/>
  <c r="H23" i="11"/>
  <c r="I23" i="11" s="1"/>
  <c r="J23" i="11" s="1"/>
  <c r="K23" i="11" s="1"/>
  <c r="L23" i="11" s="1"/>
  <c r="M23" i="11" s="1"/>
  <c r="N23" i="11" s="1"/>
  <c r="O23" i="11" s="1"/>
  <c r="P23" i="11" s="1"/>
  <c r="Q23" i="11" s="1"/>
  <c r="R23" i="11" s="1"/>
  <c r="S23" i="11" s="1"/>
  <c r="T23" i="11" s="1"/>
  <c r="U23" i="11" s="1"/>
  <c r="V23" i="11" s="1"/>
  <c r="W23" i="11" s="1"/>
  <c r="J13" i="11"/>
  <c r="J14" i="11" s="1"/>
  <c r="J15" i="11" s="1"/>
  <c r="K9" i="11"/>
  <c r="P61" i="10"/>
  <c r="I51" i="10"/>
  <c r="D68" i="9"/>
  <c r="E68" i="9" s="1"/>
  <c r="F68" i="9" s="1"/>
  <c r="G68" i="9" s="1"/>
  <c r="H68" i="9" s="1"/>
  <c r="I68" i="9" s="1"/>
  <c r="J68" i="9" s="1"/>
  <c r="K68" i="9" s="1"/>
  <c r="L68" i="9" s="1"/>
  <c r="M68" i="9" s="1"/>
  <c r="N68" i="9" s="1"/>
  <c r="O68" i="9" s="1"/>
  <c r="P68" i="9" s="1"/>
  <c r="Q68" i="9" s="1"/>
  <c r="R68" i="9" s="1"/>
  <c r="F48" i="8"/>
  <c r="H23" i="10"/>
  <c r="G48" i="10"/>
  <c r="H22" i="11"/>
  <c r="C58" i="9"/>
  <c r="C67" i="9" s="1"/>
  <c r="D24" i="9"/>
  <c r="R37" i="11"/>
  <c r="E50" i="10"/>
  <c r="E61" i="10"/>
  <c r="F37" i="8"/>
  <c r="G10" i="8"/>
  <c r="F11" i="8"/>
  <c r="E53" i="10"/>
  <c r="J38" i="11"/>
  <c r="G51" i="10"/>
  <c r="L37" i="11"/>
  <c r="W37" i="11"/>
  <c r="R51" i="10"/>
  <c r="P37" i="11"/>
  <c r="K51" i="10"/>
  <c r="F27" i="10"/>
  <c r="H46" i="10"/>
  <c r="I16" i="10"/>
  <c r="H58" i="10"/>
  <c r="H17" i="10"/>
  <c r="D47" i="8"/>
  <c r="I39" i="8"/>
  <c r="J18" i="8"/>
  <c r="R66" i="10"/>
  <c r="I66" i="10"/>
  <c r="Q65" i="10"/>
  <c r="H65" i="10"/>
  <c r="O64" i="10"/>
  <c r="F64" i="10"/>
  <c r="E11" i="9"/>
  <c r="E56" i="9" s="1"/>
  <c r="E65" i="9" s="1"/>
  <c r="G39" i="8"/>
  <c r="F39" i="8"/>
  <c r="K37" i="11"/>
  <c r="Q66" i="10"/>
  <c r="H66" i="10"/>
  <c r="P65" i="10"/>
  <c r="F65" i="10"/>
  <c r="N64" i="10"/>
  <c r="E59" i="10"/>
  <c r="F72" i="9"/>
  <c r="N72" i="9"/>
  <c r="E73" i="9"/>
  <c r="M73" i="9"/>
  <c r="D74" i="9"/>
  <c r="L74" i="9"/>
  <c r="E72" i="9"/>
  <c r="O72" i="9"/>
  <c r="G73" i="9"/>
  <c r="P73" i="9"/>
  <c r="H74" i="9"/>
  <c r="Q74" i="9"/>
  <c r="B72" i="9"/>
  <c r="J72" i="9"/>
  <c r="B73" i="9"/>
  <c r="K73" i="9"/>
  <c r="C74" i="9"/>
  <c r="M74" i="9"/>
  <c r="D14" i="9"/>
  <c r="C17" i="9"/>
  <c r="C57" i="9" s="1"/>
  <c r="C66" i="9" s="1"/>
  <c r="H64" i="10"/>
  <c r="P64" i="10"/>
  <c r="G65" i="10"/>
  <c r="O65" i="10"/>
  <c r="F66" i="10"/>
  <c r="N66" i="10"/>
  <c r="O37" i="11"/>
  <c r="J51" i="10"/>
  <c r="E10" i="10"/>
  <c r="J19" i="11"/>
  <c r="K19" i="11" s="1"/>
  <c r="L19" i="11" s="1"/>
  <c r="M19" i="11" s="1"/>
  <c r="N19" i="11" s="1"/>
  <c r="O19" i="11" s="1"/>
  <c r="P19" i="11" s="1"/>
  <c r="Q19" i="11" s="1"/>
  <c r="R19" i="11" s="1"/>
  <c r="S19" i="11" s="1"/>
  <c r="T19" i="11" s="1"/>
  <c r="U19" i="11" s="1"/>
  <c r="V19" i="11" s="1"/>
  <c r="W19" i="11" s="1"/>
  <c r="F4" i="9"/>
  <c r="G4" i="9" s="1"/>
  <c r="H4" i="9" s="1"/>
  <c r="I4" i="9" s="1"/>
  <c r="J4" i="9" s="1"/>
  <c r="K4" i="9" s="1"/>
  <c r="L4" i="9" s="1"/>
  <c r="M4" i="9" s="1"/>
  <c r="N4" i="9" s="1"/>
  <c r="F38" i="8"/>
  <c r="G16" i="8"/>
  <c r="E37" i="8"/>
  <c r="E11" i="8"/>
  <c r="H14" i="11"/>
  <c r="H15" i="11" s="1"/>
  <c r="L66" i="10"/>
  <c r="C66" i="10"/>
  <c r="K65" i="10"/>
  <c r="B65" i="10"/>
  <c r="J64" i="10"/>
  <c r="B64" i="10"/>
  <c r="C37" i="8"/>
  <c r="C46" i="8" s="1"/>
  <c r="D46" i="8" s="1"/>
  <c r="E38" i="8"/>
  <c r="H40" i="11"/>
  <c r="H41" i="11" s="1"/>
  <c r="I35" i="11"/>
  <c r="N53" i="8"/>
  <c r="F65" i="9" l="1"/>
  <c r="H26" i="11"/>
  <c r="H27" i="11" s="1"/>
  <c r="H28" i="11" s="1"/>
  <c r="I22" i="11"/>
  <c r="J35" i="11"/>
  <c r="I40" i="11"/>
  <c r="I41" i="11" s="1"/>
  <c r="H10" i="8"/>
  <c r="G11" i="8"/>
  <c r="G37" i="8"/>
  <c r="E57" i="10"/>
  <c r="E45" i="10"/>
  <c r="E47" i="8"/>
  <c r="F47" i="8" s="1"/>
  <c r="I23" i="10"/>
  <c r="H48" i="10"/>
  <c r="H11" i="9"/>
  <c r="G56" i="9"/>
  <c r="G47" i="10"/>
  <c r="G59" i="10"/>
  <c r="H21" i="10"/>
  <c r="G45" i="10"/>
  <c r="G57" i="10"/>
  <c r="H10" i="10"/>
  <c r="D67" i="9"/>
  <c r="G48" i="8"/>
  <c r="H48" i="8" s="1"/>
  <c r="I48" i="8" s="1"/>
  <c r="E46" i="8"/>
  <c r="F46" i="8" s="1"/>
  <c r="G46" i="8" s="1"/>
  <c r="D17" i="9"/>
  <c r="D57" i="9" s="1"/>
  <c r="E14" i="9"/>
  <c r="G27" i="10"/>
  <c r="F61" i="10"/>
  <c r="F50" i="10"/>
  <c r="C19" i="9"/>
  <c r="D18" i="9"/>
  <c r="D66" i="9"/>
  <c r="I46" i="10"/>
  <c r="I58" i="10"/>
  <c r="I17" i="10"/>
  <c r="J16" i="10"/>
  <c r="K13" i="11"/>
  <c r="K14" i="11" s="1"/>
  <c r="K15" i="11" s="1"/>
  <c r="L9" i="11"/>
  <c r="J39" i="8"/>
  <c r="K18" i="8"/>
  <c r="H16" i="8"/>
  <c r="G38" i="8"/>
  <c r="D58" i="9"/>
  <c r="E24" i="9"/>
  <c r="F56" i="9"/>
  <c r="I21" i="10" l="1"/>
  <c r="H59" i="10"/>
  <c r="H47" i="10"/>
  <c r="L18" i="8"/>
  <c r="K39" i="8"/>
  <c r="E18" i="9"/>
  <c r="E19" i="9" s="1"/>
  <c r="D19" i="9"/>
  <c r="M9" i="11"/>
  <c r="L13" i="11"/>
  <c r="L14" i="11" s="1"/>
  <c r="L15" i="11" s="1"/>
  <c r="E67" i="9"/>
  <c r="I11" i="9"/>
  <c r="H56" i="9"/>
  <c r="I10" i="8"/>
  <c r="H11" i="8"/>
  <c r="H37" i="8"/>
  <c r="H46" i="8" s="1"/>
  <c r="I10" i="10"/>
  <c r="H57" i="10"/>
  <c r="H45" i="10"/>
  <c r="F14" i="9"/>
  <c r="E17" i="9"/>
  <c r="E57" i="9" s="1"/>
  <c r="E66" i="9"/>
  <c r="J48" i="8"/>
  <c r="K48" i="8" s="1"/>
  <c r="F24" i="9"/>
  <c r="E58" i="9"/>
  <c r="J46" i="10"/>
  <c r="K16" i="10"/>
  <c r="J17" i="10"/>
  <c r="J58" i="10"/>
  <c r="I48" i="10"/>
  <c r="J23" i="10"/>
  <c r="K35" i="11"/>
  <c r="J40" i="11"/>
  <c r="J41" i="11" s="1"/>
  <c r="H27" i="10"/>
  <c r="G50" i="10"/>
  <c r="G61" i="10"/>
  <c r="G47" i="8"/>
  <c r="J22" i="11"/>
  <c r="I26" i="11"/>
  <c r="I27" i="11" s="1"/>
  <c r="I28" i="11" s="1"/>
  <c r="I16" i="8"/>
  <c r="H38" i="8"/>
  <c r="G65" i="9"/>
  <c r="H65" i="9" s="1"/>
  <c r="I46" i="8" l="1"/>
  <c r="F58" i="9"/>
  <c r="G24" i="9"/>
  <c r="J48" i="10"/>
  <c r="K23" i="10"/>
  <c r="L48" i="8"/>
  <c r="K22" i="11"/>
  <c r="J26" i="11"/>
  <c r="J27" i="11" s="1"/>
  <c r="J28" i="11" s="1"/>
  <c r="H47" i="8"/>
  <c r="J10" i="8"/>
  <c r="I37" i="8"/>
  <c r="I11" i="8"/>
  <c r="F17" i="9"/>
  <c r="G14" i="9"/>
  <c r="L35" i="11"/>
  <c r="K40" i="11"/>
  <c r="K41" i="11" s="1"/>
  <c r="K42" i="11" s="1"/>
  <c r="K17" i="10"/>
  <c r="K46" i="10"/>
  <c r="L16" i="10"/>
  <c r="K58" i="10"/>
  <c r="J11" i="9"/>
  <c r="I56" i="9"/>
  <c r="I65" i="9" s="1"/>
  <c r="M18" i="8"/>
  <c r="L39" i="8"/>
  <c r="H50" i="10"/>
  <c r="I27" i="10"/>
  <c r="H61" i="10"/>
  <c r="F67" i="9"/>
  <c r="I38" i="8"/>
  <c r="J16" i="8"/>
  <c r="J10" i="10"/>
  <c r="I45" i="10"/>
  <c r="I57" i="10"/>
  <c r="N9" i="11"/>
  <c r="M13" i="11"/>
  <c r="M14" i="11" s="1"/>
  <c r="M15" i="11" s="1"/>
  <c r="J21" i="10"/>
  <c r="I59" i="10"/>
  <c r="I47" i="10"/>
  <c r="J65" i="9" l="1"/>
  <c r="J56" i="9"/>
  <c r="K11" i="9"/>
  <c r="M16" i="10"/>
  <c r="L58" i="10"/>
  <c r="L17" i="10"/>
  <c r="L46" i="10"/>
  <c r="L23" i="10"/>
  <c r="K48" i="10"/>
  <c r="J57" i="10"/>
  <c r="K10" i="10"/>
  <c r="J45" i="10"/>
  <c r="L40" i="11"/>
  <c r="L41" i="11" s="1"/>
  <c r="L42" i="11" s="1"/>
  <c r="M35" i="11"/>
  <c r="H14" i="9"/>
  <c r="G17" i="9"/>
  <c r="N13" i="11"/>
  <c r="N14" i="11" s="1"/>
  <c r="N15" i="11" s="1"/>
  <c r="O9" i="11"/>
  <c r="I61" i="10"/>
  <c r="I50" i="10"/>
  <c r="J27" i="10"/>
  <c r="K10" i="8"/>
  <c r="J11" i="8"/>
  <c r="J37" i="8"/>
  <c r="G58" i="9"/>
  <c r="G67" i="9" s="1"/>
  <c r="H24" i="9"/>
  <c r="N18" i="8"/>
  <c r="M39" i="8"/>
  <c r="M48" i="8" s="1"/>
  <c r="K16" i="8"/>
  <c r="J38" i="8"/>
  <c r="L22" i="11"/>
  <c r="K26" i="11"/>
  <c r="K27" i="11" s="1"/>
  <c r="K28" i="11" s="1"/>
  <c r="J47" i="10"/>
  <c r="K21" i="10"/>
  <c r="J59" i="10"/>
  <c r="F57" i="9"/>
  <c r="F66" i="9" s="1"/>
  <c r="F18" i="9"/>
  <c r="F19" i="9" s="1"/>
  <c r="I47" i="8"/>
  <c r="J47" i="8" s="1"/>
  <c r="J46" i="8"/>
  <c r="K59" i="10" l="1"/>
  <c r="K47" i="10"/>
  <c r="L21" i="10"/>
  <c r="P9" i="11"/>
  <c r="O13" i="11"/>
  <c r="O14" i="11" s="1"/>
  <c r="O15" i="11" s="1"/>
  <c r="N39" i="8"/>
  <c r="N48" i="8" s="1"/>
  <c r="O18" i="8"/>
  <c r="N16" i="10"/>
  <c r="M17" i="10"/>
  <c r="M58" i="10"/>
  <c r="M46" i="10"/>
  <c r="I24" i="9"/>
  <c r="H58" i="9"/>
  <c r="H67" i="9" s="1"/>
  <c r="L10" i="10"/>
  <c r="K45" i="10"/>
  <c r="K57" i="10"/>
  <c r="L11" i="9"/>
  <c r="K56" i="9"/>
  <c r="L26" i="11"/>
  <c r="L27" i="11" s="1"/>
  <c r="L28" i="11" s="1"/>
  <c r="M22" i="11"/>
  <c r="G57" i="9"/>
  <c r="G66" i="9" s="1"/>
  <c r="G18" i="9"/>
  <c r="G19" i="9" s="1"/>
  <c r="L48" i="10"/>
  <c r="M23" i="10"/>
  <c r="I14" i="9"/>
  <c r="H17" i="9"/>
  <c r="K47" i="8"/>
  <c r="K37" i="8"/>
  <c r="K46" i="8" s="1"/>
  <c r="L10" i="8"/>
  <c r="K11" i="8"/>
  <c r="K38" i="8"/>
  <c r="L16" i="8"/>
  <c r="J50" i="10"/>
  <c r="J61" i="10"/>
  <c r="K27" i="10"/>
  <c r="N35" i="11"/>
  <c r="M40" i="11"/>
  <c r="M41" i="11" s="1"/>
  <c r="M42" i="11" s="1"/>
  <c r="K65" i="9"/>
  <c r="H66" i="9" l="1"/>
  <c r="L46" i="8"/>
  <c r="K61" i="10"/>
  <c r="K50" i="10"/>
  <c r="L50" i="10"/>
  <c r="M26" i="11"/>
  <c r="M27" i="11" s="1"/>
  <c r="M28" i="11" s="1"/>
  <c r="N22" i="11"/>
  <c r="J24" i="9"/>
  <c r="I58" i="9"/>
  <c r="I67" i="9" s="1"/>
  <c r="Q9" i="11"/>
  <c r="P13" i="11"/>
  <c r="P14" i="11" s="1"/>
  <c r="P15" i="11" s="1"/>
  <c r="H18" i="9"/>
  <c r="H19" i="9" s="1"/>
  <c r="H57" i="9"/>
  <c r="L47" i="10"/>
  <c r="M21" i="10"/>
  <c r="L59" i="10"/>
  <c r="M16" i="8"/>
  <c r="L38" i="8"/>
  <c r="L47" i="8" s="1"/>
  <c r="I17" i="9"/>
  <c r="J14" i="9"/>
  <c r="L56" i="9"/>
  <c r="L65" i="9" s="1"/>
  <c r="M11" i="9"/>
  <c r="N40" i="11"/>
  <c r="N41" i="11" s="1"/>
  <c r="N42" i="11" s="1"/>
  <c r="O35" i="11"/>
  <c r="L45" i="10"/>
  <c r="M10" i="10"/>
  <c r="L57" i="10"/>
  <c r="N17" i="10"/>
  <c r="N46" i="10"/>
  <c r="N58" i="10"/>
  <c r="O16" i="10"/>
  <c r="M48" i="10"/>
  <c r="N23" i="10"/>
  <c r="L11" i="8"/>
  <c r="L37" i="8"/>
  <c r="M10" i="8"/>
  <c r="O39" i="8"/>
  <c r="O48" i="8" s="1"/>
  <c r="P18" i="8"/>
  <c r="N10" i="10" l="1"/>
  <c r="M57" i="10"/>
  <c r="M45" i="10"/>
  <c r="R9" i="11"/>
  <c r="Q13" i="11"/>
  <c r="Q14" i="11" s="1"/>
  <c r="Q15" i="11" s="1"/>
  <c r="Q18" i="8"/>
  <c r="P39" i="8"/>
  <c r="P48" i="8" s="1"/>
  <c r="O46" i="10"/>
  <c r="O58" i="10"/>
  <c r="P16" i="10"/>
  <c r="I66" i="9"/>
  <c r="N21" i="10"/>
  <c r="M59" i="10"/>
  <c r="M47" i="10"/>
  <c r="M11" i="8"/>
  <c r="N10" i="8"/>
  <c r="M37" i="8"/>
  <c r="M56" i="9"/>
  <c r="M65" i="9" s="1"/>
  <c r="N11" i="9"/>
  <c r="K14" i="9"/>
  <c r="J17" i="9"/>
  <c r="N48" i="10"/>
  <c r="O23" i="10"/>
  <c r="I18" i="9"/>
  <c r="I19" i="9" s="1"/>
  <c r="I57" i="9"/>
  <c r="M46" i="8"/>
  <c r="K24" i="9"/>
  <c r="J58" i="9"/>
  <c r="J67" i="9" s="1"/>
  <c r="M38" i="8"/>
  <c r="M47" i="8" s="1"/>
  <c r="N16" i="8"/>
  <c r="P35" i="11"/>
  <c r="O40" i="11"/>
  <c r="O41" i="11" s="1"/>
  <c r="O42" i="11" s="1"/>
  <c r="N26" i="11"/>
  <c r="N27" i="11" s="1"/>
  <c r="N28" i="11" s="1"/>
  <c r="O22" i="11"/>
  <c r="N65" i="9" l="1"/>
  <c r="O21" i="10"/>
  <c r="N59" i="10"/>
  <c r="N47" i="10"/>
  <c r="O11" i="9"/>
  <c r="N56" i="9"/>
  <c r="P22" i="11"/>
  <c r="O26" i="11"/>
  <c r="O27" i="11" s="1"/>
  <c r="O28" i="11" s="1"/>
  <c r="N45" i="10"/>
  <c r="O10" i="10"/>
  <c r="N57" i="10"/>
  <c r="N37" i="8"/>
  <c r="N46" i="8" s="1"/>
  <c r="O10" i="8"/>
  <c r="N11" i="8"/>
  <c r="L14" i="9"/>
  <c r="K17" i="9"/>
  <c r="K58" i="9"/>
  <c r="K67" i="9" s="1"/>
  <c r="L24" i="9"/>
  <c r="R13" i="11"/>
  <c r="R14" i="11" s="1"/>
  <c r="R15" i="11" s="1"/>
  <c r="S9" i="11"/>
  <c r="P46" i="10"/>
  <c r="Q16" i="10"/>
  <c r="P58" i="10"/>
  <c r="P40" i="11"/>
  <c r="P41" i="11" s="1"/>
  <c r="P42" i="11" s="1"/>
  <c r="Q35" i="11"/>
  <c r="N38" i="8"/>
  <c r="N47" i="8" s="1"/>
  <c r="O16" i="8"/>
  <c r="R18" i="8"/>
  <c r="R39" i="8" s="1"/>
  <c r="Q39" i="8"/>
  <c r="Q48" i="8" s="1"/>
  <c r="R48" i="8" s="1"/>
  <c r="P23" i="10"/>
  <c r="O48" i="10"/>
  <c r="J57" i="9"/>
  <c r="J66" i="9" s="1"/>
  <c r="J18" i="9"/>
  <c r="J19" i="9" s="1"/>
  <c r="O47" i="8" l="1"/>
  <c r="L67" i="9"/>
  <c r="K66" i="9"/>
  <c r="M24" i="9"/>
  <c r="L58" i="9"/>
  <c r="T9" i="11"/>
  <c r="S13" i="11"/>
  <c r="S14" i="11" s="1"/>
  <c r="S15" i="11" s="1"/>
  <c r="R35" i="11"/>
  <c r="Q40" i="11"/>
  <c r="Q41" i="11" s="1"/>
  <c r="Q42" i="11" s="1"/>
  <c r="O45" i="10"/>
  <c r="P10" i="10"/>
  <c r="O57" i="10"/>
  <c r="M14" i="9"/>
  <c r="L17" i="9"/>
  <c r="O47" i="10"/>
  <c r="P21" i="10"/>
  <c r="O59" i="10"/>
  <c r="K57" i="9"/>
  <c r="K18" i="9"/>
  <c r="K19" i="9" s="1"/>
  <c r="Q23" i="10"/>
  <c r="P48" i="10"/>
  <c r="R16" i="10"/>
  <c r="Q58" i="10"/>
  <c r="Q46" i="10"/>
  <c r="P26" i="11"/>
  <c r="P27" i="11" s="1"/>
  <c r="P28" i="11" s="1"/>
  <c r="Q22" i="11"/>
  <c r="P11" i="9"/>
  <c r="O56" i="9"/>
  <c r="O65" i="9" s="1"/>
  <c r="O38" i="8"/>
  <c r="P16" i="8"/>
  <c r="O37" i="8"/>
  <c r="O46" i="8" s="1"/>
  <c r="P10" i="8"/>
  <c r="L66" i="9" l="1"/>
  <c r="P37" i="8"/>
  <c r="P46" i="8" s="1"/>
  <c r="Q10" i="8"/>
  <c r="P47" i="10"/>
  <c r="Q21" i="10"/>
  <c r="P59" i="10"/>
  <c r="R40" i="11"/>
  <c r="R41" i="11" s="1"/>
  <c r="R42" i="11" s="1"/>
  <c r="S35" i="11"/>
  <c r="Q16" i="8"/>
  <c r="P38" i="8"/>
  <c r="P47" i="8" s="1"/>
  <c r="R58" i="10"/>
  <c r="R46" i="10"/>
  <c r="L18" i="9"/>
  <c r="L19" i="9" s="1"/>
  <c r="L57" i="9"/>
  <c r="U9" i="11"/>
  <c r="T13" i="11"/>
  <c r="T14" i="11" s="1"/>
  <c r="T15" i="11" s="1"/>
  <c r="M17" i="9"/>
  <c r="N14" i="9"/>
  <c r="Q11" i="9"/>
  <c r="P56" i="9"/>
  <c r="P65" i="9" s="1"/>
  <c r="R22" i="11"/>
  <c r="Q26" i="11"/>
  <c r="Q27" i="11" s="1"/>
  <c r="Q28" i="11" s="1"/>
  <c r="M67" i="9"/>
  <c r="R23" i="10"/>
  <c r="R48" i="10" s="1"/>
  <c r="Q48" i="10"/>
  <c r="N24" i="9"/>
  <c r="M58" i="9"/>
  <c r="P45" i="10"/>
  <c r="P57" i="10"/>
  <c r="Q10" i="10"/>
  <c r="Q47" i="8" l="1"/>
  <c r="Q46" i="8"/>
  <c r="R46" i="8" s="1"/>
  <c r="O24" i="9"/>
  <c r="N58" i="9"/>
  <c r="R26" i="11"/>
  <c r="R27" i="11" s="1"/>
  <c r="R28" i="11" s="1"/>
  <c r="S22" i="11"/>
  <c r="Q47" i="10"/>
  <c r="R21" i="10"/>
  <c r="Q59" i="10"/>
  <c r="Q56" i="9"/>
  <c r="Q65" i="9" s="1"/>
  <c r="R65" i="9" s="1"/>
  <c r="R11" i="9"/>
  <c r="R56" i="9" s="1"/>
  <c r="R10" i="8"/>
  <c r="R37" i="8" s="1"/>
  <c r="Q37" i="8"/>
  <c r="N17" i="9"/>
  <c r="O14" i="9"/>
  <c r="M18" i="9"/>
  <c r="M19" i="9" s="1"/>
  <c r="M57" i="9"/>
  <c r="M66" i="9" s="1"/>
  <c r="R16" i="8"/>
  <c r="R38" i="8" s="1"/>
  <c r="Q38" i="8"/>
  <c r="S40" i="11"/>
  <c r="S41" i="11" s="1"/>
  <c r="S42" i="11" s="1"/>
  <c r="T35" i="11"/>
  <c r="R10" i="10"/>
  <c r="Q57" i="10"/>
  <c r="Q45" i="10"/>
  <c r="N67" i="9"/>
  <c r="V9" i="11"/>
  <c r="U13" i="11"/>
  <c r="U14" i="11" s="1"/>
  <c r="U15" i="11" s="1"/>
  <c r="N66" i="9" l="1"/>
  <c r="R45" i="10"/>
  <c r="R57" i="10"/>
  <c r="N18" i="9"/>
  <c r="N19" i="9" s="1"/>
  <c r="N57" i="9"/>
  <c r="T40" i="11"/>
  <c r="T41" i="11" s="1"/>
  <c r="T42" i="11" s="1"/>
  <c r="U35" i="11"/>
  <c r="T22" i="11"/>
  <c r="S26" i="11"/>
  <c r="S27" i="11" s="1"/>
  <c r="S28" i="11" s="1"/>
  <c r="V13" i="11"/>
  <c r="V14" i="11" s="1"/>
  <c r="V15" i="11" s="1"/>
  <c r="W9" i="11"/>
  <c r="W13" i="11" s="1"/>
  <c r="W14" i="11" s="1"/>
  <c r="W15" i="11" s="1"/>
  <c r="B4" i="11" s="1" a="1"/>
  <c r="O58" i="9"/>
  <c r="O67" i="9" s="1"/>
  <c r="P24" i="9"/>
  <c r="R47" i="8"/>
  <c r="P14" i="9"/>
  <c r="O17" i="9"/>
  <c r="O57" i="9" s="1"/>
  <c r="R47" i="10"/>
  <c r="R59" i="10"/>
  <c r="T26" i="11" l="1"/>
  <c r="T27" i="11" s="1"/>
  <c r="T28" i="11" s="1"/>
  <c r="U22" i="11"/>
  <c r="O66" i="9"/>
  <c r="P66" i="9" s="1"/>
  <c r="Q14" i="9"/>
  <c r="P17" i="9"/>
  <c r="P57" i="9" s="1"/>
  <c r="V35" i="11"/>
  <c r="U40" i="11"/>
  <c r="U41" i="11" s="1"/>
  <c r="U42" i="11" s="1"/>
  <c r="P58" i="9"/>
  <c r="P67" i="9" s="1"/>
  <c r="Q24" i="9"/>
  <c r="B4" i="11"/>
  <c r="B8" i="11"/>
  <c r="B18" i="11"/>
  <c r="B5" i="11"/>
  <c r="B13" i="11"/>
  <c r="B7" i="11"/>
  <c r="B19" i="11"/>
  <c r="B15" i="11"/>
  <c r="B11" i="11"/>
  <c r="B12" i="11"/>
  <c r="B6" i="11"/>
  <c r="B9" i="11"/>
  <c r="B17" i="11"/>
  <c r="B20" i="11"/>
  <c r="B16" i="11"/>
  <c r="B14" i="11"/>
  <c r="B10" i="11"/>
  <c r="Q17" i="9" l="1"/>
  <c r="Q57" i="9" s="1"/>
  <c r="Q66" i="9" s="1"/>
  <c r="R66" i="9" s="1"/>
  <c r="R14" i="9"/>
  <c r="R17" i="9" s="1"/>
  <c r="R57" i="9" s="1"/>
  <c r="V22" i="11"/>
  <c r="U26" i="11"/>
  <c r="U27" i="11" s="1"/>
  <c r="U28" i="11" s="1"/>
  <c r="W35" i="11"/>
  <c r="W40" i="11" s="1"/>
  <c r="W41" i="11" s="1"/>
  <c r="W42" i="11" s="1"/>
  <c r="V40" i="11"/>
  <c r="V41" i="11" s="1"/>
  <c r="V42" i="11" s="1"/>
  <c r="R24" i="9"/>
  <c r="R58" i="9" s="1"/>
  <c r="Q58" i="9"/>
  <c r="Q67" i="9" s="1"/>
  <c r="R67" i="9" s="1"/>
  <c r="D4" i="11" l="1" a="1"/>
  <c r="W22" i="11"/>
  <c r="W26" i="11" s="1"/>
  <c r="W27" i="11" s="1"/>
  <c r="W28" i="11" s="1"/>
  <c r="C4" i="11" s="1" a="1"/>
  <c r="V26" i="11"/>
  <c r="V27" i="11" s="1"/>
  <c r="V28" i="11" s="1"/>
  <c r="D5" i="11" l="1"/>
  <c r="D14" i="11"/>
  <c r="D16" i="11"/>
  <c r="D4" i="11"/>
  <c r="D11" i="11"/>
  <c r="D13" i="11"/>
  <c r="D15" i="11"/>
  <c r="D17" i="11"/>
  <c r="D6" i="11"/>
  <c r="D20" i="11"/>
  <c r="D7" i="11"/>
  <c r="D8" i="11"/>
  <c r="D18" i="11"/>
  <c r="D10" i="11"/>
  <c r="D19" i="11"/>
  <c r="D12" i="11"/>
  <c r="D9" i="11"/>
  <c r="C10" i="11"/>
  <c r="C19" i="11"/>
  <c r="C4" i="11"/>
  <c r="C6" i="11"/>
  <c r="C9" i="11"/>
  <c r="C12" i="11"/>
  <c r="C20" i="11"/>
  <c r="C14" i="11"/>
  <c r="C17" i="11"/>
  <c r="C13" i="11"/>
  <c r="C8" i="11"/>
  <c r="C5" i="11"/>
  <c r="C18" i="11"/>
  <c r="C7" i="11"/>
  <c r="C11" i="11"/>
  <c r="C15" i="11"/>
  <c r="C16" i="11"/>
</calcChain>
</file>

<file path=xl/comments1.xml><?xml version="1.0" encoding="utf-8"?>
<comments xmlns="http://schemas.openxmlformats.org/spreadsheetml/2006/main">
  <authors>
    <author>Tamara Johnson</author>
  </authors>
  <commentList>
    <comment ref="F9" authorId="0" shapeId="0">
      <text>
        <r>
          <rPr>
            <b/>
            <sz val="8"/>
            <color indexed="81"/>
            <rFont val="Tahoma"/>
          </rPr>
          <t>Tamara Johnson:</t>
        </r>
        <r>
          <rPr>
            <sz val="8"/>
            <color indexed="81"/>
            <rFont val="Tahoma"/>
          </rPr>
          <t xml:space="preserve">
</t>
        </r>
        <r>
          <rPr>
            <sz val="9"/>
            <color indexed="81"/>
            <rFont val="Tahoma"/>
            <family val="2"/>
          </rPr>
          <t>assume that costs do not increase</t>
        </r>
      </text>
    </comment>
    <comment ref="F10" authorId="0" shapeId="0">
      <text>
        <r>
          <rPr>
            <b/>
            <sz val="8"/>
            <color indexed="81"/>
            <rFont val="Tahoma"/>
          </rPr>
          <t>Tamara Johnson:</t>
        </r>
        <r>
          <rPr>
            <sz val="8"/>
            <color indexed="81"/>
            <rFont val="Tahoma"/>
          </rPr>
          <t xml:space="preserve">
</t>
        </r>
        <r>
          <rPr>
            <sz val="9"/>
            <color indexed="81"/>
            <rFont val="Tahoma"/>
            <family val="2"/>
          </rPr>
          <t>Assume that costs increase at same rate as load increases</t>
        </r>
      </text>
    </comment>
    <comment ref="J10" authorId="0" shapeId="0">
      <text>
        <r>
          <rPr>
            <b/>
            <sz val="8"/>
            <color indexed="81"/>
            <rFont val="Tahoma"/>
          </rPr>
          <t>Tamara Johnson:</t>
        </r>
        <r>
          <rPr>
            <sz val="8"/>
            <color indexed="81"/>
            <rFont val="Tahoma"/>
          </rPr>
          <t xml:space="preserve">
per Roger Yang,
"includes CARE shortfall"</t>
        </r>
      </text>
    </comment>
  </commentList>
</comments>
</file>

<file path=xl/comments2.xml><?xml version="1.0" encoding="utf-8"?>
<comments xmlns="http://schemas.openxmlformats.org/spreadsheetml/2006/main">
  <authors>
    <author>ryang</author>
  </authors>
  <commentList>
    <comment ref="C6" authorId="0" shapeId="0">
      <text>
        <r>
          <rPr>
            <b/>
            <sz val="8"/>
            <color indexed="81"/>
            <rFont val="Tahoma"/>
          </rPr>
          <t>1860-E</t>
        </r>
        <r>
          <rPr>
            <sz val="8"/>
            <color indexed="81"/>
            <rFont val="Tahoma"/>
          </rPr>
          <t xml:space="preserve">
</t>
        </r>
      </text>
    </comment>
    <comment ref="D6" authorId="0" shapeId="0">
      <text>
        <r>
          <rPr>
            <b/>
            <sz val="8"/>
            <color indexed="81"/>
            <rFont val="Tahoma"/>
          </rPr>
          <t>2042-E</t>
        </r>
      </text>
    </comment>
    <comment ref="E6" authorId="0" shapeId="0">
      <text>
        <r>
          <rPr>
            <b/>
            <sz val="8"/>
            <color indexed="81"/>
            <rFont val="Tahoma"/>
          </rPr>
          <t>TO5</t>
        </r>
        <r>
          <rPr>
            <sz val="8"/>
            <color indexed="81"/>
            <rFont val="Tahoma"/>
          </rPr>
          <t xml:space="preserve">
</t>
        </r>
      </text>
    </comment>
    <comment ref="C7" authorId="0" shapeId="0">
      <text>
        <r>
          <rPr>
            <b/>
            <sz val="8"/>
            <color indexed="81"/>
            <rFont val="Tahoma"/>
          </rPr>
          <t>1860-E</t>
        </r>
        <r>
          <rPr>
            <sz val="8"/>
            <color indexed="81"/>
            <rFont val="Tahoma"/>
          </rPr>
          <t xml:space="preserve">
</t>
        </r>
      </text>
    </comment>
    <comment ref="E7" authorId="0" shapeId="0">
      <text>
        <r>
          <rPr>
            <b/>
            <sz val="8"/>
            <color indexed="81"/>
            <rFont val="Tahoma"/>
          </rPr>
          <t>TO5</t>
        </r>
        <r>
          <rPr>
            <sz val="8"/>
            <color indexed="81"/>
            <rFont val="Tahoma"/>
          </rPr>
          <t xml:space="preserve">
</t>
        </r>
      </text>
    </comment>
    <comment ref="E8" authorId="0" shapeId="0">
      <text>
        <r>
          <rPr>
            <b/>
            <sz val="8"/>
            <color indexed="81"/>
            <rFont val="Tahoma"/>
          </rPr>
          <t>1999-E</t>
        </r>
      </text>
    </comment>
    <comment ref="D14" authorId="0" shapeId="0">
      <text>
        <r>
          <rPr>
            <b/>
            <sz val="8"/>
            <color indexed="81"/>
            <rFont val="Tahoma"/>
          </rPr>
          <t>2013-E</t>
        </r>
      </text>
    </comment>
    <comment ref="D15" authorId="0" shapeId="0">
      <text>
        <r>
          <rPr>
            <b/>
            <sz val="8"/>
            <color indexed="81"/>
            <rFont val="Tahoma"/>
          </rPr>
          <t>2013-E</t>
        </r>
      </text>
    </comment>
    <comment ref="E15" authorId="0" shapeId="0">
      <text>
        <r>
          <rPr>
            <b/>
            <sz val="8"/>
            <color indexed="81"/>
            <rFont val="Tahoma"/>
          </rPr>
          <t>Cost of Capital, ERCA &amp; Attrition</t>
        </r>
      </text>
    </comment>
    <comment ref="D18" authorId="0" shapeId="0">
      <text>
        <r>
          <rPr>
            <b/>
            <sz val="8"/>
            <color indexed="81"/>
            <rFont val="Tahoma"/>
          </rPr>
          <t>2013-E</t>
        </r>
      </text>
    </comment>
    <comment ref="E18" authorId="0" shapeId="0">
      <text>
        <r>
          <rPr>
            <b/>
            <sz val="8"/>
            <color indexed="81"/>
            <rFont val="Tahoma"/>
          </rPr>
          <t>Humboldt Nuclear SAFSTOR</t>
        </r>
        <r>
          <rPr>
            <sz val="8"/>
            <color indexed="81"/>
            <rFont val="Tahoma"/>
          </rPr>
          <t xml:space="preserve">
</t>
        </r>
      </text>
    </comment>
    <comment ref="D20" authorId="0" shapeId="0">
      <text>
        <r>
          <rPr>
            <b/>
            <sz val="8"/>
            <color indexed="81"/>
            <rFont val="Tahoma"/>
          </rPr>
          <t>2013-E</t>
        </r>
      </text>
    </comment>
    <comment ref="E23" authorId="0" shapeId="0">
      <text>
        <r>
          <rPr>
            <b/>
            <sz val="8"/>
            <color indexed="81"/>
            <rFont val="Tahoma"/>
          </rPr>
          <t>DC ICIP Expires</t>
        </r>
      </text>
    </comment>
    <comment ref="C41" authorId="0" shapeId="0">
      <text>
        <r>
          <rPr>
            <b/>
            <sz val="8"/>
            <color indexed="81"/>
            <rFont val="Tahoma"/>
          </rPr>
          <t>1832-E</t>
        </r>
        <r>
          <rPr>
            <sz val="8"/>
            <color indexed="81"/>
            <rFont val="Tahoma"/>
          </rPr>
          <t xml:space="preserve">
</t>
        </r>
      </text>
    </comment>
    <comment ref="D41" authorId="0" shapeId="0">
      <text>
        <r>
          <rPr>
            <b/>
            <sz val="8"/>
            <color indexed="81"/>
            <rFont val="Tahoma"/>
          </rPr>
          <t>1942-E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Tamara Johnson</author>
    <author>ryang</author>
  </authors>
  <commentList>
    <comment ref="C4" authorId="0" shapeId="0">
      <text>
        <r>
          <rPr>
            <b/>
            <sz val="8"/>
            <color indexed="81"/>
            <rFont val="Tahoma"/>
          </rPr>
          <t>Tamara Johnson:</t>
        </r>
        <r>
          <rPr>
            <sz val="8"/>
            <color indexed="81"/>
            <rFont val="Tahoma"/>
          </rPr>
          <t xml:space="preserve">
1387E (for PBR exclusions, ND and PPP)</t>
        </r>
      </text>
    </comment>
    <comment ref="C8" authorId="1" shapeId="0">
      <text>
        <r>
          <rPr>
            <b/>
            <sz val="8"/>
            <color indexed="81"/>
            <rFont val="Tahoma"/>
          </rPr>
          <t>1355-E</t>
        </r>
        <r>
          <rPr>
            <sz val="8"/>
            <color indexed="81"/>
            <rFont val="Tahoma"/>
          </rPr>
          <t xml:space="preserve">
</t>
        </r>
      </text>
    </comment>
    <comment ref="D8" authorId="1" shapeId="0">
      <text>
        <r>
          <rPr>
            <b/>
            <sz val="8"/>
            <color indexed="81"/>
            <rFont val="Tahoma"/>
          </rPr>
          <t>1423-E</t>
        </r>
      </text>
    </comment>
    <comment ref="C14" authorId="1" shapeId="0">
      <text>
        <r>
          <rPr>
            <b/>
            <sz val="8"/>
            <color indexed="81"/>
            <rFont val="Tahoma"/>
          </rPr>
          <t>1345-E</t>
        </r>
        <r>
          <rPr>
            <sz val="8"/>
            <color indexed="81"/>
            <rFont val="Tahoma"/>
          </rPr>
          <t xml:space="preserve">
</t>
        </r>
      </text>
    </comment>
    <comment ref="D14" authorId="1" shapeId="0">
      <text>
        <r>
          <rPr>
            <b/>
            <sz val="8"/>
            <color indexed="81"/>
            <rFont val="Tahoma"/>
          </rPr>
          <t>1414-E</t>
        </r>
        <r>
          <rPr>
            <sz val="8"/>
            <color indexed="81"/>
            <rFont val="Tahoma"/>
          </rPr>
          <t xml:space="preserve">
</t>
        </r>
      </text>
    </comment>
    <comment ref="E14" authorId="1" shapeId="0">
      <text>
        <r>
          <rPr>
            <b/>
            <sz val="8"/>
            <color indexed="81"/>
            <rFont val="Tahoma"/>
          </rPr>
          <t>1494-E</t>
        </r>
      </text>
    </comment>
    <comment ref="C15" authorId="1" shapeId="0">
      <text>
        <r>
          <rPr>
            <b/>
            <sz val="8"/>
            <color indexed="81"/>
            <rFont val="Tahoma"/>
          </rPr>
          <t>1353-E</t>
        </r>
        <r>
          <rPr>
            <sz val="8"/>
            <color indexed="81"/>
            <rFont val="Tahoma"/>
          </rPr>
          <t xml:space="preserve">
</t>
        </r>
      </text>
    </comment>
    <comment ref="D15" authorId="1" shapeId="0">
      <text>
        <r>
          <rPr>
            <b/>
            <sz val="8"/>
            <color indexed="81"/>
            <rFont val="Tahoma"/>
          </rPr>
          <t>1420-E</t>
        </r>
        <r>
          <rPr>
            <sz val="8"/>
            <color indexed="81"/>
            <rFont val="Tahoma"/>
          </rPr>
          <t xml:space="preserve">
</t>
        </r>
      </text>
    </comment>
    <comment ref="E15" authorId="1" shapeId="0">
      <text>
        <r>
          <rPr>
            <b/>
            <sz val="8"/>
            <color indexed="81"/>
            <rFont val="Tahoma"/>
          </rPr>
          <t>1420-E</t>
        </r>
        <r>
          <rPr>
            <sz val="8"/>
            <color indexed="81"/>
            <rFont val="Tahoma"/>
          </rPr>
          <t xml:space="preserve">
</t>
        </r>
      </text>
    </comment>
    <comment ref="F15" authorId="1" shapeId="0">
      <text>
        <r>
          <rPr>
            <b/>
            <sz val="8"/>
            <color indexed="81"/>
            <rFont val="Tahoma"/>
          </rPr>
          <t>1420-E</t>
        </r>
        <r>
          <rPr>
            <sz val="8"/>
            <color indexed="81"/>
            <rFont val="Tahoma"/>
          </rPr>
          <t xml:space="preserve">
</t>
        </r>
      </text>
    </comment>
    <comment ref="G15" authorId="0" shapeId="0">
      <text>
        <r>
          <rPr>
            <b/>
            <sz val="8"/>
            <color indexed="81"/>
            <rFont val="Tahoma"/>
          </rPr>
          <t>Tamara Johnson:</t>
        </r>
        <r>
          <rPr>
            <sz val="8"/>
            <color indexed="81"/>
            <rFont val="Tahoma"/>
          </rPr>
          <t xml:space="preserve">
cost was recovered in a generation balancing account; will go back to distribution after rate freeze ends</t>
        </r>
      </text>
    </comment>
    <comment ref="C24" authorId="1" shapeId="0">
      <text>
        <r>
          <rPr>
            <b/>
            <sz val="8"/>
            <color indexed="81"/>
            <rFont val="Tahoma"/>
          </rPr>
          <t>1387-E</t>
        </r>
      </text>
    </comment>
    <comment ref="C37" authorId="1" shapeId="0">
      <text>
        <r>
          <rPr>
            <b/>
            <sz val="8"/>
            <color indexed="81"/>
            <rFont val="Tahoma"/>
          </rPr>
          <t>1387-E</t>
        </r>
      </text>
    </comment>
    <comment ref="G42" authorId="1" shapeId="0">
      <text>
        <r>
          <rPr>
            <b/>
            <sz val="8"/>
            <color indexed="81"/>
            <rFont val="Tahoma"/>
          </rPr>
          <t>SONGS ICIP Expires</t>
        </r>
      </text>
    </comment>
    <comment ref="C60" authorId="1" shapeId="0">
      <text>
        <r>
          <rPr>
            <b/>
            <sz val="8"/>
            <color indexed="81"/>
            <rFont val="Tahoma"/>
          </rPr>
          <t>1356-E</t>
        </r>
        <r>
          <rPr>
            <sz val="8"/>
            <color indexed="81"/>
            <rFont val="Tahoma"/>
          </rPr>
          <t xml:space="preserve">
</t>
        </r>
      </text>
    </comment>
    <comment ref="D60" authorId="1" shapeId="0">
      <text>
        <r>
          <rPr>
            <b/>
            <sz val="8"/>
            <color indexed="81"/>
            <rFont val="Tahoma"/>
          </rPr>
          <t>1398-E</t>
        </r>
      </text>
    </comment>
  </commentList>
</comments>
</file>

<file path=xl/comments4.xml><?xml version="1.0" encoding="utf-8"?>
<comments xmlns="http://schemas.openxmlformats.org/spreadsheetml/2006/main">
  <authors>
    <author>ryang</author>
    <author>Tamara Johnson</author>
  </authors>
  <commentList>
    <comment ref="C6" authorId="0" shapeId="0">
      <text>
        <r>
          <rPr>
            <b/>
            <sz val="8"/>
            <color indexed="81"/>
            <rFont val="Tahoma"/>
          </rPr>
          <t>1157-E</t>
        </r>
        <r>
          <rPr>
            <sz val="8"/>
            <color indexed="81"/>
            <rFont val="Tahoma"/>
          </rPr>
          <t xml:space="preserve">
</t>
        </r>
      </text>
    </comment>
    <comment ref="C7" authorId="0" shapeId="0">
      <text>
        <r>
          <rPr>
            <b/>
            <sz val="8"/>
            <color indexed="81"/>
            <rFont val="Tahoma"/>
          </rPr>
          <t xml:space="preserve">1141-E
</t>
        </r>
      </text>
    </comment>
    <comment ref="D7" authorId="0" shapeId="0">
      <text>
        <r>
          <rPr>
            <b/>
            <sz val="8"/>
            <color indexed="81"/>
            <rFont val="Tahoma"/>
          </rPr>
          <t>1205-E</t>
        </r>
        <r>
          <rPr>
            <sz val="8"/>
            <color indexed="81"/>
            <rFont val="Tahoma"/>
          </rPr>
          <t xml:space="preserve">
</t>
        </r>
      </text>
    </comment>
    <comment ref="C8" authorId="0" shapeId="0">
      <text>
        <r>
          <rPr>
            <b/>
            <sz val="8"/>
            <color indexed="81"/>
            <rFont val="Tahoma"/>
          </rPr>
          <t xml:space="preserve">1174-E
</t>
        </r>
      </text>
    </comment>
    <comment ref="D8" authorId="0" shapeId="0">
      <text>
        <r>
          <rPr>
            <b/>
            <sz val="8"/>
            <color indexed="81"/>
            <rFont val="Tahoma"/>
          </rPr>
          <t>1205-E</t>
        </r>
        <r>
          <rPr>
            <sz val="8"/>
            <color indexed="81"/>
            <rFont val="Tahoma"/>
          </rPr>
          <t xml:space="preserve">
</t>
        </r>
      </text>
    </comment>
    <comment ref="C16" authorId="0" shapeId="0">
      <text>
        <r>
          <rPr>
            <b/>
            <sz val="8"/>
            <color indexed="81"/>
            <rFont val="Tahoma"/>
          </rPr>
          <t xml:space="preserve">1174-E
</t>
        </r>
      </text>
    </comment>
    <comment ref="D16" authorId="0" shapeId="0">
      <text>
        <r>
          <rPr>
            <sz val="8"/>
            <color indexed="81"/>
            <rFont val="Tahoma"/>
          </rPr>
          <t xml:space="preserve">1201-E, 1235-E
</t>
        </r>
      </text>
    </comment>
    <comment ref="E16" authorId="0" shapeId="0">
      <text>
        <r>
          <rPr>
            <b/>
            <sz val="8"/>
            <color indexed="81"/>
            <rFont val="Tahoma"/>
          </rPr>
          <t>1193-E</t>
        </r>
        <r>
          <rPr>
            <sz val="8"/>
            <color indexed="81"/>
            <rFont val="Tahoma"/>
          </rPr>
          <t xml:space="preserve">
</t>
        </r>
      </text>
    </comment>
    <comment ref="C21" authorId="0" shapeId="0">
      <text>
        <r>
          <rPr>
            <b/>
            <sz val="8"/>
            <color indexed="81"/>
            <rFont val="Tahoma"/>
          </rPr>
          <t xml:space="preserve">1174-E
</t>
        </r>
      </text>
    </comment>
    <comment ref="C23" authorId="0" shapeId="0">
      <text>
        <r>
          <rPr>
            <b/>
            <sz val="8"/>
            <color indexed="81"/>
            <rFont val="Tahoma"/>
          </rPr>
          <t xml:space="preserve">1174-E
</t>
        </r>
      </text>
    </comment>
    <comment ref="C27" authorId="0" shapeId="0">
      <text>
        <r>
          <rPr>
            <b/>
            <sz val="8"/>
            <color indexed="81"/>
            <rFont val="Tahoma"/>
          </rPr>
          <t>1138-E</t>
        </r>
        <r>
          <rPr>
            <sz val="8"/>
            <color indexed="81"/>
            <rFont val="Tahoma"/>
          </rPr>
          <t xml:space="preserve">
</t>
        </r>
      </text>
    </comment>
    <comment ref="D27" authorId="0" shapeId="0">
      <text>
        <r>
          <rPr>
            <b/>
            <sz val="8"/>
            <color indexed="81"/>
            <rFont val="Tahoma"/>
          </rPr>
          <t>1204-E</t>
        </r>
        <r>
          <rPr>
            <sz val="8"/>
            <color indexed="81"/>
            <rFont val="Tahoma"/>
          </rPr>
          <t xml:space="preserve">
</t>
        </r>
      </text>
    </comment>
    <comment ref="G30" authorId="0" shapeId="0">
      <text>
        <r>
          <rPr>
            <b/>
            <sz val="8"/>
            <color indexed="81"/>
            <rFont val="Tahoma"/>
          </rPr>
          <t>SONGS ICIP Expires December 31, 2003</t>
        </r>
        <r>
          <rPr>
            <sz val="8"/>
            <color indexed="81"/>
            <rFont val="Tahoma"/>
          </rPr>
          <t xml:space="preserve">
</t>
        </r>
      </text>
    </comment>
    <comment ref="E31" authorId="0" shapeId="0">
      <text>
        <r>
          <rPr>
            <b/>
            <sz val="8"/>
            <color indexed="81"/>
            <rFont val="Tahoma"/>
          </rPr>
          <t>PNM Contract expires April 30, 2001</t>
        </r>
        <r>
          <rPr>
            <sz val="8"/>
            <color indexed="81"/>
            <rFont val="Tahoma"/>
          </rPr>
          <t xml:space="preserve">
</t>
        </r>
      </text>
    </comment>
    <comment ref="I31" authorId="1" shapeId="0">
      <text>
        <r>
          <rPr>
            <b/>
            <sz val="8"/>
            <color indexed="81"/>
            <rFont val="Tahoma"/>
          </rPr>
          <t>Tamara Johnson:</t>
        </r>
        <r>
          <rPr>
            <sz val="8"/>
            <color indexed="81"/>
            <rFont val="Tahoma"/>
          </rPr>
          <t xml:space="preserve">
Changes per Roger Yang (with Scott Stoness) Dec 20/00</t>
        </r>
      </text>
    </comment>
    <comment ref="Q31" authorId="0" shapeId="0">
      <text>
        <r>
          <rPr>
            <b/>
            <sz val="8"/>
            <color indexed="81"/>
            <rFont val="Tahoma"/>
          </rPr>
          <t>PGE Contract expires on December 31, 2013</t>
        </r>
        <r>
          <rPr>
            <sz val="8"/>
            <color indexed="81"/>
            <rFont val="Tahoma"/>
          </rPr>
          <t xml:space="preserve">
</t>
        </r>
      </text>
    </comment>
    <comment ref="E32" authorId="0" shapeId="0">
      <text>
        <r>
          <rPr>
            <b/>
            <sz val="8"/>
            <color indexed="81"/>
            <rFont val="Tahoma"/>
          </rPr>
          <t>D.00-10-048</t>
        </r>
        <r>
          <rPr>
            <sz val="8"/>
            <color indexed="81"/>
            <rFont val="Tahoma"/>
          </rPr>
          <t xml:space="preserve">
</t>
        </r>
      </text>
    </comment>
    <comment ref="C37" authorId="0" shapeId="0">
      <text>
        <r>
          <rPr>
            <b/>
            <sz val="8"/>
            <color indexed="81"/>
            <rFont val="Tahoma"/>
          </rPr>
          <t xml:space="preserve">1174-E
</t>
        </r>
      </text>
    </comment>
    <comment ref="D37" authorId="0" shapeId="0">
      <text>
        <r>
          <rPr>
            <b/>
            <sz val="8"/>
            <color indexed="81"/>
            <rFont val="Tahoma"/>
          </rPr>
          <t>1184-E</t>
        </r>
      </text>
    </comment>
    <comment ref="C38" authorId="0" shapeId="0">
      <text>
        <r>
          <rPr>
            <b/>
            <sz val="8"/>
            <color indexed="81"/>
            <rFont val="Tahoma"/>
          </rPr>
          <t xml:space="preserve">1174-E
</t>
        </r>
      </text>
    </comment>
    <comment ref="D38" authorId="0" shapeId="0">
      <text>
        <r>
          <rPr>
            <b/>
            <sz val="8"/>
            <color indexed="81"/>
            <rFont val="Tahoma"/>
          </rPr>
          <t>1184-E</t>
        </r>
      </text>
    </comment>
  </commentList>
</comments>
</file>

<file path=xl/sharedStrings.xml><?xml version="1.0" encoding="utf-8"?>
<sst xmlns="http://schemas.openxmlformats.org/spreadsheetml/2006/main" count="231" uniqueCount="79">
  <si>
    <t>Distribution</t>
  </si>
  <si>
    <t>CTC</t>
  </si>
  <si>
    <t>TRBAA</t>
  </si>
  <si>
    <t>CEC</t>
  </si>
  <si>
    <t>UNBUNDLED REVENUE REQUIREMENTS</t>
  </si>
  <si>
    <t>AL-1042</t>
  </si>
  <si>
    <t>Forecast</t>
  </si>
  <si>
    <t>Transmission (Including RMR &amp; TRBAA)</t>
  </si>
  <si>
    <t xml:space="preserve">Transmission </t>
  </si>
  <si>
    <t>Reliability Must Run</t>
  </si>
  <si>
    <t>AB1890 TAC</t>
  </si>
  <si>
    <t>Total Transmission</t>
  </si>
  <si>
    <t>Base</t>
  </si>
  <si>
    <t>PBR Adjustment</t>
  </si>
  <si>
    <t>RIC Adjustment</t>
  </si>
  <si>
    <t>Distribution Total</t>
  </si>
  <si>
    <t>Nuclear Decommissioning</t>
  </si>
  <si>
    <t>Public Goods</t>
  </si>
  <si>
    <t>PUC Reimbursement Fee</t>
  </si>
  <si>
    <t>Fixed Transition Amount</t>
  </si>
  <si>
    <t>Nuclear</t>
  </si>
  <si>
    <t>QF</t>
  </si>
  <si>
    <t>Total CTC</t>
  </si>
  <si>
    <t>State Surcharge Tax</t>
  </si>
  <si>
    <t>Other (RIC)</t>
  </si>
  <si>
    <t>IMC RIC</t>
  </si>
  <si>
    <t>EMC RIC</t>
  </si>
  <si>
    <t>Total RIC</t>
  </si>
  <si>
    <t>UNBUNDLED SCALARS - B01</t>
  </si>
  <si>
    <t>UNBUNDLED CUMULATIVE SCALARS - B97</t>
  </si>
  <si>
    <t>ND &amp; PG (Including CTC)</t>
  </si>
  <si>
    <t>CEC &amp; PUC</t>
  </si>
  <si>
    <t>Other</t>
  </si>
  <si>
    <t>AL1766-E</t>
  </si>
  <si>
    <t>Interutility Contracts</t>
  </si>
  <si>
    <t>AL1245-E-B</t>
  </si>
  <si>
    <t>RCRA &amp; Incremental Return</t>
  </si>
  <si>
    <t>SONGS 1 Shutdown O&amp;M</t>
  </si>
  <si>
    <t>DOE D&amp;D Fees</t>
  </si>
  <si>
    <t>Spent Nuclear Fuel Storage Fee</t>
  </si>
  <si>
    <t>DSM</t>
  </si>
  <si>
    <t>RD&amp;D</t>
  </si>
  <si>
    <t>R&amp;D Expense</t>
  </si>
  <si>
    <t>Renewables</t>
  </si>
  <si>
    <t>LIEE</t>
  </si>
  <si>
    <t>CARE Admin Costs</t>
  </si>
  <si>
    <t>Intervenor Compensation</t>
  </si>
  <si>
    <t>FF&amp;U</t>
  </si>
  <si>
    <t>PUCF &amp; CEC</t>
  </si>
  <si>
    <t>CEC &amp; PUCF</t>
  </si>
  <si>
    <t>QF &amp; PP</t>
  </si>
  <si>
    <t>SALES (GWH)</t>
  </si>
  <si>
    <t>Notes:</t>
  </si>
  <si>
    <t>CEC State Surcharge Tax</t>
  </si>
  <si>
    <t>The franchise fees for commodity are currently in the Distribution Rate</t>
  </si>
  <si>
    <t>PUC Reimbursement Fee recovered in the Distribution Rate</t>
  </si>
  <si>
    <t>The City San Diego franchise fee surcharge is not shown, but should be included in Rate Engine Rates.</t>
  </si>
  <si>
    <t>The franchise fees for commodity are not shown, but should be included in Rate Engine Rates.</t>
  </si>
  <si>
    <t>City User Taxes are not reflected and should be passed through to customers.</t>
  </si>
  <si>
    <t>T scalar (currently in use)</t>
  </si>
  <si>
    <t>recalculate rates</t>
  </si>
  <si>
    <t>CTC Scalars -- Backup Calculations</t>
  </si>
  <si>
    <t>PG&amp;E</t>
  </si>
  <si>
    <t>Adder for Risk (per Roger Yang Dec 18/00)</t>
  </si>
  <si>
    <t>CTC Total</t>
  </si>
  <si>
    <t>CTC Rate</t>
  </si>
  <si>
    <t xml:space="preserve">CTC Scalar </t>
  </si>
  <si>
    <t>Fcst MWh</t>
  </si>
  <si>
    <t>SCE</t>
  </si>
  <si>
    <t>QF &amp; Interutility</t>
  </si>
  <si>
    <t>SDG&amp;E</t>
  </si>
  <si>
    <t>RIC</t>
  </si>
  <si>
    <t>CTC/Other Scalars</t>
  </si>
  <si>
    <t>CTC Scalar CURRENTLY IN USE</t>
  </si>
  <si>
    <t>load growth</t>
  </si>
  <si>
    <t>Average T-rate ($/MWh)</t>
  </si>
  <si>
    <t>CTC/Other</t>
  </si>
  <si>
    <r>
      <t xml:space="preserve">UNBUNDLED CUMULATIVE SCALARS - B97  </t>
    </r>
    <r>
      <rPr>
        <b/>
        <i/>
        <sz val="14"/>
        <rFont val="Arial"/>
        <family val="2"/>
      </rPr>
      <t>Reflecting Dave Foti's T&amp;D Cost Forecast</t>
    </r>
  </si>
  <si>
    <t>last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</si>
</sst>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0_);_(* \(#,##0.000\);_(* &quot;-&quot;??_);_(@_)"/>
    <numFmt numFmtId="165" formatCode="_(* #,##0.0000_);_(* \(#,##0.0000\);_(* &quot;-&quot;??_);_(@_)"/>
    <numFmt numFmtId="166" formatCode="_(* #,##0.00000_);_(* \(#,##0.00000\);_(* &quot;-&quot;??_);_(@_)"/>
    <numFmt numFmtId="169" formatCode="_(* #,##0_);_(* \(#,##0\);_(* &quot;-&quot;??_);_(@_)"/>
    <numFmt numFmtId="170" formatCode="0.0%"/>
  </numFmts>
  <fonts count="1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i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12"/>
      <name val="Arial"/>
      <family val="2"/>
    </font>
    <font>
      <sz val="12"/>
      <color indexed="18"/>
      <name val="Arial"/>
      <family val="2"/>
    </font>
    <font>
      <i/>
      <sz val="12"/>
      <name val="Arial"/>
      <family val="2"/>
    </font>
    <font>
      <sz val="9"/>
      <color indexed="81"/>
      <name val="Tahoma"/>
      <family val="2"/>
    </font>
    <font>
      <sz val="12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i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10"/>
      </right>
      <top/>
      <bottom/>
      <diagonal/>
    </border>
    <border>
      <left/>
      <right style="medium">
        <color indexed="10"/>
      </right>
      <top style="thin">
        <color indexed="64"/>
      </top>
      <bottom style="thin">
        <color indexed="64"/>
      </bottom>
      <diagonal/>
    </border>
    <border>
      <left/>
      <right style="medium">
        <color indexed="10"/>
      </right>
      <top style="thin">
        <color indexed="64"/>
      </top>
      <bottom style="double">
        <color indexed="64"/>
      </bottom>
      <diagonal/>
    </border>
    <border>
      <left/>
      <right style="medium">
        <color indexed="10"/>
      </right>
      <top style="thin">
        <color indexed="64"/>
      </top>
      <bottom style="medium">
        <color indexed="64"/>
      </bottom>
      <diagonal/>
    </border>
    <border>
      <left/>
      <right style="medium">
        <color indexed="10"/>
      </right>
      <top style="medium">
        <color indexed="64"/>
      </top>
      <bottom/>
      <diagonal/>
    </border>
    <border>
      <left style="thin">
        <color indexed="64"/>
      </left>
      <right style="medium">
        <color indexed="1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1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3">
    <xf numFmtId="0" fontId="0" fillId="0" borderId="0" xfId="0"/>
    <xf numFmtId="43" fontId="0" fillId="0" borderId="0" xfId="1" applyFont="1"/>
    <xf numFmtId="169" fontId="0" fillId="0" borderId="0" xfId="1" applyNumberFormat="1" applyFont="1"/>
    <xf numFmtId="0" fontId="2" fillId="0" borderId="1" xfId="0" applyFont="1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2" borderId="0" xfId="0" applyFill="1" applyBorder="1"/>
    <xf numFmtId="0" fontId="0" fillId="0" borderId="5" xfId="0" applyBorder="1"/>
    <xf numFmtId="169" fontId="0" fillId="0" borderId="0" xfId="1" applyNumberFormat="1" applyFont="1" applyBorder="1"/>
    <xf numFmtId="166" fontId="0" fillId="0" borderId="0" xfId="1" applyNumberFormat="1" applyFont="1" applyBorder="1"/>
    <xf numFmtId="169" fontId="0" fillId="0" borderId="5" xfId="1" applyNumberFormat="1" applyFont="1" applyBorder="1"/>
    <xf numFmtId="0" fontId="0" fillId="0" borderId="4" xfId="0" applyBorder="1" applyAlignment="1">
      <alignment horizontal="right"/>
    </xf>
    <xf numFmtId="169" fontId="2" fillId="0" borderId="0" xfId="1" applyNumberFormat="1" applyFont="1" applyBorder="1" applyAlignment="1">
      <alignment horizontal="right"/>
    </xf>
    <xf numFmtId="169" fontId="2" fillId="0" borderId="0" xfId="1" applyNumberFormat="1" applyFont="1" applyBorder="1"/>
    <xf numFmtId="169" fontId="0" fillId="0" borderId="0" xfId="1" applyNumberFormat="1" applyFont="1" applyBorder="1" applyAlignment="1">
      <alignment horizontal="right"/>
    </xf>
    <xf numFmtId="43" fontId="0" fillId="0" borderId="0" xfId="1" applyNumberFormat="1" applyFont="1" applyBorder="1" applyAlignment="1">
      <alignment horizontal="right"/>
    </xf>
    <xf numFmtId="169" fontId="0" fillId="0" borderId="6" xfId="1" applyNumberFormat="1" applyFont="1" applyBorder="1"/>
    <xf numFmtId="169" fontId="2" fillId="0" borderId="6" xfId="1" applyNumberFormat="1" applyFont="1" applyBorder="1" applyAlignment="1">
      <alignment horizontal="right"/>
    </xf>
    <xf numFmtId="169" fontId="2" fillId="0" borderId="6" xfId="1" applyNumberFormat="1" applyFont="1" applyBorder="1"/>
    <xf numFmtId="169" fontId="0" fillId="0" borderId="7" xfId="1" applyNumberFormat="1" applyFont="1" applyBorder="1"/>
    <xf numFmtId="169" fontId="0" fillId="0" borderId="6" xfId="1" applyNumberFormat="1" applyFont="1" applyBorder="1" applyAlignment="1">
      <alignment horizontal="right"/>
    </xf>
    <xf numFmtId="169" fontId="3" fillId="0" borderId="0" xfId="1" applyNumberFormat="1" applyFont="1" applyBorder="1"/>
    <xf numFmtId="169" fontId="2" fillId="0" borderId="6" xfId="0" applyNumberFormat="1" applyFont="1" applyBorder="1"/>
    <xf numFmtId="169" fontId="0" fillId="0" borderId="6" xfId="0" applyNumberFormat="1" applyBorder="1"/>
    <xf numFmtId="169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Border="1"/>
    <xf numFmtId="0" fontId="2" fillId="0" borderId="5" xfId="0" applyFont="1" applyBorder="1"/>
    <xf numFmtId="164" fontId="0" fillId="3" borderId="11" xfId="1" applyNumberFormat="1" applyFont="1" applyFill="1" applyBorder="1"/>
    <xf numFmtId="164" fontId="0" fillId="3" borderId="12" xfId="1" applyNumberFormat="1" applyFont="1" applyFill="1" applyBorder="1"/>
    <xf numFmtId="164" fontId="0" fillId="3" borderId="13" xfId="1" applyNumberFormat="1" applyFont="1" applyFill="1" applyBorder="1"/>
    <xf numFmtId="164" fontId="0" fillId="3" borderId="14" xfId="1" applyNumberFormat="1" applyFont="1" applyFill="1" applyBorder="1"/>
    <xf numFmtId="0" fontId="0" fillId="0" borderId="0" xfId="0" applyFill="1" applyBorder="1"/>
    <xf numFmtId="164" fontId="0" fillId="0" borderId="0" xfId="1" applyNumberFormat="1" applyFont="1" applyBorder="1"/>
    <xf numFmtId="169" fontId="0" fillId="0" borderId="15" xfId="1" applyNumberFormat="1" applyFont="1" applyBorder="1"/>
    <xf numFmtId="169" fontId="0" fillId="0" borderId="16" xfId="1" applyNumberFormat="1" applyFont="1" applyBorder="1"/>
    <xf numFmtId="164" fontId="0" fillId="3" borderId="17" xfId="1" applyNumberFormat="1" applyFont="1" applyFill="1" applyBorder="1"/>
    <xf numFmtId="43" fontId="0" fillId="0" borderId="0" xfId="0" applyNumberFormat="1"/>
    <xf numFmtId="169" fontId="3" fillId="0" borderId="6" xfId="1" applyNumberFormat="1" applyFont="1" applyBorder="1"/>
    <xf numFmtId="169" fontId="0" fillId="0" borderId="4" xfId="1" applyNumberFormat="1" applyFont="1" applyBorder="1"/>
    <xf numFmtId="164" fontId="0" fillId="4" borderId="11" xfId="1" applyNumberFormat="1" applyFont="1" applyFill="1" applyBorder="1"/>
    <xf numFmtId="169" fontId="3" fillId="0" borderId="5" xfId="1" applyNumberFormat="1" applyFont="1" applyBorder="1"/>
    <xf numFmtId="0" fontId="2" fillId="0" borderId="18" xfId="0" applyFont="1" applyBorder="1"/>
    <xf numFmtId="43" fontId="0" fillId="0" borderId="0" xfId="1" applyFont="1" applyBorder="1"/>
    <xf numFmtId="169" fontId="6" fillId="0" borderId="0" xfId="1" applyNumberFormat="1" applyFont="1" applyBorder="1"/>
    <xf numFmtId="164" fontId="0" fillId="2" borderId="0" xfId="1" applyNumberFormat="1" applyFont="1" applyFill="1" applyBorder="1"/>
    <xf numFmtId="0" fontId="2" fillId="0" borderId="4" xfId="0" applyFont="1" applyBorder="1"/>
    <xf numFmtId="169" fontId="2" fillId="0" borderId="4" xfId="1" applyNumberFormat="1" applyFont="1" applyBorder="1"/>
    <xf numFmtId="164" fontId="0" fillId="0" borderId="0" xfId="1" applyNumberFormat="1" applyFont="1"/>
    <xf numFmtId="0" fontId="2" fillId="2" borderId="18" xfId="0" applyFont="1" applyFill="1" applyBorder="1"/>
    <xf numFmtId="170" fontId="0" fillId="0" borderId="0" xfId="2" applyNumberFormat="1" applyFont="1" applyBorder="1"/>
    <xf numFmtId="164" fontId="0" fillId="2" borderId="11" xfId="1" applyNumberFormat="1" applyFont="1" applyFill="1" applyBorder="1"/>
    <xf numFmtId="43" fontId="3" fillId="0" borderId="0" xfId="1" applyFont="1" applyBorder="1" applyAlignment="1">
      <alignment horizontal="right"/>
    </xf>
    <xf numFmtId="43" fontId="0" fillId="0" borderId="0" xfId="1" applyNumberFormat="1" applyFont="1" applyBorder="1"/>
    <xf numFmtId="0" fontId="7" fillId="0" borderId="0" xfId="0" applyFont="1"/>
    <xf numFmtId="0" fontId="7" fillId="0" borderId="15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43" fontId="7" fillId="0" borderId="0" xfId="1" applyFont="1"/>
    <xf numFmtId="0" fontId="8" fillId="0" borderId="0" xfId="0" applyFont="1"/>
    <xf numFmtId="169" fontId="7" fillId="0" borderId="0" xfId="1" applyNumberFormat="1" applyFont="1"/>
    <xf numFmtId="0" fontId="8" fillId="0" borderId="20" xfId="0" applyFont="1" applyBorder="1" applyAlignment="1">
      <alignment horizontal="center"/>
    </xf>
    <xf numFmtId="0" fontId="9" fillId="5" borderId="0" xfId="0" applyFont="1" applyFill="1"/>
    <xf numFmtId="10" fontId="10" fillId="5" borderId="0" xfId="0" applyNumberFormat="1" applyFont="1" applyFill="1"/>
    <xf numFmtId="0" fontId="7" fillId="0" borderId="0" xfId="0" applyFont="1" applyBorder="1"/>
    <xf numFmtId="169" fontId="11" fillId="0" borderId="0" xfId="1" applyNumberFormat="1" applyFont="1" applyFill="1"/>
    <xf numFmtId="169" fontId="9" fillId="5" borderId="0" xfId="1" applyNumberFormat="1" applyFont="1" applyFill="1"/>
    <xf numFmtId="169" fontId="7" fillId="0" borderId="18" xfId="1" applyNumberFormat="1" applyFont="1" applyBorder="1"/>
    <xf numFmtId="43" fontId="9" fillId="5" borderId="0" xfId="1" applyFont="1" applyFill="1" applyBorder="1"/>
    <xf numFmtId="0" fontId="7" fillId="0" borderId="9" xfId="0" applyFont="1" applyBorder="1"/>
    <xf numFmtId="169" fontId="7" fillId="0" borderId="9" xfId="1" applyNumberFormat="1" applyFont="1" applyBorder="1"/>
    <xf numFmtId="10" fontId="7" fillId="0" borderId="0" xfId="0" applyNumberFormat="1" applyFont="1" applyFill="1"/>
    <xf numFmtId="0" fontId="7" fillId="0" borderId="0" xfId="0" applyFont="1" applyFill="1"/>
    <xf numFmtId="0" fontId="9" fillId="0" borderId="0" xfId="0" applyFont="1" applyFill="1"/>
    <xf numFmtId="169" fontId="7" fillId="0" borderId="0" xfId="1" applyNumberFormat="1" applyFont="1" applyFill="1"/>
    <xf numFmtId="0" fontId="0" fillId="0" borderId="4" xfId="0" applyFill="1" applyBorder="1"/>
    <xf numFmtId="43" fontId="0" fillId="0" borderId="11" xfId="1" applyNumberFormat="1" applyFont="1" applyFill="1" applyBorder="1"/>
    <xf numFmtId="169" fontId="11" fillId="0" borderId="0" xfId="1" applyNumberFormat="1" applyFont="1"/>
    <xf numFmtId="169" fontId="13" fillId="0" borderId="0" xfId="1" applyNumberFormat="1" applyFont="1" applyFill="1"/>
    <xf numFmtId="43" fontId="9" fillId="5" borderId="0" xfId="1" applyNumberFormat="1" applyFont="1" applyFill="1" applyBorder="1"/>
    <xf numFmtId="43" fontId="7" fillId="6" borderId="0" xfId="1" applyFont="1" applyFill="1"/>
    <xf numFmtId="165" fontId="0" fillId="4" borderId="11" xfId="1" applyNumberFormat="1" applyFont="1" applyFill="1" applyBorder="1"/>
    <xf numFmtId="164" fontId="0" fillId="3" borderId="21" xfId="1" applyNumberFormat="1" applyFont="1" applyFill="1" applyBorder="1"/>
    <xf numFmtId="164" fontId="0" fillId="3" borderId="22" xfId="1" applyNumberFormat="1" applyFont="1" applyFill="1" applyBorder="1"/>
    <xf numFmtId="164" fontId="0" fillId="4" borderId="21" xfId="1" applyNumberFormat="1" applyFont="1" applyFill="1" applyBorder="1"/>
    <xf numFmtId="0" fontId="0" fillId="0" borderId="23" xfId="0" applyBorder="1"/>
    <xf numFmtId="0" fontId="2" fillId="0" borderId="24" xfId="0" applyFont="1" applyBorder="1"/>
    <xf numFmtId="169" fontId="0" fillId="0" borderId="23" xfId="1" applyNumberFormat="1" applyFont="1" applyBorder="1"/>
    <xf numFmtId="164" fontId="0" fillId="0" borderId="23" xfId="1" applyNumberFormat="1" applyFont="1" applyBorder="1"/>
    <xf numFmtId="169" fontId="2" fillId="0" borderId="23" xfId="1" applyNumberFormat="1" applyFont="1" applyBorder="1"/>
    <xf numFmtId="169" fontId="0" fillId="0" borderId="25" xfId="1" applyNumberFormat="1" applyFont="1" applyBorder="1"/>
    <xf numFmtId="43" fontId="0" fillId="0" borderId="23" xfId="1" applyFont="1" applyBorder="1"/>
    <xf numFmtId="164" fontId="0" fillId="2" borderId="23" xfId="1" applyNumberFormat="1" applyFont="1" applyFill="1" applyBorder="1"/>
    <xf numFmtId="169" fontId="2" fillId="0" borderId="25" xfId="1" applyNumberFormat="1" applyFont="1" applyBorder="1"/>
    <xf numFmtId="169" fontId="0" fillId="0" borderId="26" xfId="1" applyNumberFormat="1" applyFont="1" applyBorder="1"/>
    <xf numFmtId="0" fontId="0" fillId="0" borderId="27" xfId="0" applyBorder="1"/>
    <xf numFmtId="0" fontId="2" fillId="0" borderId="23" xfId="0" applyFont="1" applyBorder="1"/>
    <xf numFmtId="164" fontId="0" fillId="4" borderId="28" xfId="1" applyNumberFormat="1" applyFont="1" applyFill="1" applyBorder="1"/>
    <xf numFmtId="164" fontId="0" fillId="3" borderId="28" xfId="1" applyNumberFormat="1" applyFont="1" applyFill="1" applyBorder="1"/>
    <xf numFmtId="164" fontId="0" fillId="3" borderId="29" xfId="1" applyNumberFormat="1" applyFont="1" applyFill="1" applyBorder="1"/>
    <xf numFmtId="169" fontId="14" fillId="0" borderId="0" xfId="1" applyNumberFormat="1" applyFont="1" applyBorder="1"/>
    <xf numFmtId="0" fontId="14" fillId="0" borderId="4" xfId="0" applyFont="1" applyBorder="1" applyAlignment="1">
      <alignment horizontal="right"/>
    </xf>
    <xf numFmtId="164" fontId="15" fillId="0" borderId="0" xfId="1" applyNumberFormat="1" applyFont="1"/>
    <xf numFmtId="22" fontId="16" fillId="0" borderId="30" xfId="0" applyNumberFormat="1" applyFont="1" applyFill="1" applyBorder="1"/>
    <xf numFmtId="22" fontId="15" fillId="0" borderId="30" xfId="0" applyNumberFormat="1" applyFont="1" applyBorder="1"/>
    <xf numFmtId="43" fontId="15" fillId="0" borderId="0" xfId="1" applyFont="1"/>
    <xf numFmtId="0" fontId="0" fillId="0" borderId="31" xfId="0" applyBorder="1"/>
    <xf numFmtId="22" fontId="15" fillId="0" borderId="32" xfId="1" applyNumberFormat="1" applyFont="1" applyBorder="1"/>
    <xf numFmtId="0" fontId="7" fillId="0" borderId="33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PG&amp;E CTC/Other Scalar</a:t>
            </a:r>
          </a:p>
        </c:rich>
      </c:tx>
      <c:layout>
        <c:manualLayout>
          <c:xMode val="edge"/>
          <c:yMode val="edge"/>
          <c:x val="0.32392715326562549"/>
          <c:y val="3.333447683983933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241433117596313"/>
          <c:y val="0.19445111489906275"/>
          <c:w val="0.52732327275799507"/>
          <c:h val="0.67780102907673301"/>
        </c:manualLayout>
      </c:layout>
      <c:lineChart>
        <c:grouping val="standard"/>
        <c:varyColors val="0"/>
        <c:ser>
          <c:idx val="0"/>
          <c:order val="0"/>
          <c:tx>
            <c:strRef>
              <c:f>'CTC Derivation'!$F$15</c:f>
              <c:strCache>
                <c:ptCount val="1"/>
                <c:pt idx="0">
                  <c:v>CTC Scalar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'CTC Derivation'!$G$5:$W$5</c:f>
              <c:numCache>
                <c:formatCode>General</c:formatCode>
                <c:ptCount val="17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</c:numCache>
            </c:numRef>
          </c:cat>
          <c:val>
            <c:numRef>
              <c:f>'CTC Derivation'!$G$15:$W$15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0.75616235164100543</c:v>
                </c:pt>
                <c:pt idx="2">
                  <c:v>0.74483400467564675</c:v>
                </c:pt>
                <c:pt idx="3">
                  <c:v>2.6586339783370128</c:v>
                </c:pt>
                <c:pt idx="4">
                  <c:v>2.4635382180062626</c:v>
                </c:pt>
                <c:pt idx="5">
                  <c:v>2.4207753968933816</c:v>
                </c:pt>
                <c:pt idx="6">
                  <c:v>2.35573295796515</c:v>
                </c:pt>
                <c:pt idx="7">
                  <c:v>2.3056649185054714</c:v>
                </c:pt>
                <c:pt idx="8">
                  <c:v>2.273364428700698</c:v>
                </c:pt>
                <c:pt idx="9">
                  <c:v>2.1791371808590236</c:v>
                </c:pt>
                <c:pt idx="10">
                  <c:v>2.120199259539826</c:v>
                </c:pt>
                <c:pt idx="11">
                  <c:v>2.0332113253065947</c:v>
                </c:pt>
                <c:pt idx="12">
                  <c:v>1.9609381091925198</c:v>
                </c:pt>
                <c:pt idx="13">
                  <c:v>1.9128962982610591</c:v>
                </c:pt>
                <c:pt idx="14">
                  <c:v>1.8491984057044981</c:v>
                </c:pt>
                <c:pt idx="15">
                  <c:v>1.8097620558903484</c:v>
                </c:pt>
                <c:pt idx="16">
                  <c:v>1.7460236071685973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'CTC Derivation'!$F$16</c:f>
              <c:strCache>
                <c:ptCount val="1"/>
                <c:pt idx="0">
                  <c:v>CTC Scalar CURRENTLY IN USE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'CTC Derivation'!$G$5:$W$5</c:f>
              <c:numCache>
                <c:formatCode>General</c:formatCode>
                <c:ptCount val="17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</c:numCache>
            </c:numRef>
          </c:cat>
          <c:val>
            <c:numRef>
              <c:f>'CTC Derivation'!$G$16:$W$16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0.75920099842695754</c:v>
                </c:pt>
                <c:pt idx="2">
                  <c:v>0.75920099842695754</c:v>
                </c:pt>
                <c:pt idx="3">
                  <c:v>2.6157096241598521</c:v>
                </c:pt>
                <c:pt idx="4">
                  <c:v>2.4399546287749767</c:v>
                </c:pt>
                <c:pt idx="5">
                  <c:v>2.425023725640592</c:v>
                </c:pt>
                <c:pt idx="6">
                  <c:v>2.3839946178546816</c:v>
                </c:pt>
                <c:pt idx="7">
                  <c:v>2.3580069161867367</c:v>
                </c:pt>
                <c:pt idx="8">
                  <c:v>2.3511687315557515</c:v>
                </c:pt>
                <c:pt idx="9">
                  <c:v>2.2702772974870316</c:v>
                </c:pt>
                <c:pt idx="10">
                  <c:v>2.2284194173242673</c:v>
                </c:pt>
                <c:pt idx="11">
                  <c:v>2.1501443038962047</c:v>
                </c:pt>
                <c:pt idx="12">
                  <c:v>2.0869040964106027</c:v>
                </c:pt>
                <c:pt idx="13">
                  <c:v>2.0516861455259288</c:v>
                </c:pt>
                <c:pt idx="14">
                  <c:v>1.9944878511719812</c:v>
                </c:pt>
                <c:pt idx="15">
                  <c:v>1.9667191014157377</c:v>
                </c:pt>
                <c:pt idx="16">
                  <c:v>1.9049446835064543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666848"/>
        <c:axId val="138667408"/>
      </c:lineChart>
      <c:catAx>
        <c:axId val="138666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8667408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38667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86668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7045387536373657"/>
          <c:y val="0.42501457970795148"/>
          <c:w val="0.3145106662520899"/>
          <c:h val="0.2194519725289422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6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SCE CTC/Other Scalar</a:t>
            </a:r>
          </a:p>
        </c:rich>
      </c:tx>
      <c:layout>
        <c:manualLayout>
          <c:xMode val="edge"/>
          <c:yMode val="edge"/>
          <c:x val="0.37040737231935233"/>
          <c:y val="3.36764560791922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583067780552924"/>
          <c:y val="0.19925236513522104"/>
          <c:w val="0.54238222375333733"/>
          <c:h val="0.65949726488418237"/>
        </c:manualLayout>
      </c:layout>
      <c:lineChart>
        <c:grouping val="standard"/>
        <c:varyColors val="0"/>
        <c:ser>
          <c:idx val="0"/>
          <c:order val="0"/>
          <c:tx>
            <c:strRef>
              <c:f>'CTC Derivation'!$F$28</c:f>
              <c:strCache>
                <c:ptCount val="1"/>
                <c:pt idx="0">
                  <c:v>CTC Scalar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'CTC Derivation'!$G$18:$W$18</c:f>
              <c:numCache>
                <c:formatCode>General</c:formatCode>
                <c:ptCount val="17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</c:numCache>
            </c:numRef>
          </c:cat>
          <c:val>
            <c:numRef>
              <c:f>'CTC Derivation'!$G$28:$W$28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0.72891099697004069</c:v>
                </c:pt>
                <c:pt idx="2">
                  <c:v>0.71602259034385141</c:v>
                </c:pt>
                <c:pt idx="3">
                  <c:v>3.54914680253051</c:v>
                </c:pt>
                <c:pt idx="4">
                  <c:v>2.650176698136919</c:v>
                </c:pt>
                <c:pt idx="5">
                  <c:v>2.6133243848566665</c:v>
                </c:pt>
                <c:pt idx="6">
                  <c:v>2.5627480161024216</c:v>
                </c:pt>
                <c:pt idx="7">
                  <c:v>2.4411404158985444</c:v>
                </c:pt>
                <c:pt idx="8">
                  <c:v>2.3464564049541141</c:v>
                </c:pt>
                <c:pt idx="9">
                  <c:v>2.3148760558997235</c:v>
                </c:pt>
                <c:pt idx="10">
                  <c:v>1.9428356322301141</c:v>
                </c:pt>
                <c:pt idx="11">
                  <c:v>1.817021554978284</c:v>
                </c:pt>
                <c:pt idx="12">
                  <c:v>1.7198978804748357</c:v>
                </c:pt>
                <c:pt idx="13">
                  <c:v>1.6769307718188189</c:v>
                </c:pt>
                <c:pt idx="14">
                  <c:v>1.6416163173615319</c:v>
                </c:pt>
                <c:pt idx="15">
                  <c:v>1.6104825520002479</c:v>
                </c:pt>
                <c:pt idx="16">
                  <c:v>1.5889240558234043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'CTC Derivation'!$F$29</c:f>
              <c:strCache>
                <c:ptCount val="1"/>
                <c:pt idx="0">
                  <c:v>CTC Scalar CURRENTLY IN USE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'CTC Derivation'!$G$18:$W$18</c:f>
              <c:numCache>
                <c:formatCode>General</c:formatCode>
                <c:ptCount val="17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</c:numCache>
            </c:numRef>
          </c:cat>
          <c:val>
            <c:numRef>
              <c:f>'CTC Derivation'!$G$29:$W$29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0.72891099697004069</c:v>
                </c:pt>
                <c:pt idx="2">
                  <c:v>0.72891099697004069</c:v>
                </c:pt>
                <c:pt idx="3">
                  <c:v>3.6780660109856278</c:v>
                </c:pt>
                <c:pt idx="4">
                  <c:v>2.7853200900886304</c:v>
                </c:pt>
                <c:pt idx="5">
                  <c:v>2.7853200900886304</c:v>
                </c:pt>
                <c:pt idx="6">
                  <c:v>2.769603188748643</c:v>
                </c:pt>
                <c:pt idx="7">
                  <c:v>2.6735518576729262</c:v>
                </c:pt>
                <c:pt idx="8">
                  <c:v>2.6038401088840999</c:v>
                </c:pt>
                <c:pt idx="9">
                  <c:v>2.6037266879465948</c:v>
                </c:pt>
                <c:pt idx="10">
                  <c:v>2.2031984704376426</c:v>
                </c:pt>
                <c:pt idx="11">
                  <c:v>2.0819126010661568</c:v>
                </c:pt>
                <c:pt idx="12">
                  <c:v>1.990647633553154</c:v>
                </c:pt>
                <c:pt idx="13">
                  <c:v>1.962697473953692</c:v>
                </c:pt>
                <c:pt idx="14">
                  <c:v>1.9429363060420957</c:v>
                </c:pt>
                <c:pt idx="15">
                  <c:v>1.9273846752110444</c:v>
                </c:pt>
                <c:pt idx="16">
                  <c:v>1.9233468898358643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657888"/>
        <c:axId val="138667968"/>
      </c:lineChart>
      <c:catAx>
        <c:axId val="138657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866796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386679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865788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6438147733471131"/>
          <c:y val="0.4069238442902402"/>
          <c:w val="0.32337151551689491"/>
          <c:h val="0.2441543065741441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SDG&amp;E CTC/Other Scalar</a:t>
            </a:r>
          </a:p>
        </c:rich>
      </c:tx>
      <c:layout>
        <c:manualLayout>
          <c:xMode val="edge"/>
          <c:yMode val="edge"/>
          <c:x val="0.31472104143198415"/>
          <c:y val="3.305897962886331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104655439691697"/>
          <c:y val="0.192844047835036"/>
          <c:w val="0.53260483934643466"/>
          <c:h val="0.6804639973607699"/>
        </c:manualLayout>
      </c:layout>
      <c:lineChart>
        <c:grouping val="standard"/>
        <c:varyColors val="0"/>
        <c:ser>
          <c:idx val="0"/>
          <c:order val="0"/>
          <c:tx>
            <c:strRef>
              <c:f>'CTC Derivation'!$F$28</c:f>
              <c:strCache>
                <c:ptCount val="1"/>
                <c:pt idx="0">
                  <c:v>CTC Scalar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'CTC Derivation'!$G$18:$W$18</c:f>
              <c:numCache>
                <c:formatCode>General</c:formatCode>
                <c:ptCount val="17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</c:numCache>
            </c:numRef>
          </c:cat>
          <c:val>
            <c:numRef>
              <c:f>'CTC Derivation'!$G$42:$W$42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2.5327246311761025</c:v>
                </c:pt>
                <c:pt idx="2">
                  <c:v>2.8005220821866033</c:v>
                </c:pt>
                <c:pt idx="3">
                  <c:v>2.4249063913726507</c:v>
                </c:pt>
                <c:pt idx="4">
                  <c:v>1.0083826447478419</c:v>
                </c:pt>
                <c:pt idx="5">
                  <c:v>0.75855750860018989</c:v>
                </c:pt>
                <c:pt idx="6">
                  <c:v>0.75855750860018967</c:v>
                </c:pt>
                <c:pt idx="7">
                  <c:v>1.2693115655901603</c:v>
                </c:pt>
                <c:pt idx="8">
                  <c:v>1.2882908556416277</c:v>
                </c:pt>
                <c:pt idx="9">
                  <c:v>1.3068424391007289</c:v>
                </c:pt>
                <c:pt idx="10">
                  <c:v>1.316948927765335</c:v>
                </c:pt>
                <c:pt idx="11">
                  <c:v>1.3114520762327766</c:v>
                </c:pt>
                <c:pt idx="12">
                  <c:v>1.3016759443885855</c:v>
                </c:pt>
                <c:pt idx="13">
                  <c:v>1.2892572880120043</c:v>
                </c:pt>
                <c:pt idx="14">
                  <c:v>1.2798735983956853</c:v>
                </c:pt>
                <c:pt idx="15">
                  <c:v>1.2706558286350578</c:v>
                </c:pt>
                <c:pt idx="16">
                  <c:v>0.97205078663945843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'CTC Derivation'!$F$29</c:f>
              <c:strCache>
                <c:ptCount val="1"/>
                <c:pt idx="0">
                  <c:v>CTC Scalar CURRENTLY IN USE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'CTC Derivation'!$G$18:$W$18</c:f>
              <c:numCache>
                <c:formatCode>General</c:formatCode>
                <c:ptCount val="17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</c:numCache>
            </c:numRef>
          </c:cat>
          <c:val>
            <c:numRef>
              <c:f>'CTC Derivation'!$G$43:$W$43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2.5327246311761025</c:v>
                </c:pt>
                <c:pt idx="2">
                  <c:v>2.8005220821866033</c:v>
                </c:pt>
                <c:pt idx="3">
                  <c:v>2.4249063913726507</c:v>
                </c:pt>
                <c:pt idx="4">
                  <c:v>2.4249063913726507</c:v>
                </c:pt>
                <c:pt idx="5">
                  <c:v>1.6243961210002245</c:v>
                </c:pt>
                <c:pt idx="6">
                  <c:v>1.6243961210002245</c:v>
                </c:pt>
                <c:pt idx="7">
                  <c:v>1.6243961210002245</c:v>
                </c:pt>
                <c:pt idx="8">
                  <c:v>1.6212069311725588</c:v>
                </c:pt>
                <c:pt idx="9">
                  <c:v>1.6184902139119548</c:v>
                </c:pt>
                <c:pt idx="10">
                  <c:v>1.6184902139119548</c:v>
                </c:pt>
                <c:pt idx="11">
                  <c:v>1.6119937161148581</c:v>
                </c:pt>
                <c:pt idx="12">
                  <c:v>1.6119937161148581</c:v>
                </c:pt>
                <c:pt idx="13">
                  <c:v>1.6084501718618962</c:v>
                </c:pt>
                <c:pt idx="14">
                  <c:v>1.6084501718618962</c:v>
                </c:pt>
                <c:pt idx="15">
                  <c:v>1.6084501718618962</c:v>
                </c:pt>
                <c:pt idx="16">
                  <c:v>1.2239756204155396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671328"/>
        <c:axId val="138671888"/>
      </c:lineChart>
      <c:catAx>
        <c:axId val="13867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8671888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386718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867132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7413619525667612"/>
          <c:y val="0.42425690523707921"/>
          <c:w val="0.31099653206592515"/>
          <c:h val="0.2176382825566834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6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Transmission Scalar (Cumulative)</a:t>
            </a:r>
          </a:p>
        </c:rich>
      </c:tx>
      <c:layout>
        <c:manualLayout>
          <c:xMode val="edge"/>
          <c:yMode val="edge"/>
          <c:x val="0.30646166932036106"/>
          <c:y val="3.81957422999661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753041028784599"/>
          <c:y val="0.20486807233618232"/>
          <c:w val="0.86741197632195766"/>
          <c:h val="0.56251911387222941"/>
        </c:manualLayout>
      </c:layout>
      <c:lineChart>
        <c:grouping val="standard"/>
        <c:varyColors val="0"/>
        <c:ser>
          <c:idx val="1"/>
          <c:order val="0"/>
          <c:tx>
            <c:v>before interest rate hedge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'PG&amp;E'!$B$45:$R$45</c:f>
              <c:numCache>
                <c:formatCode>General</c:formatCode>
                <c:ptCount val="17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</c:numCache>
            </c:numRef>
          </c:cat>
          <c:val>
            <c:numRef>
              <c:f>'PG&amp;E'!$B$46:$R$46</c:f>
              <c:numCache>
                <c:formatCode>_(* #,##0.000_);_(* \(#,##0.000\);_(* "-"??_);_(@_)</c:formatCode>
                <c:ptCount val="17"/>
                <c:pt idx="0">
                  <c:v>1</c:v>
                </c:pt>
                <c:pt idx="1">
                  <c:v>1.0673272888833056</c:v>
                </c:pt>
                <c:pt idx="2">
                  <c:v>1.1034428314487585</c:v>
                </c:pt>
                <c:pt idx="3">
                  <c:v>2.1161224442471145</c:v>
                </c:pt>
                <c:pt idx="4">
                  <c:v>2.2410481304129335</c:v>
                </c:pt>
                <c:pt idx="5">
                  <c:v>2.2410481304129335</c:v>
                </c:pt>
                <c:pt idx="6">
                  <c:v>2.2410481304129335</c:v>
                </c:pt>
                <c:pt idx="7">
                  <c:v>2.2410481304129335</c:v>
                </c:pt>
                <c:pt idx="8">
                  <c:v>2.2410481304129335</c:v>
                </c:pt>
                <c:pt idx="9">
                  <c:v>2.2410481304129335</c:v>
                </c:pt>
                <c:pt idx="10">
                  <c:v>2.2410481304129335</c:v>
                </c:pt>
                <c:pt idx="11">
                  <c:v>2.2410481304129335</c:v>
                </c:pt>
                <c:pt idx="12">
                  <c:v>2.2410481304129335</c:v>
                </c:pt>
                <c:pt idx="13">
                  <c:v>2.2410481304129335</c:v>
                </c:pt>
                <c:pt idx="14">
                  <c:v>2.2410481304129335</c:v>
                </c:pt>
                <c:pt idx="15">
                  <c:v>2.2410481304129335</c:v>
                </c:pt>
                <c:pt idx="16">
                  <c:v>2.2410481304129335</c:v>
                </c:pt>
              </c:numCache>
            </c:numRef>
          </c:val>
          <c:smooth val="0"/>
        </c:ser>
        <c:ser>
          <c:idx val="0"/>
          <c:order val="1"/>
          <c:tx>
            <c:v>with T&amp;D Interest Costs reflected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'PG&amp;E'!$B$53:$R$53</c:f>
              <c:numCache>
                <c:formatCode>_(* #,##0.000_);_(* \(#,##0.000\);_(* "-"??_);_(@_)</c:formatCode>
                <c:ptCount val="17"/>
                <c:pt idx="0">
                  <c:v>1</c:v>
                </c:pt>
                <c:pt idx="1">
                  <c:v>1.0673272888833056</c:v>
                </c:pt>
                <c:pt idx="2">
                  <c:v>1.1034428314487585</c:v>
                </c:pt>
                <c:pt idx="3">
                  <c:v>2.1161224442471145</c:v>
                </c:pt>
                <c:pt idx="4">
                  <c:v>2.2641884834637716</c:v>
                </c:pt>
                <c:pt idx="5">
                  <c:v>2.2641884834637716</c:v>
                </c:pt>
                <c:pt idx="6">
                  <c:v>2.1834991161053661</c:v>
                </c:pt>
                <c:pt idx="7">
                  <c:v>2.1834991161053661</c:v>
                </c:pt>
                <c:pt idx="8">
                  <c:v>2.1187593327224925</c:v>
                </c:pt>
                <c:pt idx="9">
                  <c:v>2.1187593327224925</c:v>
                </c:pt>
                <c:pt idx="10">
                  <c:v>2.0566761654310914</c:v>
                </c:pt>
                <c:pt idx="11">
                  <c:v>2.0566761654310914</c:v>
                </c:pt>
                <c:pt idx="12">
                  <c:v>1.9977168881503851</c:v>
                </c:pt>
                <c:pt idx="13">
                  <c:v>1.9977168881503851</c:v>
                </c:pt>
                <c:pt idx="14">
                  <c:v>1.9417871560751332</c:v>
                </c:pt>
                <c:pt idx="15">
                  <c:v>1.9417871560751332</c:v>
                </c:pt>
                <c:pt idx="16">
                  <c:v>1.8894614755840184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673008"/>
        <c:axId val="139295808"/>
      </c:lineChart>
      <c:catAx>
        <c:axId val="138673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2958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392958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.000_);_(* \(#,##0.0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867300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2222951459488172"/>
          <c:y val="0.89933611415374959"/>
          <c:w val="0.63622159420308877"/>
          <c:h val="7.639148459993239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Distribution Scalar (Cumulative)</a:t>
            </a:r>
          </a:p>
        </c:rich>
      </c:tx>
      <c:layout>
        <c:manualLayout>
          <c:xMode val="edge"/>
          <c:yMode val="edge"/>
          <c:x val="0.29754825065433871"/>
          <c:y val="3.873358752059104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067422014620483"/>
          <c:y val="0.19366793760295523"/>
          <c:w val="0.86803549814949943"/>
          <c:h val="0.61973740032945668"/>
        </c:manualLayout>
      </c:layout>
      <c:lineChart>
        <c:grouping val="standard"/>
        <c:varyColors val="0"/>
        <c:ser>
          <c:idx val="1"/>
          <c:order val="0"/>
          <c:tx>
            <c:v>before interest rate hedge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'PG&amp;E'!$B$45:$R$45</c:f>
              <c:numCache>
                <c:formatCode>General</c:formatCode>
                <c:ptCount val="17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</c:numCache>
            </c:numRef>
          </c:cat>
          <c:val>
            <c:numRef>
              <c:f>'PG&amp;E'!$B$47:$R$47</c:f>
              <c:numCache>
                <c:formatCode>_(* #,##0.000_);_(* \(#,##0.000\);_(* "-"??_);_(@_)</c:formatCode>
                <c:ptCount val="17"/>
                <c:pt idx="0">
                  <c:v>1</c:v>
                </c:pt>
                <c:pt idx="1">
                  <c:v>1.0918790818703463</c:v>
                </c:pt>
                <c:pt idx="2">
                  <c:v>1.0976041069489437</c:v>
                </c:pt>
                <c:pt idx="3">
                  <c:v>1.187786254605715</c:v>
                </c:pt>
                <c:pt idx="4">
                  <c:v>1.187786254605715</c:v>
                </c:pt>
                <c:pt idx="5">
                  <c:v>1.1996641171517721</c:v>
                </c:pt>
                <c:pt idx="6">
                  <c:v>1.2116607583232899</c:v>
                </c:pt>
                <c:pt idx="7">
                  <c:v>1.2237773659065228</c:v>
                </c:pt>
                <c:pt idx="8">
                  <c:v>1.2360151395655881</c:v>
                </c:pt>
                <c:pt idx="9">
                  <c:v>1.248375290961244</c:v>
                </c:pt>
                <c:pt idx="10">
                  <c:v>1.2608590438708565</c:v>
                </c:pt>
                <c:pt idx="11">
                  <c:v>1.273467634309565</c:v>
                </c:pt>
                <c:pt idx="12">
                  <c:v>1.2862023106526606</c:v>
                </c:pt>
                <c:pt idx="13">
                  <c:v>1.2990643337591872</c:v>
                </c:pt>
                <c:pt idx="14">
                  <c:v>1.3120549770967791</c:v>
                </c:pt>
                <c:pt idx="15">
                  <c:v>1.325175526867747</c:v>
                </c:pt>
                <c:pt idx="16">
                  <c:v>1.3384272821364245</c:v>
                </c:pt>
              </c:numCache>
            </c:numRef>
          </c:val>
          <c:smooth val="0"/>
        </c:ser>
        <c:ser>
          <c:idx val="0"/>
          <c:order val="1"/>
          <c:tx>
            <c:v>with T&amp;D Interest Costs reflected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'PG&amp;E'!$B$45:$R$45</c:f>
              <c:numCache>
                <c:formatCode>General</c:formatCode>
                <c:ptCount val="17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</c:numCache>
            </c:numRef>
          </c:cat>
          <c:val>
            <c:numRef>
              <c:f>'PG&amp;E'!$B$54:$R$54</c:f>
              <c:numCache>
                <c:formatCode>_(* #,##0.000_);_(* \(#,##0.000\);_(* "-"??_);_(@_)</c:formatCode>
                <c:ptCount val="17"/>
                <c:pt idx="0">
                  <c:v>1</c:v>
                </c:pt>
                <c:pt idx="1">
                  <c:v>1.0918790818703463</c:v>
                </c:pt>
                <c:pt idx="2">
                  <c:v>1.0976041069489437</c:v>
                </c:pt>
                <c:pt idx="3">
                  <c:v>1.187786254605715</c:v>
                </c:pt>
                <c:pt idx="4">
                  <c:v>1.1452667015811169</c:v>
                </c:pt>
                <c:pt idx="5">
                  <c:v>1.1541729569840249</c:v>
                </c:pt>
                <c:pt idx="6">
                  <c:v>1.1636823881538718</c:v>
                </c:pt>
                <c:pt idx="7">
                  <c:v>1.1737733852334165</c:v>
                </c:pt>
                <c:pt idx="8">
                  <c:v>1.1843667279903991</c:v>
                </c:pt>
                <c:pt idx="9">
                  <c:v>1.1350799804395593</c:v>
                </c:pt>
                <c:pt idx="10">
                  <c:v>1.1460995957649209</c:v>
                </c:pt>
                <c:pt idx="11">
                  <c:v>1.1575492340775393</c:v>
                </c:pt>
                <c:pt idx="12">
                  <c:v>1.1693068557773014</c:v>
                </c:pt>
                <c:pt idx="13">
                  <c:v>1.1812616936221436</c:v>
                </c:pt>
                <c:pt idx="14">
                  <c:v>1.1393060610028116</c:v>
                </c:pt>
                <c:pt idx="15">
                  <c:v>1.1509257063629394</c:v>
                </c:pt>
                <c:pt idx="16">
                  <c:v>1.1625150742497088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299168"/>
        <c:axId val="139299728"/>
      </c:lineChart>
      <c:catAx>
        <c:axId val="139299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2997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392997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.000_);_(* \(#,##0.0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29916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385533324302949"/>
          <c:y val="0.91904239480675121"/>
          <c:w val="0.57943606706371231"/>
          <c:h val="5.633976366631424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5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Transmission Scalar (Cumulative)</a:t>
            </a:r>
          </a:p>
        </c:rich>
      </c:tx>
      <c:layout>
        <c:manualLayout>
          <c:xMode val="edge"/>
          <c:yMode val="edge"/>
          <c:x val="0.27338996495563417"/>
          <c:y val="3.584353282820437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79170914298556"/>
          <c:y val="0.19355507727230364"/>
          <c:w val="0.85854041626418454"/>
          <c:h val="0.61650876464511528"/>
        </c:manualLayout>
      </c:layout>
      <c:lineChart>
        <c:grouping val="standard"/>
        <c:varyColors val="0"/>
        <c:ser>
          <c:idx val="1"/>
          <c:order val="0"/>
          <c:tx>
            <c:v>before interest rate hedge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SCE!$B$64:$R$64</c:f>
              <c:numCache>
                <c:formatCode>General</c:formatCode>
                <c:ptCount val="17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</c:numCache>
            </c:numRef>
          </c:cat>
          <c:val>
            <c:numRef>
              <c:f>SCE!$B$65:$R$65</c:f>
              <c:numCache>
                <c:formatCode>_(* #,##0.000_);_(* \(#,##0.000\);_(* "-"??_);_(@_)</c:formatCode>
                <c:ptCount val="17"/>
                <c:pt idx="0">
                  <c:v>1</c:v>
                </c:pt>
                <c:pt idx="1">
                  <c:v>0.98642053692419951</c:v>
                </c:pt>
                <c:pt idx="2">
                  <c:v>0.91725340434201674</c:v>
                </c:pt>
                <c:pt idx="3" formatCode="_(* #,##0.0000_);_(* \(#,##0.0000\);_(* &quot;-&quot;??_);_(@_)">
                  <c:v>1.5142570147924228</c:v>
                </c:pt>
                <c:pt idx="4">
                  <c:v>1.7037819704909645</c:v>
                </c:pt>
                <c:pt idx="5">
                  <c:v>1.7037819704909645</c:v>
                </c:pt>
                <c:pt idx="6">
                  <c:v>1.7037819704909645</c:v>
                </c:pt>
                <c:pt idx="7">
                  <c:v>1.7037819704909645</c:v>
                </c:pt>
                <c:pt idx="8">
                  <c:v>1.7037819704909645</c:v>
                </c:pt>
                <c:pt idx="9">
                  <c:v>1.7037819704909645</c:v>
                </c:pt>
                <c:pt idx="10">
                  <c:v>1.7037819704909645</c:v>
                </c:pt>
                <c:pt idx="11">
                  <c:v>1.7037819704909645</c:v>
                </c:pt>
                <c:pt idx="12">
                  <c:v>1.7037819704909645</c:v>
                </c:pt>
                <c:pt idx="13">
                  <c:v>1.7037819704909645</c:v>
                </c:pt>
                <c:pt idx="14">
                  <c:v>1.7037819704909645</c:v>
                </c:pt>
                <c:pt idx="15">
                  <c:v>1.7037819704909645</c:v>
                </c:pt>
                <c:pt idx="16">
                  <c:v>1.7037819704909645</c:v>
                </c:pt>
              </c:numCache>
            </c:numRef>
          </c:val>
          <c:smooth val="0"/>
        </c:ser>
        <c:ser>
          <c:idx val="0"/>
          <c:order val="1"/>
          <c:tx>
            <c:v>with T&amp;D Interest Costs reflected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SCE!$B$64:$R$64</c:f>
              <c:numCache>
                <c:formatCode>General</c:formatCode>
                <c:ptCount val="17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</c:numCache>
            </c:numRef>
          </c:cat>
          <c:val>
            <c:numRef>
              <c:f>SCE!$B$72:$R$72</c:f>
              <c:numCache>
                <c:formatCode>_(* #,##0.000_);_(* \(#,##0.000\);_(* "-"??_);_(@_)</c:formatCode>
                <c:ptCount val="17"/>
                <c:pt idx="0">
                  <c:v>1</c:v>
                </c:pt>
                <c:pt idx="1">
                  <c:v>0.98642053692419951</c:v>
                </c:pt>
                <c:pt idx="2">
                  <c:v>0.91725340434201674</c:v>
                </c:pt>
                <c:pt idx="3">
                  <c:v>1.5142570147924228</c:v>
                </c:pt>
                <c:pt idx="4">
                  <c:v>1.594053683531655</c:v>
                </c:pt>
                <c:pt idx="5">
                  <c:v>1.594053683531655</c:v>
                </c:pt>
                <c:pt idx="6">
                  <c:v>1.5410092954124384</c:v>
                </c:pt>
                <c:pt idx="7">
                  <c:v>1.5410092954124384</c:v>
                </c:pt>
                <c:pt idx="8">
                  <c:v>1.4905668018484499</c:v>
                </c:pt>
                <c:pt idx="9">
                  <c:v>1.4905668018484499</c:v>
                </c:pt>
                <c:pt idx="10">
                  <c:v>1.442603302692619</c:v>
                </c:pt>
                <c:pt idx="11">
                  <c:v>1.442603302692619</c:v>
                </c:pt>
                <c:pt idx="12">
                  <c:v>1.3971524621785263</c:v>
                </c:pt>
                <c:pt idx="13">
                  <c:v>1.3971524621785263</c:v>
                </c:pt>
                <c:pt idx="14">
                  <c:v>1.3538666028841009</c:v>
                </c:pt>
                <c:pt idx="15">
                  <c:v>1.3538666028841009</c:v>
                </c:pt>
                <c:pt idx="16">
                  <c:v>1.3175359891076279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302528"/>
        <c:axId val="139303088"/>
      </c:lineChart>
      <c:catAx>
        <c:axId val="139302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303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39303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.000_);_(* \(#,##0.0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30252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2542681320903168"/>
          <c:y val="0.91759444040203209"/>
          <c:w val="0.6211228151185022"/>
          <c:h val="5.734965252512700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Distribution Scalar (Cumulative)</a:t>
            </a:r>
          </a:p>
        </c:rich>
      </c:tx>
      <c:layout>
        <c:manualLayout>
          <c:xMode val="edge"/>
          <c:yMode val="edge"/>
          <c:x val="0.27203005942276787"/>
          <c:y val="3.61022736161878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103973635702806"/>
          <c:y val="0.19134205016579561"/>
          <c:w val="0.86272390274077815"/>
          <c:h val="0.63178978828328736"/>
        </c:manualLayout>
      </c:layout>
      <c:lineChart>
        <c:grouping val="standard"/>
        <c:varyColors val="0"/>
        <c:ser>
          <c:idx val="1"/>
          <c:order val="0"/>
          <c:tx>
            <c:v>before interest rate hedge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SCE!$B$64:$R$64</c:f>
              <c:numCache>
                <c:formatCode>General</c:formatCode>
                <c:ptCount val="17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</c:numCache>
            </c:numRef>
          </c:cat>
          <c:val>
            <c:numRef>
              <c:f>SCE!$B$66:$R$66</c:f>
              <c:numCache>
                <c:formatCode>_(* #,##0.000_);_(* \(#,##0.000\);_(* "-"??_);_(@_)</c:formatCode>
                <c:ptCount val="17"/>
                <c:pt idx="0">
                  <c:v>1</c:v>
                </c:pt>
                <c:pt idx="1">
                  <c:v>1.017942869316351</c:v>
                </c:pt>
                <c:pt idx="2">
                  <c:v>1.0182093644383603</c:v>
                </c:pt>
                <c:pt idx="3">
                  <c:v>1.0384068495564782</c:v>
                </c:pt>
                <c:pt idx="4">
                  <c:v>1.1258412268052624</c:v>
                </c:pt>
                <c:pt idx="5">
                  <c:v>1.136559219493563</c:v>
                </c:pt>
                <c:pt idx="6">
                  <c:v>1.147384392108747</c:v>
                </c:pt>
                <c:pt idx="7">
                  <c:v>1.1583178164500825</c:v>
                </c:pt>
                <c:pt idx="8">
                  <c:v>1.1693605750348315</c:v>
                </c:pt>
                <c:pt idx="9">
                  <c:v>1.1805137612054279</c:v>
                </c:pt>
                <c:pt idx="10">
                  <c:v>1.1917784792377304</c:v>
                </c:pt>
                <c:pt idx="11">
                  <c:v>1.2031558444503558</c:v>
                </c:pt>
                <c:pt idx="12">
                  <c:v>1.2146469833151075</c:v>
                </c:pt>
                <c:pt idx="13">
                  <c:v>1.2262530335685067</c:v>
                </c:pt>
                <c:pt idx="14">
                  <c:v>1.23797514432444</c:v>
                </c:pt>
                <c:pt idx="15">
                  <c:v>1.2498144761879324</c:v>
                </c:pt>
                <c:pt idx="16">
                  <c:v>1.2617722013700596</c:v>
                </c:pt>
              </c:numCache>
            </c:numRef>
          </c:val>
          <c:smooth val="0"/>
        </c:ser>
        <c:ser>
          <c:idx val="0"/>
          <c:order val="1"/>
          <c:tx>
            <c:v>with T&amp;D Interest Costs reflected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SCE!$B$64:$R$64</c:f>
              <c:numCache>
                <c:formatCode>General</c:formatCode>
                <c:ptCount val="17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</c:numCache>
            </c:numRef>
          </c:cat>
          <c:val>
            <c:numRef>
              <c:f>SCE!$B$73:$R$73</c:f>
              <c:numCache>
                <c:formatCode>_(* #,##0.000_);_(* \(#,##0.000\);_(* "-"??_);_(@_)</c:formatCode>
                <c:ptCount val="17"/>
                <c:pt idx="0">
                  <c:v>1</c:v>
                </c:pt>
                <c:pt idx="1">
                  <c:v>1.017942869316351</c:v>
                </c:pt>
                <c:pt idx="2">
                  <c:v>1.0182093644383603</c:v>
                </c:pt>
                <c:pt idx="3">
                  <c:v>1.0384068495564782</c:v>
                </c:pt>
                <c:pt idx="4">
                  <c:v>1.0995020467394165</c:v>
                </c:pt>
                <c:pt idx="5">
                  <c:v>1.1081623599562713</c:v>
                </c:pt>
                <c:pt idx="6">
                  <c:v>1.117403518073224</c:v>
                </c:pt>
                <c:pt idx="7">
                  <c:v>1.1272049433015363</c:v>
                </c:pt>
                <c:pt idx="8">
                  <c:v>1.1374907248585722</c:v>
                </c:pt>
                <c:pt idx="9">
                  <c:v>1.1019073993959132</c:v>
                </c:pt>
                <c:pt idx="10">
                  <c:v>1.1127151584788435</c:v>
                </c:pt>
                <c:pt idx="11">
                  <c:v>1.1239425547683395</c:v>
                </c:pt>
                <c:pt idx="12">
                  <c:v>1.1354712162392331</c:v>
                </c:pt>
                <c:pt idx="13">
                  <c:v>1.1471936701252001</c:v>
                </c:pt>
                <c:pt idx="14">
                  <c:v>1.1097318310378204</c:v>
                </c:pt>
                <c:pt idx="15">
                  <c:v>1.1211608255699503</c:v>
                </c:pt>
                <c:pt idx="16">
                  <c:v>1.1325625889302846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305888"/>
        <c:axId val="139306448"/>
      </c:lineChart>
      <c:catAx>
        <c:axId val="139305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306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393064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.000_);_(* \(#,##0.0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30588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12243471583761"/>
          <c:y val="0.92421820457440895"/>
          <c:w val="0.56996774355246604"/>
          <c:h val="5.054318306266299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Transmission Scalar (Cumulative)</a:t>
            </a:r>
          </a:p>
        </c:rich>
      </c:tx>
      <c:layout>
        <c:manualLayout>
          <c:xMode val="edge"/>
          <c:yMode val="edge"/>
          <c:x val="0.25955047663856023"/>
          <c:y val="4.166805994116504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923988812650833E-2"/>
          <c:y val="0.23148922189536134"/>
          <c:w val="0.86516825546186749"/>
          <c:h val="0.54168477923514557"/>
        </c:manualLayout>
      </c:layout>
      <c:lineChart>
        <c:grouping val="standard"/>
        <c:varyColors val="0"/>
        <c:ser>
          <c:idx val="1"/>
          <c:order val="0"/>
          <c:tx>
            <c:v>before interest rate hedge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'SDG&amp;E'!$B$64:$R$64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1.2479059344948196</c:v>
                </c:pt>
                <c:pt idx="2">
                  <c:v>1.2433167682347006</c:v>
                </c:pt>
                <c:pt idx="3">
                  <c:v>1.2433167682347006</c:v>
                </c:pt>
                <c:pt idx="4">
                  <c:v>1.3087367970304427</c:v>
                </c:pt>
                <c:pt idx="5">
                  <c:v>1.3087367970304427</c:v>
                </c:pt>
                <c:pt idx="6">
                  <c:v>1.2195760671490088</c:v>
                </c:pt>
                <c:pt idx="7">
                  <c:v>1.2195760671490088</c:v>
                </c:pt>
                <c:pt idx="8">
                  <c:v>1.1519123530778144</c:v>
                </c:pt>
                <c:pt idx="9">
                  <c:v>1.1519123530778144</c:v>
                </c:pt>
                <c:pt idx="10">
                  <c:v>1.1166447518476037</c:v>
                </c:pt>
                <c:pt idx="11">
                  <c:v>1.1166447518476037</c:v>
                </c:pt>
                <c:pt idx="12">
                  <c:v>1.0860690379212676</c:v>
                </c:pt>
                <c:pt idx="13">
                  <c:v>1.0860690379212676</c:v>
                </c:pt>
                <c:pt idx="14">
                  <c:v>1.0572549588973634</c:v>
                </c:pt>
                <c:pt idx="15">
                  <c:v>1.0572549588973634</c:v>
                </c:pt>
                <c:pt idx="16">
                  <c:v>1.0307761501418218</c:v>
                </c:pt>
              </c:numCache>
            </c:numRef>
          </c:cat>
          <c:val>
            <c:numRef>
              <c:f>'SDG&amp;E'!$B$57:$R$57</c:f>
              <c:numCache>
                <c:formatCode>_(* #,##0.000_);_(* \(#,##0.000\);_(* "-"??_);_(@_)</c:formatCode>
                <c:ptCount val="17"/>
                <c:pt idx="0">
                  <c:v>1</c:v>
                </c:pt>
                <c:pt idx="1">
                  <c:v>1.2479059344948196</c:v>
                </c:pt>
                <c:pt idx="2">
                  <c:v>1.2433167682347006</c:v>
                </c:pt>
                <c:pt idx="3">
                  <c:v>1.2433167682347006</c:v>
                </c:pt>
                <c:pt idx="4">
                  <c:v>1.3260044485972036</c:v>
                </c:pt>
                <c:pt idx="5">
                  <c:v>1.3260044485972036</c:v>
                </c:pt>
                <c:pt idx="6">
                  <c:v>1.3260044485972036</c:v>
                </c:pt>
                <c:pt idx="7">
                  <c:v>1.3260044485972036</c:v>
                </c:pt>
                <c:pt idx="8">
                  <c:v>1.3260044485972036</c:v>
                </c:pt>
                <c:pt idx="9">
                  <c:v>1.3260044485972036</c:v>
                </c:pt>
                <c:pt idx="10">
                  <c:v>1.3260044485972036</c:v>
                </c:pt>
                <c:pt idx="11">
                  <c:v>1.3260044485972036</c:v>
                </c:pt>
                <c:pt idx="12">
                  <c:v>1.3260044485972036</c:v>
                </c:pt>
                <c:pt idx="13">
                  <c:v>1.3260044485972036</c:v>
                </c:pt>
                <c:pt idx="14">
                  <c:v>1.3260044485972036</c:v>
                </c:pt>
                <c:pt idx="15">
                  <c:v>1.3260044485972036</c:v>
                </c:pt>
                <c:pt idx="16">
                  <c:v>1.3260044485972036</c:v>
                </c:pt>
              </c:numCache>
            </c:numRef>
          </c:val>
          <c:smooth val="0"/>
        </c:ser>
        <c:ser>
          <c:idx val="0"/>
          <c:order val="1"/>
          <c:tx>
            <c:v>with T&amp;D Interest Costs reflected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'SDG&amp;E'!$B$64:$R$64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1.2479059344948196</c:v>
                </c:pt>
                <c:pt idx="2">
                  <c:v>1.2433167682347006</c:v>
                </c:pt>
                <c:pt idx="3">
                  <c:v>1.2433167682347006</c:v>
                </c:pt>
                <c:pt idx="4">
                  <c:v>1.3087367970304427</c:v>
                </c:pt>
                <c:pt idx="5">
                  <c:v>1.3087367970304427</c:v>
                </c:pt>
                <c:pt idx="6">
                  <c:v>1.2195760671490088</c:v>
                </c:pt>
                <c:pt idx="7">
                  <c:v>1.2195760671490088</c:v>
                </c:pt>
                <c:pt idx="8">
                  <c:v>1.1519123530778144</c:v>
                </c:pt>
                <c:pt idx="9">
                  <c:v>1.1519123530778144</c:v>
                </c:pt>
                <c:pt idx="10">
                  <c:v>1.1166447518476037</c:v>
                </c:pt>
                <c:pt idx="11">
                  <c:v>1.1166447518476037</c:v>
                </c:pt>
                <c:pt idx="12">
                  <c:v>1.0860690379212676</c:v>
                </c:pt>
                <c:pt idx="13">
                  <c:v>1.0860690379212676</c:v>
                </c:pt>
                <c:pt idx="14">
                  <c:v>1.0572549588973634</c:v>
                </c:pt>
                <c:pt idx="15">
                  <c:v>1.0572549588973634</c:v>
                </c:pt>
                <c:pt idx="16">
                  <c:v>1.0307761501418218</c:v>
                </c:pt>
              </c:numCache>
            </c:numRef>
          </c:cat>
          <c:val>
            <c:numRef>
              <c:f>'SDG&amp;E'!$B$64:$R$64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1.2479059344948196</c:v>
                </c:pt>
                <c:pt idx="2">
                  <c:v>1.2433167682347006</c:v>
                </c:pt>
                <c:pt idx="3">
                  <c:v>1.2433167682347006</c:v>
                </c:pt>
                <c:pt idx="4">
                  <c:v>1.3087367970304427</c:v>
                </c:pt>
                <c:pt idx="5">
                  <c:v>1.3087367970304427</c:v>
                </c:pt>
                <c:pt idx="6">
                  <c:v>1.2195760671490088</c:v>
                </c:pt>
                <c:pt idx="7">
                  <c:v>1.2195760671490088</c:v>
                </c:pt>
                <c:pt idx="8">
                  <c:v>1.1519123530778144</c:v>
                </c:pt>
                <c:pt idx="9">
                  <c:v>1.1519123530778144</c:v>
                </c:pt>
                <c:pt idx="10">
                  <c:v>1.1166447518476037</c:v>
                </c:pt>
                <c:pt idx="11">
                  <c:v>1.1166447518476037</c:v>
                </c:pt>
                <c:pt idx="12">
                  <c:v>1.0860690379212676</c:v>
                </c:pt>
                <c:pt idx="13">
                  <c:v>1.0860690379212676</c:v>
                </c:pt>
                <c:pt idx="14">
                  <c:v>1.0572549588973634</c:v>
                </c:pt>
                <c:pt idx="15">
                  <c:v>1.0572549588973634</c:v>
                </c:pt>
                <c:pt idx="16">
                  <c:v>1.0307761501418218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309248"/>
        <c:axId val="139309808"/>
      </c:lineChart>
      <c:catAx>
        <c:axId val="139309248"/>
        <c:scaling>
          <c:orientation val="minMax"/>
        </c:scaling>
        <c:delete val="0"/>
        <c:axPos val="b"/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3098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393098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.000_);_(* \(#,##0.0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3092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191663909036727"/>
          <c:y val="0.90280796539190922"/>
          <c:w val="0.55981475353414956"/>
          <c:h val="6.481698213070116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Distribution Scalar (Cumulative)</a:t>
            </a:r>
          </a:p>
        </c:rich>
      </c:tx>
      <c:layout>
        <c:manualLayout>
          <c:xMode val="edge"/>
          <c:yMode val="edge"/>
          <c:x val="0.24567301730052166"/>
          <c:y val="4.186196249525186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272056087906288"/>
          <c:y val="0.2325664583069548"/>
          <c:w val="0.84684934198885697"/>
          <c:h val="0.53955418327213511"/>
        </c:manualLayout>
      </c:layout>
      <c:lineChart>
        <c:grouping val="standard"/>
        <c:varyColors val="0"/>
        <c:ser>
          <c:idx val="1"/>
          <c:order val="0"/>
          <c:tx>
            <c:v>before interest rate hedge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'SDG&amp;E'!$B$56:$R$56</c:f>
              <c:numCache>
                <c:formatCode>General</c:formatCode>
                <c:ptCount val="17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</c:numCache>
            </c:numRef>
          </c:cat>
          <c:val>
            <c:numRef>
              <c:f>'SDG&amp;E'!$B$58:$R$58</c:f>
              <c:numCache>
                <c:formatCode>_(* #,##0.000_);_(* \(#,##0.000\);_(* "-"??_);_(@_)</c:formatCode>
                <c:ptCount val="17"/>
                <c:pt idx="0">
                  <c:v>1</c:v>
                </c:pt>
                <c:pt idx="1">
                  <c:v>1.062031697572281</c:v>
                </c:pt>
                <c:pt idx="2">
                  <c:v>1.0189132416115525</c:v>
                </c:pt>
                <c:pt idx="3">
                  <c:v>1.012634614141386</c:v>
                </c:pt>
                <c:pt idx="4">
                  <c:v>1.0789901405333864</c:v>
                </c:pt>
                <c:pt idx="5">
                  <c:v>1.0897800419387202</c:v>
                </c:pt>
                <c:pt idx="6">
                  <c:v>1.1006778423581076</c:v>
                </c:pt>
                <c:pt idx="7">
                  <c:v>1.1116846207816886</c:v>
                </c:pt>
                <c:pt idx="8">
                  <c:v>1.1228014669895054</c:v>
                </c:pt>
                <c:pt idx="9">
                  <c:v>1.1340294816594005</c:v>
                </c:pt>
                <c:pt idx="10">
                  <c:v>1.1453697764759945</c:v>
                </c:pt>
                <c:pt idx="11">
                  <c:v>1.1568234742407546</c:v>
                </c:pt>
                <c:pt idx="12">
                  <c:v>1.1683917089831619</c:v>
                </c:pt>
                <c:pt idx="13">
                  <c:v>1.1800756260729937</c:v>
                </c:pt>
                <c:pt idx="14">
                  <c:v>1.1918763823337235</c:v>
                </c:pt>
                <c:pt idx="15">
                  <c:v>1.2037951461570608</c:v>
                </c:pt>
                <c:pt idx="16">
                  <c:v>1.2158330976186316</c:v>
                </c:pt>
              </c:numCache>
            </c:numRef>
          </c:val>
          <c:smooth val="0"/>
        </c:ser>
        <c:ser>
          <c:idx val="0"/>
          <c:order val="1"/>
          <c:tx>
            <c:v>with T&amp;D Interest Costs reflected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'SDG&amp;E'!$B$56:$R$56</c:f>
              <c:numCache>
                <c:formatCode>General</c:formatCode>
                <c:ptCount val="17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</c:numCache>
            </c:numRef>
          </c:cat>
          <c:val>
            <c:numRef>
              <c:f>'SDG&amp;E'!$B$65:$R$65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1.081148268128582</c:v>
                </c:pt>
                <c:pt idx="2">
                  <c:v>1.0559242461998506</c:v>
                </c:pt>
                <c:pt idx="3">
                  <c:v>1.0683070698350361</c:v>
                </c:pt>
                <c:pt idx="4">
                  <c:v>1.0759037288051994</c:v>
                </c:pt>
                <c:pt idx="5">
                  <c:v>1.084162987293332</c:v>
                </c:pt>
                <c:pt idx="6">
                  <c:v>1.0929871778817908</c:v>
                </c:pt>
                <c:pt idx="7">
                  <c:v>0.98663801595496625</c:v>
                </c:pt>
                <c:pt idx="8">
                  <c:v>0.99544379215138779</c:v>
                </c:pt>
                <c:pt idx="9">
                  <c:v>1.0046632804547775</c:v>
                </c:pt>
                <c:pt idx="10">
                  <c:v>1.0143163143847846</c:v>
                </c:pt>
                <c:pt idx="11">
                  <c:v>1.024347994201259</c:v>
                </c:pt>
                <c:pt idx="12">
                  <c:v>0.9875024192504479</c:v>
                </c:pt>
                <c:pt idx="13">
                  <c:v>0.99749976246354743</c:v>
                </c:pt>
                <c:pt idx="14">
                  <c:v>1.0076167757434442</c:v>
                </c:pt>
                <c:pt idx="15">
                  <c:v>1.0177925762591307</c:v>
                </c:pt>
                <c:pt idx="16">
                  <c:v>1.0279395667817586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604448"/>
        <c:axId val="139605008"/>
      </c:lineChart>
      <c:catAx>
        <c:axId val="139604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6050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39605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.000_);_(* \(#,##0.0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96044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1677030938281322"/>
          <c:y val="0.90235785823098458"/>
          <c:w val="0.6358595741895855"/>
          <c:h val="6.511860832594734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39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4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43</xdr:row>
      <xdr:rowOff>142875</xdr:rowOff>
    </xdr:from>
    <xdr:to>
      <xdr:col>7</xdr:col>
      <xdr:colOff>47625</xdr:colOff>
      <xdr:row>61</xdr:row>
      <xdr:rowOff>142875</xdr:rowOff>
    </xdr:to>
    <xdr:graphicFrame macro="">
      <xdr:nvGraphicFramePr>
        <xdr:cNvPr id="409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190500</xdr:colOff>
      <xdr:row>43</xdr:row>
      <xdr:rowOff>142875</xdr:rowOff>
    </xdr:from>
    <xdr:to>
      <xdr:col>15</xdr:col>
      <xdr:colOff>180975</xdr:colOff>
      <xdr:row>61</xdr:row>
      <xdr:rowOff>104775</xdr:rowOff>
    </xdr:to>
    <xdr:graphicFrame macro="">
      <xdr:nvGraphicFramePr>
        <xdr:cNvPr id="409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381000</xdr:colOff>
      <xdr:row>62</xdr:row>
      <xdr:rowOff>85725</xdr:rowOff>
    </xdr:from>
    <xdr:to>
      <xdr:col>7</xdr:col>
      <xdr:colOff>38100</xdr:colOff>
      <xdr:row>80</xdr:row>
      <xdr:rowOff>114300</xdr:rowOff>
    </xdr:to>
    <xdr:graphicFrame macro="">
      <xdr:nvGraphicFramePr>
        <xdr:cNvPr id="4099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55</xdr:row>
      <xdr:rowOff>95250</xdr:rowOff>
    </xdr:from>
    <xdr:to>
      <xdr:col>10</xdr:col>
      <xdr:colOff>571500</xdr:colOff>
      <xdr:row>72</xdr:row>
      <xdr:rowOff>76200</xdr:rowOff>
    </xdr:to>
    <xdr:graphicFrame macro="">
      <xdr:nvGraphicFramePr>
        <xdr:cNvPr id="1056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55</xdr:row>
      <xdr:rowOff>123825</xdr:rowOff>
    </xdr:from>
    <xdr:to>
      <xdr:col>17</xdr:col>
      <xdr:colOff>142875</xdr:colOff>
      <xdr:row>72</xdr:row>
      <xdr:rowOff>66675</xdr:rowOff>
    </xdr:to>
    <xdr:graphicFrame macro="">
      <xdr:nvGraphicFramePr>
        <xdr:cNvPr id="1057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75</xdr:row>
      <xdr:rowOff>0</xdr:rowOff>
    </xdr:from>
    <xdr:to>
      <xdr:col>9</xdr:col>
      <xdr:colOff>371475</xdr:colOff>
      <xdr:row>91</xdr:row>
      <xdr:rowOff>66675</xdr:rowOff>
    </xdr:to>
    <xdr:graphicFrame macro="">
      <xdr:nvGraphicFramePr>
        <xdr:cNvPr id="3090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</xdr:colOff>
      <xdr:row>75</xdr:row>
      <xdr:rowOff>0</xdr:rowOff>
    </xdr:from>
    <xdr:to>
      <xdr:col>15</xdr:col>
      <xdr:colOff>257175</xdr:colOff>
      <xdr:row>91</xdr:row>
      <xdr:rowOff>47625</xdr:rowOff>
    </xdr:to>
    <xdr:graphicFrame macro="">
      <xdr:nvGraphicFramePr>
        <xdr:cNvPr id="3091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67</xdr:row>
      <xdr:rowOff>0</xdr:rowOff>
    </xdr:from>
    <xdr:to>
      <xdr:col>11</xdr:col>
      <xdr:colOff>104775</xdr:colOff>
      <xdr:row>79</xdr:row>
      <xdr:rowOff>114300</xdr:rowOff>
    </xdr:to>
    <xdr:graphicFrame macro="">
      <xdr:nvGraphicFramePr>
        <xdr:cNvPr id="2075" name="Chart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67</xdr:row>
      <xdr:rowOff>0</xdr:rowOff>
    </xdr:from>
    <xdr:to>
      <xdr:col>17</xdr:col>
      <xdr:colOff>390525</xdr:colOff>
      <xdr:row>79</xdr:row>
      <xdr:rowOff>104775</xdr:rowOff>
    </xdr:to>
    <xdr:graphicFrame macro="">
      <xdr:nvGraphicFramePr>
        <xdr:cNvPr id="2076" name="Chart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RISK_MGT\WEST\URM\CTC\archived%20pricing%20models\powermod97_prici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Panel"/>
      <sheetName val="BookDeal"/>
      <sheetName val="book2"/>
      <sheetName val="Summary Output"/>
      <sheetName val="Dem&amp;Vol"/>
      <sheetName val="CashFlows"/>
      <sheetName val="Swap Details"/>
      <sheetName val="Option Details"/>
      <sheetName val="AdjPriceCurves"/>
      <sheetName val="Curve Info"/>
      <sheetName val="Days"/>
      <sheetName val="T&amp;D Escalation"/>
      <sheetName val="CTC Curves"/>
      <sheetName val="Curve&amp;Basis"/>
      <sheetName val="Book Summary2"/>
      <sheetName val="Booking Code (2)"/>
      <sheetName val="Module1"/>
      <sheetName val="Print Macro"/>
      <sheetName val="Batch_Main"/>
      <sheetName val="Batch_CopyData"/>
      <sheetName val="Batch_Region"/>
      <sheetName val="Batch_UpdateCurve"/>
      <sheetName val="Batch_CopyLoad"/>
      <sheetName val="Batch_Pricer"/>
      <sheetName val="Batch_Booker"/>
      <sheetName val="Batch_CashFlow"/>
      <sheetName val="Book Modu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AK5">
            <v>1</v>
          </cell>
          <cell r="AL5">
            <v>1</v>
          </cell>
          <cell r="AM5">
            <v>1</v>
          </cell>
          <cell r="BG5">
            <v>36922.672129629631</v>
          </cell>
        </row>
        <row r="6">
          <cell r="AK6">
            <v>1.0673272888833056</v>
          </cell>
          <cell r="AL6">
            <v>1.0918790818703463</v>
          </cell>
          <cell r="AM6">
            <v>0.75920099842695754</v>
          </cell>
        </row>
        <row r="7">
          <cell r="AK7">
            <v>1.1034428314487585</v>
          </cell>
          <cell r="AL7">
            <v>1.0976041069489437</v>
          </cell>
          <cell r="AM7">
            <v>0.75920099842695754</v>
          </cell>
        </row>
        <row r="8">
          <cell r="AK8">
            <v>2.1161224442471145</v>
          </cell>
          <cell r="AL8">
            <v>1.187786254605715</v>
          </cell>
          <cell r="AM8">
            <v>2.6157096241598521</v>
          </cell>
        </row>
        <row r="9">
          <cell r="AK9">
            <v>2.2641884834637716</v>
          </cell>
          <cell r="AL9">
            <v>1.1452667015811169</v>
          </cell>
          <cell r="AM9">
            <v>2.4399546287749767</v>
          </cell>
        </row>
        <row r="10">
          <cell r="AK10">
            <v>2.2641884834637716</v>
          </cell>
          <cell r="AL10">
            <v>1.1541729569840249</v>
          </cell>
          <cell r="AM10">
            <v>2.425023725640592</v>
          </cell>
        </row>
        <row r="11">
          <cell r="AK11">
            <v>2.1834991161053661</v>
          </cell>
          <cell r="AL11">
            <v>1.1636823881538718</v>
          </cell>
          <cell r="AM11">
            <v>2.3839946178546816</v>
          </cell>
        </row>
        <row r="12">
          <cell r="AK12">
            <v>2.1834991161053661</v>
          </cell>
          <cell r="AL12">
            <v>1.1737733852334165</v>
          </cell>
          <cell r="AM12">
            <v>2.3580069161867367</v>
          </cell>
        </row>
        <row r="13">
          <cell r="AK13">
            <v>2.1187593327224925</v>
          </cell>
          <cell r="AL13">
            <v>1.1843667279903991</v>
          </cell>
          <cell r="AM13">
            <v>2.3511687315557515</v>
          </cell>
        </row>
        <row r="14">
          <cell r="AK14">
            <v>2.1187593327224925</v>
          </cell>
          <cell r="AL14">
            <v>1.1350799804395593</v>
          </cell>
          <cell r="AM14">
            <v>2.2702772974870316</v>
          </cell>
        </row>
        <row r="15">
          <cell r="AK15">
            <v>2.0566761654310914</v>
          </cell>
          <cell r="AL15">
            <v>1.1460995957649209</v>
          </cell>
          <cell r="AM15">
            <v>2.2284194173242673</v>
          </cell>
        </row>
        <row r="16">
          <cell r="AK16">
            <v>2.0566761654310914</v>
          </cell>
          <cell r="AL16">
            <v>1.1575492340775393</v>
          </cell>
          <cell r="AM16">
            <v>2.1501443038962047</v>
          </cell>
        </row>
        <row r="17">
          <cell r="AK17">
            <v>1.9977168881503851</v>
          </cell>
          <cell r="AL17">
            <v>1.1693068557773014</v>
          </cell>
          <cell r="AM17">
            <v>2.0869040964106027</v>
          </cell>
        </row>
        <row r="18">
          <cell r="AK18">
            <v>1.9977168881503851</v>
          </cell>
          <cell r="AL18">
            <v>1.1812616936221436</v>
          </cell>
          <cell r="AM18">
            <v>2.0516861455259288</v>
          </cell>
        </row>
        <row r="19">
          <cell r="AK19">
            <v>1.9417871560751332</v>
          </cell>
          <cell r="AL19">
            <v>1.1393060610028116</v>
          </cell>
          <cell r="AM19">
            <v>1.9944878511719812</v>
          </cell>
        </row>
        <row r="20">
          <cell r="AK20">
            <v>1.9417871560751332</v>
          </cell>
          <cell r="AL20">
            <v>1.1509257063629394</v>
          </cell>
          <cell r="AM20">
            <v>1.9667191014157377</v>
          </cell>
        </row>
        <row r="21">
          <cell r="AK21">
            <v>1.8894614755840184</v>
          </cell>
          <cell r="AL21">
            <v>1.1625150742497088</v>
          </cell>
          <cell r="AM21">
            <v>1.9049446835064543</v>
          </cell>
        </row>
        <row r="24">
          <cell r="AK24">
            <v>1</v>
          </cell>
          <cell r="AL24">
            <v>1</v>
          </cell>
          <cell r="AM24">
            <v>1</v>
          </cell>
        </row>
        <row r="25">
          <cell r="AK25">
            <v>0.98642053692419951</v>
          </cell>
          <cell r="AL25">
            <v>1.017942869316351</v>
          </cell>
          <cell r="AM25">
            <v>0.72891099697004069</v>
          </cell>
        </row>
        <row r="26">
          <cell r="AK26">
            <v>0.91725340434201674</v>
          </cell>
          <cell r="AL26">
            <v>1.0182093644383603</v>
          </cell>
          <cell r="AM26">
            <v>0.72891099697004069</v>
          </cell>
        </row>
        <row r="27">
          <cell r="AK27">
            <v>1.5142570147924228</v>
          </cell>
          <cell r="AL27">
            <v>1.0384068495564782</v>
          </cell>
          <cell r="AM27">
            <v>3.6780660109856278</v>
          </cell>
        </row>
        <row r="28">
          <cell r="AK28">
            <v>1.594053683531655</v>
          </cell>
          <cell r="AL28">
            <v>1.0995020467394165</v>
          </cell>
          <cell r="AM28">
            <v>2.7853200900886304</v>
          </cell>
        </row>
        <row r="29">
          <cell r="AK29">
            <v>1.594053683531655</v>
          </cell>
          <cell r="AL29">
            <v>1.1081623599562713</v>
          </cell>
          <cell r="AM29">
            <v>2.7853200900886304</v>
          </cell>
        </row>
        <row r="30">
          <cell r="AK30">
            <v>1.5410092954124384</v>
          </cell>
          <cell r="AL30">
            <v>1.117403518073224</v>
          </cell>
          <cell r="AM30">
            <v>2.769603188748643</v>
          </cell>
        </row>
        <row r="31">
          <cell r="AK31">
            <v>1.5410092954124384</v>
          </cell>
          <cell r="AL31">
            <v>1.1272049433015363</v>
          </cell>
          <cell r="AM31">
            <v>2.6735518576729262</v>
          </cell>
        </row>
        <row r="32">
          <cell r="AK32">
            <v>1.4905668018484499</v>
          </cell>
          <cell r="AL32">
            <v>1.1374907248585722</v>
          </cell>
          <cell r="AM32">
            <v>2.6038401088840999</v>
          </cell>
        </row>
        <row r="33">
          <cell r="AK33">
            <v>1.4905668018484499</v>
          </cell>
          <cell r="AL33">
            <v>1.1019073993959132</v>
          </cell>
          <cell r="AM33">
            <v>2.6037266879465948</v>
          </cell>
        </row>
        <row r="34">
          <cell r="AK34">
            <v>1.442603302692619</v>
          </cell>
          <cell r="AL34">
            <v>1.1127151584788435</v>
          </cell>
          <cell r="AM34">
            <v>2.2031984704376426</v>
          </cell>
        </row>
        <row r="35">
          <cell r="AK35">
            <v>1.442603302692619</v>
          </cell>
          <cell r="AL35">
            <v>1.1239425547683395</v>
          </cell>
          <cell r="AM35">
            <v>2.0819126010661568</v>
          </cell>
        </row>
        <row r="36">
          <cell r="AK36">
            <v>1.3971524621785263</v>
          </cell>
          <cell r="AL36">
            <v>1.1354712162392331</v>
          </cell>
          <cell r="AM36">
            <v>1.990647633553154</v>
          </cell>
        </row>
        <row r="37">
          <cell r="AK37">
            <v>1.3971524621785263</v>
          </cell>
          <cell r="AL37">
            <v>1.1471936701252001</v>
          </cell>
          <cell r="AM37">
            <v>1.962697473953692</v>
          </cell>
        </row>
        <row r="38">
          <cell r="AK38">
            <v>1.3538666028841009</v>
          </cell>
          <cell r="AL38">
            <v>1.1097318310378204</v>
          </cell>
          <cell r="AM38">
            <v>1.9429363060420957</v>
          </cell>
        </row>
        <row r="39">
          <cell r="AK39">
            <v>1.3538666028841009</v>
          </cell>
          <cell r="AL39">
            <v>1.1211608255699503</v>
          </cell>
          <cell r="AM39">
            <v>1.9273846752110444</v>
          </cell>
        </row>
        <row r="40">
          <cell r="AK40">
            <v>1.3175359891076279</v>
          </cell>
          <cell r="AL40">
            <v>1.1325625889302846</v>
          </cell>
          <cell r="AM40">
            <v>1.9233468898358643</v>
          </cell>
        </row>
        <row r="43">
          <cell r="AK43">
            <v>1</v>
          </cell>
          <cell r="AL43">
            <v>1</v>
          </cell>
          <cell r="AM43">
            <v>1</v>
          </cell>
        </row>
        <row r="44">
          <cell r="AK44">
            <v>1.2479059344948196</v>
          </cell>
          <cell r="AL44">
            <v>1.081148268128582</v>
          </cell>
          <cell r="AM44">
            <v>2.5327246311761025</v>
          </cell>
        </row>
        <row r="45">
          <cell r="AK45">
            <v>1.2433167682347006</v>
          </cell>
          <cell r="AL45">
            <v>1.0559242461998506</v>
          </cell>
          <cell r="AM45">
            <v>2.8005220821866033</v>
          </cell>
        </row>
        <row r="46">
          <cell r="AK46">
            <v>1.2433167682347006</v>
          </cell>
          <cell r="AL46">
            <v>1.0683070698350361</v>
          </cell>
          <cell r="AM46">
            <v>2.4249063913726507</v>
          </cell>
        </row>
        <row r="47">
          <cell r="AK47">
            <v>1.3087367970304427</v>
          </cell>
          <cell r="AL47">
            <v>1.0759037288051994</v>
          </cell>
          <cell r="AM47">
            <v>1.0665477610706229</v>
          </cell>
        </row>
        <row r="48">
          <cell r="AK48">
            <v>1.3087367970304427</v>
          </cell>
          <cell r="AL48">
            <v>1.084162987293332</v>
          </cell>
          <cell r="AM48">
            <v>0.79875031006012209</v>
          </cell>
        </row>
        <row r="49">
          <cell r="AK49">
            <v>1.2195760671490088</v>
          </cell>
          <cell r="AL49">
            <v>1.0929871778817908</v>
          </cell>
          <cell r="AM49">
            <v>0.79875031006012209</v>
          </cell>
        </row>
        <row r="50">
          <cell r="AK50">
            <v>1.2195760671490088</v>
          </cell>
          <cell r="AL50">
            <v>0.98663801595496625</v>
          </cell>
          <cell r="AM50">
            <v>0.79875031006012209</v>
          </cell>
        </row>
        <row r="51">
          <cell r="AK51">
            <v>1.1519123530778144</v>
          </cell>
          <cell r="AL51">
            <v>0.99544379215138779</v>
          </cell>
          <cell r="AM51">
            <v>0.79875031006012209</v>
          </cell>
        </row>
        <row r="52">
          <cell r="AK52">
            <v>1.1519123530778144</v>
          </cell>
          <cell r="AL52">
            <v>1.0046632804547775</v>
          </cell>
          <cell r="AM52">
            <v>0.79875031006012209</v>
          </cell>
        </row>
        <row r="53">
          <cell r="AK53">
            <v>1.1166447518476037</v>
          </cell>
          <cell r="AL53">
            <v>1.0143163143847846</v>
          </cell>
          <cell r="AM53">
            <v>0.79875031006012209</v>
          </cell>
        </row>
        <row r="54">
          <cell r="AK54">
            <v>1.1166447518476037</v>
          </cell>
          <cell r="AL54">
            <v>1.024347994201259</v>
          </cell>
          <cell r="AM54">
            <v>0.79875031006012209</v>
          </cell>
        </row>
        <row r="55">
          <cell r="AK55">
            <v>1.0860690379212676</v>
          </cell>
          <cell r="AL55">
            <v>0.9875024192504479</v>
          </cell>
          <cell r="AM55">
            <v>0.79875031006012209</v>
          </cell>
        </row>
        <row r="56">
          <cell r="AK56">
            <v>1.0860690379212676</v>
          </cell>
          <cell r="AL56">
            <v>0.99749976246354743</v>
          </cell>
          <cell r="AM56">
            <v>1.6084501718618962</v>
          </cell>
        </row>
        <row r="57">
          <cell r="AK57">
            <v>1.0572549588973634</v>
          </cell>
          <cell r="AL57">
            <v>1.0076167757434442</v>
          </cell>
          <cell r="AM57">
            <v>1.6084501718618962</v>
          </cell>
        </row>
        <row r="58">
          <cell r="AK58">
            <v>1.0572549588973634</v>
          </cell>
          <cell r="AL58">
            <v>1.0177925762591307</v>
          </cell>
          <cell r="AM58">
            <v>1.6084501718618962</v>
          </cell>
        </row>
        <row r="59">
          <cell r="AK59">
            <v>1.0307761501418218</v>
          </cell>
          <cell r="AL59">
            <v>1.0279395667817586</v>
          </cell>
          <cell r="AM59">
            <v>1.2239756204155396</v>
          </cell>
        </row>
      </sheetData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W43"/>
  <sheetViews>
    <sheetView topLeftCell="E1" zoomScale="75" workbookViewId="0">
      <pane xSplit="12630" topLeftCell="V1"/>
      <selection activeCell="K11" sqref="K11"/>
      <selection pane="topRight" activeCell="W24" sqref="W24"/>
    </sheetView>
  </sheetViews>
  <sheetFormatPr defaultRowHeight="15" x14ac:dyDescent="0.2"/>
  <cols>
    <col min="1" max="5" width="9.140625" style="59"/>
    <col min="6" max="6" width="24.140625" style="59" customWidth="1"/>
    <col min="7" max="9" width="12" style="59" customWidth="1"/>
    <col min="10" max="10" width="13.28515625" style="59" customWidth="1"/>
    <col min="11" max="23" width="12" style="59" customWidth="1"/>
    <col min="24" max="16384" width="9.140625" style="59"/>
  </cols>
  <sheetData>
    <row r="2" spans="1:23" x14ac:dyDescent="0.2">
      <c r="B2" s="112" t="s">
        <v>72</v>
      </c>
      <c r="C2" s="112"/>
      <c r="D2" s="112"/>
    </row>
    <row r="3" spans="1:23" ht="15.75" thickBot="1" x14ac:dyDescent="0.25">
      <c r="B3" s="60" t="s">
        <v>62</v>
      </c>
      <c r="C3" s="60" t="s">
        <v>68</v>
      </c>
      <c r="D3" s="60" t="s">
        <v>70</v>
      </c>
    </row>
    <row r="4" spans="1:23" ht="15.75" x14ac:dyDescent="0.25">
      <c r="A4" s="61">
        <v>1998</v>
      </c>
      <c r="B4" s="62">
        <f t="array" ref="B4:B20">TRANSPOSE(G15:W15)</f>
        <v>1</v>
      </c>
      <c r="C4" s="62">
        <f t="array" ref="C4:C20">TRANSPOSE(G28:W28)</f>
        <v>1</v>
      </c>
      <c r="D4" s="62">
        <f t="array" ref="D4:D20">TRANSPOSE(G42:W42)</f>
        <v>1</v>
      </c>
      <c r="F4" s="63" t="s">
        <v>61</v>
      </c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</row>
    <row r="5" spans="1:23" ht="15.75" x14ac:dyDescent="0.25">
      <c r="A5" s="61">
        <v>1999</v>
      </c>
      <c r="B5" s="62">
        <v>0.75616235164100543</v>
      </c>
      <c r="C5" s="62">
        <v>0.72891099697004069</v>
      </c>
      <c r="D5" s="62">
        <v>2.5327246311761025</v>
      </c>
      <c r="F5" s="63" t="s">
        <v>62</v>
      </c>
      <c r="G5" s="65">
        <v>1998</v>
      </c>
      <c r="H5" s="65">
        <v>1999</v>
      </c>
      <c r="I5" s="65">
        <v>2000</v>
      </c>
      <c r="J5" s="65">
        <v>2001</v>
      </c>
      <c r="K5" s="65">
        <v>2002</v>
      </c>
      <c r="L5" s="65">
        <v>2003</v>
      </c>
      <c r="M5" s="65">
        <v>2004</v>
      </c>
      <c r="N5" s="65">
        <v>2005</v>
      </c>
      <c r="O5" s="65">
        <v>2006</v>
      </c>
      <c r="P5" s="65">
        <v>2007</v>
      </c>
      <c r="Q5" s="65">
        <v>2008</v>
      </c>
      <c r="R5" s="65">
        <v>2009</v>
      </c>
      <c r="S5" s="65">
        <v>2010</v>
      </c>
      <c r="T5" s="65">
        <v>2011</v>
      </c>
      <c r="U5" s="65">
        <v>2012</v>
      </c>
      <c r="V5" s="65">
        <v>2013</v>
      </c>
      <c r="W5" s="65">
        <v>2014</v>
      </c>
    </row>
    <row r="6" spans="1:23" ht="15.75" x14ac:dyDescent="0.25">
      <c r="A6" s="61">
        <v>2000</v>
      </c>
      <c r="B6" s="62">
        <v>0.74483400467564675</v>
      </c>
      <c r="C6" s="62">
        <v>0.71602259034385141</v>
      </c>
      <c r="D6" s="62">
        <v>2.8005220821866033</v>
      </c>
      <c r="F6" s="59" t="s">
        <v>67</v>
      </c>
      <c r="G6" s="82">
        <f>'PG&amp;E'!B4</f>
        <v>77143</v>
      </c>
      <c r="H6" s="82">
        <f>'PG&amp;E'!C4</f>
        <v>77453</v>
      </c>
      <c r="I6" s="82">
        <f>'PG&amp;E'!D4</f>
        <v>78631</v>
      </c>
      <c r="J6" s="82">
        <f>'PG&amp;E'!E4</f>
        <v>81991</v>
      </c>
      <c r="K6" s="64">
        <f>J6*(1+$G7)</f>
        <v>83466.838000000003</v>
      </c>
      <c r="L6" s="64">
        <f t="shared" ref="L6:W6" si="0">K6*(1+$G7)</f>
        <v>84969.241084000008</v>
      </c>
      <c r="M6" s="64">
        <f t="shared" si="0"/>
        <v>86498.687423512005</v>
      </c>
      <c r="N6" s="64">
        <f t="shared" si="0"/>
        <v>88055.663797135217</v>
      </c>
      <c r="O6" s="64">
        <f t="shared" si="0"/>
        <v>89640.665745483653</v>
      </c>
      <c r="P6" s="64">
        <f t="shared" si="0"/>
        <v>91254.197728902363</v>
      </c>
      <c r="Q6" s="64">
        <f t="shared" si="0"/>
        <v>92896.77328802261</v>
      </c>
      <c r="R6" s="64">
        <f t="shared" si="0"/>
        <v>94568.915207207014</v>
      </c>
      <c r="S6" s="64">
        <f t="shared" si="0"/>
        <v>96271.155680936747</v>
      </c>
      <c r="T6" s="64">
        <f t="shared" si="0"/>
        <v>98004.036483193617</v>
      </c>
      <c r="U6" s="64">
        <f t="shared" si="0"/>
        <v>99768.109139891108</v>
      </c>
      <c r="V6" s="64">
        <f t="shared" si="0"/>
        <v>101563.93510440915</v>
      </c>
      <c r="W6" s="64">
        <f t="shared" si="0"/>
        <v>103392.08593628851</v>
      </c>
    </row>
    <row r="7" spans="1:23" ht="15.75" x14ac:dyDescent="0.25">
      <c r="A7" s="61">
        <v>2001</v>
      </c>
      <c r="B7" s="62">
        <v>2.6586339783370128</v>
      </c>
      <c r="C7" s="62">
        <v>3.54914680253051</v>
      </c>
      <c r="D7" s="62">
        <v>2.4249063913726507</v>
      </c>
      <c r="F7" s="59" t="s">
        <v>74</v>
      </c>
      <c r="G7" s="67">
        <v>1.7999999999999999E-2</v>
      </c>
    </row>
    <row r="8" spans="1:23" ht="15.75" x14ac:dyDescent="0.25">
      <c r="A8" s="61">
        <v>2002</v>
      </c>
      <c r="B8" s="62">
        <v>2.4635382180062626</v>
      </c>
      <c r="C8" s="62">
        <v>2.650176698136919</v>
      </c>
      <c r="D8" s="62">
        <v>1.0083826447478419</v>
      </c>
    </row>
    <row r="9" spans="1:23" ht="15.75" x14ac:dyDescent="0.25">
      <c r="A9" s="61">
        <v>2003</v>
      </c>
      <c r="B9" s="62">
        <v>2.4207753968933816</v>
      </c>
      <c r="C9" s="62">
        <v>2.6133243848566665</v>
      </c>
      <c r="D9" s="62">
        <v>0.75855750860018989</v>
      </c>
      <c r="F9" s="68" t="s">
        <v>16</v>
      </c>
      <c r="G9" s="82">
        <f>'PG&amp;E'!B18</f>
        <v>34840</v>
      </c>
      <c r="H9" s="82">
        <f>'PG&amp;E'!C18</f>
        <v>32763</v>
      </c>
      <c r="I9" s="82">
        <f>'PG&amp;E'!D18</f>
        <v>32763</v>
      </c>
      <c r="J9" s="82">
        <f>'PG&amp;E'!E18</f>
        <v>33163</v>
      </c>
      <c r="K9" s="78">
        <f>J9</f>
        <v>33163</v>
      </c>
      <c r="L9" s="78">
        <f t="shared" ref="L9:W9" si="1">K9</f>
        <v>33163</v>
      </c>
      <c r="M9" s="78">
        <f t="shared" si="1"/>
        <v>33163</v>
      </c>
      <c r="N9" s="78">
        <f t="shared" si="1"/>
        <v>33163</v>
      </c>
      <c r="O9" s="78">
        <f t="shared" si="1"/>
        <v>33163</v>
      </c>
      <c r="P9" s="78">
        <f t="shared" si="1"/>
        <v>33163</v>
      </c>
      <c r="Q9" s="78">
        <f t="shared" si="1"/>
        <v>33163</v>
      </c>
      <c r="R9" s="78">
        <f t="shared" si="1"/>
        <v>33163</v>
      </c>
      <c r="S9" s="78">
        <f t="shared" si="1"/>
        <v>33163</v>
      </c>
      <c r="T9" s="78">
        <f t="shared" si="1"/>
        <v>33163</v>
      </c>
      <c r="U9" s="78">
        <f t="shared" si="1"/>
        <v>33163</v>
      </c>
      <c r="V9" s="78">
        <f t="shared" si="1"/>
        <v>33163</v>
      </c>
      <c r="W9" s="78">
        <f t="shared" si="1"/>
        <v>33163</v>
      </c>
    </row>
    <row r="10" spans="1:23" ht="15.75" x14ac:dyDescent="0.25">
      <c r="A10" s="61">
        <v>2004</v>
      </c>
      <c r="B10" s="62">
        <v>2.35573295796515</v>
      </c>
      <c r="C10" s="62">
        <v>2.5627480161024216</v>
      </c>
      <c r="D10" s="62">
        <v>0.75855750860018967</v>
      </c>
      <c r="F10" s="59" t="s">
        <v>17</v>
      </c>
      <c r="G10" s="82">
        <f>'PG&amp;E'!B20</f>
        <v>272844</v>
      </c>
      <c r="H10" s="82">
        <f>'PG&amp;E'!C20</f>
        <v>200831</v>
      </c>
      <c r="I10" s="82">
        <f>'PG&amp;E'!D20</f>
        <v>200831</v>
      </c>
      <c r="J10" s="66">
        <v>265446</v>
      </c>
      <c r="K10" s="69">
        <f>J10*(1+$G$7)</f>
        <v>270224.02799999999</v>
      </c>
      <c r="L10" s="69">
        <f t="shared" ref="L10:W10" si="2">K10*(1+$G$7)</f>
        <v>275088.06050399999</v>
      </c>
      <c r="M10" s="69">
        <f t="shared" si="2"/>
        <v>280039.645593072</v>
      </c>
      <c r="N10" s="69">
        <f t="shared" si="2"/>
        <v>285080.35921374732</v>
      </c>
      <c r="O10" s="69">
        <f t="shared" si="2"/>
        <v>290211.80567959475</v>
      </c>
      <c r="P10" s="69">
        <f t="shared" si="2"/>
        <v>295435.61818182748</v>
      </c>
      <c r="Q10" s="69">
        <f t="shared" si="2"/>
        <v>300753.45930910041</v>
      </c>
      <c r="R10" s="69">
        <f t="shared" si="2"/>
        <v>306167.02157666424</v>
      </c>
      <c r="S10" s="69">
        <f t="shared" si="2"/>
        <v>311678.0279650442</v>
      </c>
      <c r="T10" s="69">
        <f t="shared" si="2"/>
        <v>317288.23246841499</v>
      </c>
      <c r="U10" s="69">
        <f t="shared" si="2"/>
        <v>322999.42065284646</v>
      </c>
      <c r="V10" s="69">
        <f t="shared" si="2"/>
        <v>328813.41022459773</v>
      </c>
      <c r="W10" s="69">
        <f t="shared" si="2"/>
        <v>334732.05160864047</v>
      </c>
    </row>
    <row r="11" spans="1:23" ht="15.75" x14ac:dyDescent="0.25">
      <c r="A11" s="61">
        <v>2005</v>
      </c>
      <c r="B11" s="62">
        <v>2.3056649185054714</v>
      </c>
      <c r="C11" s="62">
        <v>2.4411404158985444</v>
      </c>
      <c r="D11" s="62">
        <v>1.2693115655901603</v>
      </c>
      <c r="F11" s="59" t="s">
        <v>21</v>
      </c>
      <c r="J11" s="82">
        <f>'PG&amp;E'!E25</f>
        <v>570818</v>
      </c>
      <c r="K11" s="82">
        <f>'PG&amp;E'!F25</f>
        <v>516741</v>
      </c>
      <c r="L11" s="82">
        <f>'PG&amp;E'!G25</f>
        <v>512147</v>
      </c>
      <c r="M11" s="82">
        <f>'PG&amp;E'!H25</f>
        <v>499523</v>
      </c>
      <c r="N11" s="82">
        <f>'PG&amp;E'!I25</f>
        <v>491527</v>
      </c>
      <c r="O11" s="82">
        <f>'PG&amp;E'!J25</f>
        <v>489423</v>
      </c>
      <c r="P11" s="82">
        <f>'PG&amp;E'!K25</f>
        <v>464534</v>
      </c>
      <c r="Q11" s="82">
        <f>'PG&amp;E'!L25</f>
        <v>451655</v>
      </c>
      <c r="R11" s="82">
        <f>'PG&amp;E'!M25</f>
        <v>427571</v>
      </c>
      <c r="S11" s="82">
        <f>'PG&amp;E'!N25</f>
        <v>408113</v>
      </c>
      <c r="T11" s="82">
        <f>'PG&amp;E'!O25</f>
        <v>397277</v>
      </c>
      <c r="U11" s="82">
        <f>'PG&amp;E'!P25</f>
        <v>379678</v>
      </c>
      <c r="V11" s="82">
        <f>'PG&amp;E'!Q25</f>
        <v>371134</v>
      </c>
      <c r="W11" s="82">
        <f>'PG&amp;E'!R25</f>
        <v>352127</v>
      </c>
    </row>
    <row r="12" spans="1:23" ht="15.75" x14ac:dyDescent="0.25">
      <c r="A12" s="61">
        <v>2006</v>
      </c>
      <c r="B12" s="62">
        <v>2.273364428700698</v>
      </c>
      <c r="C12" s="62">
        <v>2.3464564049541141</v>
      </c>
      <c r="D12" s="62">
        <v>1.2882908556416277</v>
      </c>
      <c r="F12" s="59" t="s">
        <v>63</v>
      </c>
      <c r="K12" s="66">
        <v>0</v>
      </c>
      <c r="L12" s="59">
        <f t="shared" ref="L12:W12" si="3">K12</f>
        <v>0</v>
      </c>
      <c r="M12" s="59">
        <f t="shared" si="3"/>
        <v>0</v>
      </c>
      <c r="N12" s="59">
        <f t="shared" si="3"/>
        <v>0</v>
      </c>
      <c r="O12" s="59">
        <f t="shared" si="3"/>
        <v>0</v>
      </c>
      <c r="P12" s="59">
        <f t="shared" si="3"/>
        <v>0</v>
      </c>
      <c r="Q12" s="59">
        <f t="shared" si="3"/>
        <v>0</v>
      </c>
      <c r="R12" s="59">
        <f t="shared" si="3"/>
        <v>0</v>
      </c>
      <c r="S12" s="59">
        <f t="shared" si="3"/>
        <v>0</v>
      </c>
      <c r="T12" s="59">
        <f t="shared" si="3"/>
        <v>0</v>
      </c>
      <c r="U12" s="59">
        <f t="shared" si="3"/>
        <v>0</v>
      </c>
      <c r="V12" s="59">
        <f t="shared" si="3"/>
        <v>0</v>
      </c>
      <c r="W12" s="59">
        <f t="shared" si="3"/>
        <v>0</v>
      </c>
    </row>
    <row r="13" spans="1:23" ht="15.75" x14ac:dyDescent="0.25">
      <c r="A13" s="61">
        <v>2007</v>
      </c>
      <c r="B13" s="62">
        <v>2.1791371808590236</v>
      </c>
      <c r="C13" s="62">
        <v>2.3148760558997235</v>
      </c>
      <c r="D13" s="62">
        <v>1.3068424391007289</v>
      </c>
      <c r="F13" s="59" t="s">
        <v>64</v>
      </c>
      <c r="G13" s="71">
        <f t="shared" ref="G13:W13" si="4">SUM(G9:G12)</f>
        <v>307684</v>
      </c>
      <c r="H13" s="71">
        <f t="shared" si="4"/>
        <v>233594</v>
      </c>
      <c r="I13" s="71">
        <f t="shared" si="4"/>
        <v>233594</v>
      </c>
      <c r="J13" s="71">
        <f t="shared" si="4"/>
        <v>869427</v>
      </c>
      <c r="K13" s="71">
        <f t="shared" si="4"/>
        <v>820128.02799999993</v>
      </c>
      <c r="L13" s="71">
        <f t="shared" si="4"/>
        <v>820398.06050399994</v>
      </c>
      <c r="M13" s="71">
        <f t="shared" si="4"/>
        <v>812725.64559307205</v>
      </c>
      <c r="N13" s="71">
        <f t="shared" si="4"/>
        <v>809770.35921374732</v>
      </c>
      <c r="O13" s="71">
        <f t="shared" si="4"/>
        <v>812797.80567959475</v>
      </c>
      <c r="P13" s="71">
        <f t="shared" si="4"/>
        <v>793132.61818182748</v>
      </c>
      <c r="Q13" s="71">
        <f t="shared" si="4"/>
        <v>785571.45930910041</v>
      </c>
      <c r="R13" s="71">
        <f t="shared" si="4"/>
        <v>766901.02157666418</v>
      </c>
      <c r="S13" s="71">
        <f t="shared" si="4"/>
        <v>752954.02796504414</v>
      </c>
      <c r="T13" s="71">
        <f t="shared" si="4"/>
        <v>747728.23246841505</v>
      </c>
      <c r="U13" s="71">
        <f t="shared" si="4"/>
        <v>735840.42065284646</v>
      </c>
      <c r="V13" s="71">
        <f t="shared" si="4"/>
        <v>733110.41022459767</v>
      </c>
      <c r="W13" s="71">
        <f t="shared" si="4"/>
        <v>720022.05160864047</v>
      </c>
    </row>
    <row r="14" spans="1:23" ht="15.75" x14ac:dyDescent="0.25">
      <c r="A14" s="61">
        <v>2008</v>
      </c>
      <c r="B14" s="62">
        <v>2.120199259539826</v>
      </c>
      <c r="C14" s="62">
        <v>1.9428356322301141</v>
      </c>
      <c r="D14" s="62">
        <v>1.316948927765335</v>
      </c>
      <c r="F14" s="59" t="s">
        <v>65</v>
      </c>
      <c r="G14" s="62">
        <f t="shared" ref="G14:W14" si="5">G13/G6</f>
        <v>3.9884889102057217</v>
      </c>
      <c r="H14" s="62">
        <f t="shared" si="5"/>
        <v>3.0159451538352293</v>
      </c>
      <c r="I14" s="62">
        <f t="shared" si="5"/>
        <v>2.9707621675929339</v>
      </c>
      <c r="J14" s="62">
        <f t="shared" si="5"/>
        <v>10.603932138893294</v>
      </c>
      <c r="K14" s="62">
        <f t="shared" si="5"/>
        <v>9.8257948623859441</v>
      </c>
      <c r="L14" s="62">
        <f t="shared" si="5"/>
        <v>9.6552358246081074</v>
      </c>
      <c r="M14" s="62">
        <f t="shared" si="5"/>
        <v>9.3958147782501218</v>
      </c>
      <c r="N14" s="62">
        <f t="shared" si="5"/>
        <v>9.1961189581094516</v>
      </c>
      <c r="O14" s="62">
        <f t="shared" si="5"/>
        <v>9.0672888127289006</v>
      </c>
      <c r="P14" s="62">
        <f t="shared" si="5"/>
        <v>8.6914644796731757</v>
      </c>
      <c r="Q14" s="62">
        <f t="shared" si="5"/>
        <v>8.4563912341009786</v>
      </c>
      <c r="R14" s="62">
        <f t="shared" si="5"/>
        <v>8.109440823090031</v>
      </c>
      <c r="S14" s="62">
        <f t="shared" si="5"/>
        <v>7.8211799021141415</v>
      </c>
      <c r="T14" s="62">
        <f t="shared" si="5"/>
        <v>7.6295656719878107</v>
      </c>
      <c r="U14" s="62">
        <f t="shared" si="5"/>
        <v>7.3755073339224921</v>
      </c>
      <c r="V14" s="62">
        <f t="shared" si="5"/>
        <v>7.2182158900297626</v>
      </c>
      <c r="W14" s="62">
        <f t="shared" si="5"/>
        <v>6.9639957941493416</v>
      </c>
    </row>
    <row r="15" spans="1:23" ht="15.75" x14ac:dyDescent="0.25">
      <c r="A15" s="61">
        <v>2009</v>
      </c>
      <c r="B15" s="62">
        <v>2.0332113253065947</v>
      </c>
      <c r="C15" s="62">
        <v>1.817021554978284</v>
      </c>
      <c r="D15" s="62">
        <v>1.3114520762327766</v>
      </c>
      <c r="F15" s="59" t="s">
        <v>66</v>
      </c>
      <c r="G15" s="62">
        <f t="shared" ref="G15:W15" si="6">G14/$G14</f>
        <v>1</v>
      </c>
      <c r="H15" s="62">
        <f t="shared" si="6"/>
        <v>0.75616235164100543</v>
      </c>
      <c r="I15" s="62">
        <f t="shared" si="6"/>
        <v>0.74483400467564675</v>
      </c>
      <c r="J15" s="62">
        <f t="shared" si="6"/>
        <v>2.6586339783370128</v>
      </c>
      <c r="K15" s="62">
        <f t="shared" si="6"/>
        <v>2.4635382180062626</v>
      </c>
      <c r="L15" s="62">
        <f t="shared" si="6"/>
        <v>2.4207753968933816</v>
      </c>
      <c r="M15" s="62">
        <f t="shared" si="6"/>
        <v>2.35573295796515</v>
      </c>
      <c r="N15" s="62">
        <f t="shared" si="6"/>
        <v>2.3056649185054714</v>
      </c>
      <c r="O15" s="62">
        <f t="shared" si="6"/>
        <v>2.273364428700698</v>
      </c>
      <c r="P15" s="62">
        <f t="shared" si="6"/>
        <v>2.1791371808590236</v>
      </c>
      <c r="Q15" s="62">
        <f t="shared" si="6"/>
        <v>2.120199259539826</v>
      </c>
      <c r="R15" s="62">
        <f t="shared" si="6"/>
        <v>2.0332113253065947</v>
      </c>
      <c r="S15" s="62">
        <f t="shared" si="6"/>
        <v>1.9609381091925198</v>
      </c>
      <c r="T15" s="62">
        <f t="shared" si="6"/>
        <v>1.9128962982610591</v>
      </c>
      <c r="U15" s="62">
        <f t="shared" si="6"/>
        <v>1.8491984057044981</v>
      </c>
      <c r="V15" s="62">
        <f t="shared" si="6"/>
        <v>1.8097620558903484</v>
      </c>
      <c r="W15" s="62">
        <f t="shared" si="6"/>
        <v>1.7460236071685973</v>
      </c>
    </row>
    <row r="16" spans="1:23" ht="15.75" x14ac:dyDescent="0.25">
      <c r="A16" s="61">
        <v>2010</v>
      </c>
      <c r="B16" s="62">
        <v>1.9609381091925198</v>
      </c>
      <c r="C16" s="62">
        <v>1.7198978804748357</v>
      </c>
      <c r="D16" s="62">
        <v>1.3016759443885855</v>
      </c>
      <c r="F16" s="59" t="s">
        <v>73</v>
      </c>
      <c r="G16" s="72">
        <v>1</v>
      </c>
      <c r="H16" s="72">
        <v>0.75920099842695754</v>
      </c>
      <c r="I16" s="72">
        <v>0.75920099842695754</v>
      </c>
      <c r="J16" s="72">
        <v>2.6157096241598521</v>
      </c>
      <c r="K16" s="72">
        <v>2.4399546287749767</v>
      </c>
      <c r="L16" s="72">
        <v>2.425023725640592</v>
      </c>
      <c r="M16" s="72">
        <v>2.3839946178546816</v>
      </c>
      <c r="N16" s="72">
        <v>2.3580069161867367</v>
      </c>
      <c r="O16" s="72">
        <v>2.3511687315557515</v>
      </c>
      <c r="P16" s="72">
        <v>2.2702772974870316</v>
      </c>
      <c r="Q16" s="72">
        <v>2.2284194173242673</v>
      </c>
      <c r="R16" s="72">
        <v>2.1501443038962047</v>
      </c>
      <c r="S16" s="72">
        <v>2.0869040964106027</v>
      </c>
      <c r="T16" s="72">
        <v>2.0516861455259288</v>
      </c>
      <c r="U16" s="72">
        <v>1.9944878511719812</v>
      </c>
      <c r="V16" s="72">
        <v>1.9667191014157377</v>
      </c>
      <c r="W16" s="72">
        <v>1.9049446835064543</v>
      </c>
    </row>
    <row r="17" spans="1:23" ht="16.5" thickBot="1" x14ac:dyDescent="0.3">
      <c r="A17" s="61">
        <v>2011</v>
      </c>
      <c r="B17" s="62">
        <v>1.9128962982610591</v>
      </c>
      <c r="C17" s="62">
        <v>1.6769307718188189</v>
      </c>
      <c r="D17" s="62">
        <v>1.2892572880120043</v>
      </c>
      <c r="F17" s="73"/>
      <c r="G17" s="73"/>
      <c r="H17" s="73"/>
      <c r="I17" s="73"/>
      <c r="J17" s="73"/>
      <c r="K17" s="73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</row>
    <row r="18" spans="1:23" ht="15.75" x14ac:dyDescent="0.25">
      <c r="A18" s="61">
        <v>2012</v>
      </c>
      <c r="B18" s="62">
        <v>1.8491984057044981</v>
      </c>
      <c r="C18" s="62">
        <v>1.6416163173615319</v>
      </c>
      <c r="D18" s="62">
        <v>1.2798735983956853</v>
      </c>
      <c r="F18" s="63" t="s">
        <v>68</v>
      </c>
      <c r="G18" s="65">
        <v>1998</v>
      </c>
      <c r="H18" s="65">
        <v>1999</v>
      </c>
      <c r="I18" s="65">
        <v>2000</v>
      </c>
      <c r="J18" s="65">
        <v>2001</v>
      </c>
      <c r="K18" s="65">
        <v>2002</v>
      </c>
      <c r="L18" s="65">
        <v>2003</v>
      </c>
      <c r="M18" s="65">
        <v>2004</v>
      </c>
      <c r="N18" s="65">
        <v>2005</v>
      </c>
      <c r="O18" s="65">
        <v>2006</v>
      </c>
      <c r="P18" s="65">
        <v>2007</v>
      </c>
      <c r="Q18" s="65">
        <v>2008</v>
      </c>
      <c r="R18" s="65">
        <v>2009</v>
      </c>
      <c r="S18" s="65">
        <v>2010</v>
      </c>
      <c r="T18" s="65">
        <v>2011</v>
      </c>
      <c r="U18" s="65">
        <v>2012</v>
      </c>
      <c r="V18" s="65">
        <v>2013</v>
      </c>
      <c r="W18" s="65">
        <v>2014</v>
      </c>
    </row>
    <row r="19" spans="1:23" ht="15.75" x14ac:dyDescent="0.25">
      <c r="A19" s="61">
        <v>2013</v>
      </c>
      <c r="B19" s="62">
        <v>1.8097620558903484</v>
      </c>
      <c r="C19" s="62">
        <v>1.6104825520002479</v>
      </c>
      <c r="D19" s="62">
        <v>1.2706558286350578</v>
      </c>
      <c r="F19" s="59" t="s">
        <v>67</v>
      </c>
      <c r="G19" s="82">
        <f>SCE!B4</f>
        <v>77300</v>
      </c>
      <c r="H19" s="82">
        <f>SCE!C4</f>
        <v>77300</v>
      </c>
      <c r="I19" s="82">
        <f>SCE!D4</f>
        <v>78691.399999999994</v>
      </c>
      <c r="J19" s="82">
        <f>SCE!E4</f>
        <v>80107.845199999996</v>
      </c>
      <c r="K19" s="81">
        <f t="shared" ref="K19:W19" si="7">J19*(1+$G20)</f>
        <v>81549.786413599999</v>
      </c>
      <c r="L19" s="81">
        <f t="shared" si="7"/>
        <v>83017.682569044802</v>
      </c>
      <c r="M19" s="81">
        <f t="shared" si="7"/>
        <v>84512.00085528761</v>
      </c>
      <c r="N19" s="81">
        <f t="shared" si="7"/>
        <v>86033.216870682794</v>
      </c>
      <c r="O19" s="81">
        <f t="shared" si="7"/>
        <v>87581.81477435508</v>
      </c>
      <c r="P19" s="81">
        <f t="shared" si="7"/>
        <v>89158.287440293469</v>
      </c>
      <c r="Q19" s="81">
        <f t="shared" si="7"/>
        <v>90763.136614218747</v>
      </c>
      <c r="R19" s="81">
        <f t="shared" si="7"/>
        <v>92396.873073274692</v>
      </c>
      <c r="S19" s="81">
        <f t="shared" si="7"/>
        <v>94060.016788593639</v>
      </c>
      <c r="T19" s="81">
        <f t="shared" si="7"/>
        <v>95753.097090788331</v>
      </c>
      <c r="U19" s="81">
        <f t="shared" si="7"/>
        <v>97476.652838422524</v>
      </c>
      <c r="V19" s="81">
        <f t="shared" si="7"/>
        <v>99231.232589514126</v>
      </c>
      <c r="W19" s="81">
        <f t="shared" si="7"/>
        <v>101017.39477612538</v>
      </c>
    </row>
    <row r="20" spans="1:23" ht="15.75" x14ac:dyDescent="0.25">
      <c r="A20" s="61">
        <v>2014</v>
      </c>
      <c r="B20" s="62">
        <v>1.7460236071685973</v>
      </c>
      <c r="C20" s="62">
        <v>1.5889240558234043</v>
      </c>
      <c r="D20" s="62">
        <v>0.97205078663945843</v>
      </c>
      <c r="G20" s="75">
        <f>G7</f>
        <v>1.7999999999999999E-2</v>
      </c>
    </row>
    <row r="22" spans="1:23" x14ac:dyDescent="0.2">
      <c r="F22" s="68" t="s">
        <v>16</v>
      </c>
      <c r="G22" s="82">
        <f>SCE!B24</f>
        <v>123201</v>
      </c>
      <c r="H22" s="82">
        <f>SCE!C24</f>
        <v>43936</v>
      </c>
      <c r="I22" s="78">
        <f>H22</f>
        <v>43936</v>
      </c>
      <c r="J22" s="78">
        <f>I22</f>
        <v>43936</v>
      </c>
      <c r="K22" s="78">
        <f>J22</f>
        <v>43936</v>
      </c>
      <c r="L22" s="78">
        <f t="shared" ref="L22:W22" si="8">K22</f>
        <v>43936</v>
      </c>
      <c r="M22" s="78">
        <f t="shared" si="8"/>
        <v>43936</v>
      </c>
      <c r="N22" s="78">
        <f t="shared" si="8"/>
        <v>43936</v>
      </c>
      <c r="O22" s="78">
        <f t="shared" si="8"/>
        <v>43936</v>
      </c>
      <c r="P22" s="78">
        <f t="shared" si="8"/>
        <v>43936</v>
      </c>
      <c r="Q22" s="78">
        <f t="shared" si="8"/>
        <v>43936</v>
      </c>
      <c r="R22" s="78">
        <f t="shared" si="8"/>
        <v>43936</v>
      </c>
      <c r="S22" s="78">
        <f t="shared" si="8"/>
        <v>43936</v>
      </c>
      <c r="T22" s="78">
        <f t="shared" si="8"/>
        <v>43936</v>
      </c>
      <c r="U22" s="78">
        <f t="shared" si="8"/>
        <v>43936</v>
      </c>
      <c r="V22" s="78">
        <f t="shared" si="8"/>
        <v>43936</v>
      </c>
      <c r="W22" s="78">
        <f t="shared" si="8"/>
        <v>43936</v>
      </c>
    </row>
    <row r="23" spans="1:23" x14ac:dyDescent="0.2">
      <c r="F23" s="59" t="s">
        <v>17</v>
      </c>
      <c r="G23" s="82">
        <f>SCE!B37</f>
        <v>185384</v>
      </c>
      <c r="H23" s="82">
        <f>SCE!C37</f>
        <v>180995</v>
      </c>
      <c r="I23" s="78">
        <f>H23</f>
        <v>180995</v>
      </c>
      <c r="J23" s="78">
        <f>I23</f>
        <v>180995</v>
      </c>
      <c r="K23" s="69">
        <f>J23*(1+$G$20)</f>
        <v>184252.91</v>
      </c>
      <c r="L23" s="69">
        <f t="shared" ref="L23:W23" si="9">K23*(1+$G$20)</f>
        <v>187569.46238000001</v>
      </c>
      <c r="M23" s="69">
        <f t="shared" si="9"/>
        <v>190945.71270284001</v>
      </c>
      <c r="N23" s="69">
        <f t="shared" si="9"/>
        <v>194382.73553149114</v>
      </c>
      <c r="O23" s="69">
        <f t="shared" si="9"/>
        <v>197881.62477105798</v>
      </c>
      <c r="P23" s="69">
        <f t="shared" si="9"/>
        <v>201443.49401693704</v>
      </c>
      <c r="Q23" s="69">
        <f t="shared" si="9"/>
        <v>205069.4769092419</v>
      </c>
      <c r="R23" s="69">
        <f t="shared" si="9"/>
        <v>208760.72749360825</v>
      </c>
      <c r="S23" s="69">
        <f t="shared" si="9"/>
        <v>212518.4205884932</v>
      </c>
      <c r="T23" s="69">
        <f t="shared" si="9"/>
        <v>216343.75215908609</v>
      </c>
      <c r="U23" s="69">
        <f t="shared" si="9"/>
        <v>220237.93969794965</v>
      </c>
      <c r="V23" s="69">
        <f t="shared" si="9"/>
        <v>224202.22261251276</v>
      </c>
      <c r="W23" s="69">
        <f t="shared" si="9"/>
        <v>228237.86261953801</v>
      </c>
    </row>
    <row r="24" spans="1:23" x14ac:dyDescent="0.2">
      <c r="F24" s="59" t="s">
        <v>69</v>
      </c>
      <c r="J24" s="82">
        <f>SCE!E45</f>
        <v>910065</v>
      </c>
      <c r="K24" s="82">
        <f>SCE!F45</f>
        <v>634577</v>
      </c>
      <c r="L24" s="82">
        <f>SCE!G45</f>
        <v>634577</v>
      </c>
      <c r="M24" s="82">
        <f>SCE!H45</f>
        <v>629727</v>
      </c>
      <c r="N24" s="82">
        <f>SCE!I45</f>
        <v>600087</v>
      </c>
      <c r="O24" s="82">
        <f>SCE!J45</f>
        <v>578575</v>
      </c>
      <c r="P24" s="82">
        <f>SCE!K45</f>
        <v>578540</v>
      </c>
      <c r="Q24" s="82">
        <f>SCE!L45</f>
        <v>454943</v>
      </c>
      <c r="R24" s="82">
        <f>SCE!M45</f>
        <v>417516</v>
      </c>
      <c r="S24" s="82">
        <f>SCE!N45</f>
        <v>389353</v>
      </c>
      <c r="T24" s="82">
        <f>SCE!O45</f>
        <v>380728</v>
      </c>
      <c r="U24" s="82">
        <f>SCE!P45</f>
        <v>374630</v>
      </c>
      <c r="V24" s="82">
        <f>SCE!Q45</f>
        <v>369831</v>
      </c>
      <c r="W24" s="82">
        <f>SCE!R45</f>
        <v>368585</v>
      </c>
    </row>
    <row r="25" spans="1:23" x14ac:dyDescent="0.2">
      <c r="F25" s="59" t="s">
        <v>63</v>
      </c>
      <c r="K25" s="66">
        <v>0</v>
      </c>
      <c r="L25" s="59">
        <f t="shared" ref="L25:W25" si="10">K25</f>
        <v>0</v>
      </c>
      <c r="M25" s="59">
        <f t="shared" si="10"/>
        <v>0</v>
      </c>
      <c r="N25" s="59">
        <f t="shared" si="10"/>
        <v>0</v>
      </c>
      <c r="O25" s="59">
        <f t="shared" si="10"/>
        <v>0</v>
      </c>
      <c r="P25" s="59">
        <f t="shared" si="10"/>
        <v>0</v>
      </c>
      <c r="Q25" s="59">
        <f t="shared" si="10"/>
        <v>0</v>
      </c>
      <c r="R25" s="59">
        <f t="shared" si="10"/>
        <v>0</v>
      </c>
      <c r="S25" s="59">
        <f t="shared" si="10"/>
        <v>0</v>
      </c>
      <c r="T25" s="59">
        <f t="shared" si="10"/>
        <v>0</v>
      </c>
      <c r="U25" s="59">
        <f t="shared" si="10"/>
        <v>0</v>
      </c>
      <c r="V25" s="59">
        <f t="shared" si="10"/>
        <v>0</v>
      </c>
      <c r="W25" s="59">
        <f t="shared" si="10"/>
        <v>0</v>
      </c>
    </row>
    <row r="26" spans="1:23" x14ac:dyDescent="0.2">
      <c r="F26" s="59" t="s">
        <v>64</v>
      </c>
      <c r="G26" s="71">
        <f t="shared" ref="G26:W26" si="11">SUM(G22:G25)</f>
        <v>308585</v>
      </c>
      <c r="H26" s="71">
        <f t="shared" si="11"/>
        <v>224931</v>
      </c>
      <c r="I26" s="71">
        <f t="shared" si="11"/>
        <v>224931</v>
      </c>
      <c r="J26" s="71">
        <f t="shared" si="11"/>
        <v>1134996</v>
      </c>
      <c r="K26" s="71">
        <f t="shared" si="11"/>
        <v>862765.91</v>
      </c>
      <c r="L26" s="71">
        <f t="shared" si="11"/>
        <v>866082.46238000004</v>
      </c>
      <c r="M26" s="71">
        <f t="shared" si="11"/>
        <v>864608.71270283998</v>
      </c>
      <c r="N26" s="71">
        <f t="shared" si="11"/>
        <v>838405.73553149111</v>
      </c>
      <c r="O26" s="71">
        <f t="shared" si="11"/>
        <v>820392.62477105798</v>
      </c>
      <c r="P26" s="71">
        <f t="shared" si="11"/>
        <v>823919.49401693698</v>
      </c>
      <c r="Q26" s="71">
        <f t="shared" si="11"/>
        <v>703948.47690924187</v>
      </c>
      <c r="R26" s="71">
        <f t="shared" si="11"/>
        <v>670212.72749360825</v>
      </c>
      <c r="S26" s="71">
        <f t="shared" si="11"/>
        <v>645807.42058849323</v>
      </c>
      <c r="T26" s="71">
        <f t="shared" si="11"/>
        <v>641007.75215908606</v>
      </c>
      <c r="U26" s="71">
        <f t="shared" si="11"/>
        <v>638803.93969794968</v>
      </c>
      <c r="V26" s="71">
        <f t="shared" si="11"/>
        <v>637969.22261251276</v>
      </c>
      <c r="W26" s="71">
        <f t="shared" si="11"/>
        <v>640758.86261953798</v>
      </c>
    </row>
    <row r="27" spans="1:23" x14ac:dyDescent="0.2">
      <c r="F27" s="59" t="s">
        <v>65</v>
      </c>
      <c r="G27" s="62">
        <f t="shared" ref="G27:W27" si="12">G26/G19</f>
        <v>3.9920439844760671</v>
      </c>
      <c r="H27" s="62">
        <f t="shared" si="12"/>
        <v>2.9098447606727036</v>
      </c>
      <c r="I27" s="62">
        <f t="shared" si="12"/>
        <v>2.8583936745311433</v>
      </c>
      <c r="J27" s="62">
        <f t="shared" si="12"/>
        <v>14.168350143064391</v>
      </c>
      <c r="K27" s="62">
        <f t="shared" si="12"/>
        <v>10.579621945596134</v>
      </c>
      <c r="L27" s="62">
        <f t="shared" si="12"/>
        <v>10.432505890051674</v>
      </c>
      <c r="M27" s="62">
        <f t="shared" si="12"/>
        <v>10.230602801409647</v>
      </c>
      <c r="N27" s="62">
        <f t="shared" si="12"/>
        <v>9.7451399125491882</v>
      </c>
      <c r="O27" s="62">
        <f t="shared" si="12"/>
        <v>9.3671571762324106</v>
      </c>
      <c r="P27" s="62">
        <f t="shared" si="12"/>
        <v>9.2410870337621756</v>
      </c>
      <c r="Q27" s="62">
        <f t="shared" si="12"/>
        <v>7.755885298469984</v>
      </c>
      <c r="R27" s="62">
        <f t="shared" si="12"/>
        <v>7.2536299682144083</v>
      </c>
      <c r="S27" s="62">
        <f t="shared" si="12"/>
        <v>6.8659079876627054</v>
      </c>
      <c r="T27" s="62">
        <f t="shared" si="12"/>
        <v>6.6943814000221247</v>
      </c>
      <c r="U27" s="62">
        <f t="shared" si="12"/>
        <v>6.5534045445408582</v>
      </c>
      <c r="V27" s="62">
        <f t="shared" si="12"/>
        <v>6.4291171838162544</v>
      </c>
      <c r="W27" s="62">
        <f t="shared" si="12"/>
        <v>6.3430547188391362</v>
      </c>
    </row>
    <row r="28" spans="1:23" x14ac:dyDescent="0.2">
      <c r="F28" s="59" t="s">
        <v>66</v>
      </c>
      <c r="G28" s="62">
        <f t="shared" ref="G28:W28" si="13">G27/$G27</f>
        <v>1</v>
      </c>
      <c r="H28" s="62">
        <f t="shared" si="13"/>
        <v>0.72891099697004069</v>
      </c>
      <c r="I28" s="62">
        <f t="shared" si="13"/>
        <v>0.71602259034385141</v>
      </c>
      <c r="J28" s="62">
        <f t="shared" si="13"/>
        <v>3.54914680253051</v>
      </c>
      <c r="K28" s="62">
        <f t="shared" si="13"/>
        <v>2.650176698136919</v>
      </c>
      <c r="L28" s="62">
        <f t="shared" si="13"/>
        <v>2.6133243848566665</v>
      </c>
      <c r="M28" s="62">
        <f t="shared" si="13"/>
        <v>2.5627480161024216</v>
      </c>
      <c r="N28" s="62">
        <f t="shared" si="13"/>
        <v>2.4411404158985444</v>
      </c>
      <c r="O28" s="62">
        <f t="shared" si="13"/>
        <v>2.3464564049541141</v>
      </c>
      <c r="P28" s="62">
        <f t="shared" si="13"/>
        <v>2.3148760558997235</v>
      </c>
      <c r="Q28" s="62">
        <f t="shared" si="13"/>
        <v>1.9428356322301141</v>
      </c>
      <c r="R28" s="62">
        <f t="shared" si="13"/>
        <v>1.817021554978284</v>
      </c>
      <c r="S28" s="62">
        <f t="shared" si="13"/>
        <v>1.7198978804748357</v>
      </c>
      <c r="T28" s="62">
        <f t="shared" si="13"/>
        <v>1.6769307718188189</v>
      </c>
      <c r="U28" s="62">
        <f t="shared" si="13"/>
        <v>1.6416163173615319</v>
      </c>
      <c r="V28" s="62">
        <f t="shared" si="13"/>
        <v>1.6104825520002479</v>
      </c>
      <c r="W28" s="62">
        <f t="shared" si="13"/>
        <v>1.5889240558234043</v>
      </c>
    </row>
    <row r="29" spans="1:23" x14ac:dyDescent="0.2">
      <c r="F29" s="59" t="s">
        <v>73</v>
      </c>
      <c r="G29" s="72">
        <v>1</v>
      </c>
      <c r="H29" s="72">
        <v>0.72891099697004069</v>
      </c>
      <c r="I29" s="72">
        <v>0.72891099697004069</v>
      </c>
      <c r="J29" s="72">
        <v>3.6780660109856278</v>
      </c>
      <c r="K29" s="72">
        <v>2.7853200900886304</v>
      </c>
      <c r="L29" s="72">
        <v>2.7853200900886304</v>
      </c>
      <c r="M29" s="72">
        <v>2.769603188748643</v>
      </c>
      <c r="N29" s="72">
        <v>2.6735518576729262</v>
      </c>
      <c r="O29" s="72">
        <v>2.6038401088840999</v>
      </c>
      <c r="P29" s="72">
        <v>2.6037266879465948</v>
      </c>
      <c r="Q29" s="72">
        <v>2.2031984704376426</v>
      </c>
      <c r="R29" s="72">
        <v>2.0819126010661568</v>
      </c>
      <c r="S29" s="72">
        <v>1.990647633553154</v>
      </c>
      <c r="T29" s="72">
        <v>1.962697473953692</v>
      </c>
      <c r="U29" s="72">
        <v>1.9429363060420957</v>
      </c>
      <c r="V29" s="72">
        <v>1.9273846752110444</v>
      </c>
      <c r="W29" s="72">
        <v>1.9233468898358643</v>
      </c>
    </row>
    <row r="30" spans="1:23" ht="15.75" thickBot="1" x14ac:dyDescent="0.25">
      <c r="F30" s="73"/>
      <c r="G30" s="73"/>
      <c r="H30" s="73"/>
      <c r="I30" s="73"/>
      <c r="J30" s="73"/>
      <c r="K30" s="73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</row>
    <row r="31" spans="1:23" ht="15.75" x14ac:dyDescent="0.25">
      <c r="F31" s="63" t="s">
        <v>70</v>
      </c>
      <c r="G31" s="65">
        <v>1998</v>
      </c>
      <c r="H31" s="65">
        <v>1999</v>
      </c>
      <c r="I31" s="65">
        <v>2000</v>
      </c>
      <c r="J31" s="65">
        <v>2001</v>
      </c>
      <c r="K31" s="65">
        <v>2002</v>
      </c>
      <c r="L31" s="65">
        <v>2003</v>
      </c>
      <c r="M31" s="65">
        <v>2004</v>
      </c>
      <c r="N31" s="65">
        <v>2005</v>
      </c>
      <c r="O31" s="65">
        <v>2006</v>
      </c>
      <c r="P31" s="65">
        <v>2007</v>
      </c>
      <c r="Q31" s="65">
        <v>2008</v>
      </c>
      <c r="R31" s="65">
        <v>2009</v>
      </c>
      <c r="S31" s="65">
        <v>2010</v>
      </c>
      <c r="T31" s="65">
        <v>2011</v>
      </c>
      <c r="U31" s="65">
        <v>2012</v>
      </c>
      <c r="V31" s="65">
        <v>2013</v>
      </c>
      <c r="W31" s="65">
        <v>2014</v>
      </c>
    </row>
    <row r="32" spans="1:23" x14ac:dyDescent="0.2">
      <c r="F32" s="59" t="s">
        <v>67</v>
      </c>
      <c r="G32" s="70">
        <v>16729</v>
      </c>
      <c r="H32" s="70">
        <v>17270</v>
      </c>
      <c r="I32" s="70">
        <v>17615.400000000001</v>
      </c>
      <c r="J32" s="64">
        <f>I32</f>
        <v>17615.400000000001</v>
      </c>
      <c r="K32" s="64">
        <f t="shared" ref="K32:W32" si="14">J32*(1+$G33)</f>
        <v>17932.477200000001</v>
      </c>
      <c r="L32" s="64">
        <f t="shared" si="14"/>
        <v>18255.261789600001</v>
      </c>
      <c r="M32" s="64">
        <f t="shared" si="14"/>
        <v>18583.856501812803</v>
      </c>
      <c r="N32" s="64">
        <f t="shared" si="14"/>
        <v>18918.365918845433</v>
      </c>
      <c r="O32" s="64">
        <f t="shared" si="14"/>
        <v>19258.896505384651</v>
      </c>
      <c r="P32" s="64">
        <f t="shared" si="14"/>
        <v>19605.556642481577</v>
      </c>
      <c r="Q32" s="64">
        <f t="shared" si="14"/>
        <v>19958.456662046246</v>
      </c>
      <c r="R32" s="64">
        <f t="shared" si="14"/>
        <v>20317.708881963081</v>
      </c>
      <c r="S32" s="64">
        <f t="shared" si="14"/>
        <v>20683.427641838418</v>
      </c>
      <c r="T32" s="64">
        <f t="shared" si="14"/>
        <v>21055.72933939151</v>
      </c>
      <c r="U32" s="64">
        <f t="shared" si="14"/>
        <v>21434.732467500558</v>
      </c>
      <c r="V32" s="64">
        <f t="shared" si="14"/>
        <v>21820.557651915569</v>
      </c>
      <c r="W32" s="64">
        <f t="shared" si="14"/>
        <v>22213.32768965005</v>
      </c>
    </row>
    <row r="33" spans="6:23" x14ac:dyDescent="0.2">
      <c r="G33" s="75">
        <f>G7</f>
        <v>1.7999999999999999E-2</v>
      </c>
    </row>
    <row r="35" spans="6:23" x14ac:dyDescent="0.2">
      <c r="F35" s="68" t="s">
        <v>16</v>
      </c>
      <c r="G35" s="82">
        <f>'SDG&amp;E'!B21</f>
        <v>28196</v>
      </c>
      <c r="H35" s="82">
        <f>'SDG&amp;E'!C21</f>
        <v>11158</v>
      </c>
      <c r="I35" s="78">
        <f>H35</f>
        <v>11158</v>
      </c>
      <c r="J35" s="78">
        <f>I35</f>
        <v>11158</v>
      </c>
      <c r="K35" s="69">
        <f>J35*(1+$G$7)</f>
        <v>11358.844000000001</v>
      </c>
      <c r="L35" s="69">
        <f t="shared" ref="L35:W35" si="15">K35*(1+$G$7)</f>
        <v>11563.303192000001</v>
      </c>
      <c r="M35" s="69">
        <f t="shared" si="15"/>
        <v>11771.442649456001</v>
      </c>
      <c r="N35" s="69">
        <f t="shared" si="15"/>
        <v>11983.32861714621</v>
      </c>
      <c r="O35" s="69">
        <f t="shared" si="15"/>
        <v>12199.028532254841</v>
      </c>
      <c r="P35" s="69">
        <f t="shared" si="15"/>
        <v>12418.611045835429</v>
      </c>
      <c r="Q35" s="69">
        <f t="shared" si="15"/>
        <v>12642.146044660467</v>
      </c>
      <c r="R35" s="69">
        <f t="shared" si="15"/>
        <v>12869.704673464355</v>
      </c>
      <c r="S35" s="69">
        <f t="shared" si="15"/>
        <v>13101.359357586714</v>
      </c>
      <c r="T35" s="69">
        <f t="shared" si="15"/>
        <v>13337.183826023276</v>
      </c>
      <c r="U35" s="69">
        <f t="shared" si="15"/>
        <v>13577.253134891695</v>
      </c>
      <c r="V35" s="69">
        <f t="shared" si="15"/>
        <v>13821.643691319745</v>
      </c>
      <c r="W35" s="69">
        <f t="shared" si="15"/>
        <v>14070.433277763501</v>
      </c>
    </row>
    <row r="36" spans="6:23" x14ac:dyDescent="0.2">
      <c r="F36" s="59" t="s">
        <v>17</v>
      </c>
      <c r="G36" s="82">
        <f>'SDG&amp;E'!B23</f>
        <v>56465</v>
      </c>
      <c r="H36" s="82">
        <f>'SDG&amp;E'!C23</f>
        <v>56465</v>
      </c>
      <c r="I36" s="78">
        <f>H36</f>
        <v>56465</v>
      </c>
      <c r="J36" s="78">
        <f>I36</f>
        <v>56465</v>
      </c>
      <c r="K36" s="69">
        <f>J36*(1+$G$20)</f>
        <v>57481.37</v>
      </c>
      <c r="L36" s="69">
        <f t="shared" ref="L36:W36" si="16">K36*(1+$G$20)</f>
        <v>58516.034660000005</v>
      </c>
      <c r="M36" s="69">
        <f t="shared" si="16"/>
        <v>59569.323283880003</v>
      </c>
      <c r="N36" s="69">
        <f t="shared" si="16"/>
        <v>60641.571102989845</v>
      </c>
      <c r="O36" s="69">
        <f t="shared" si="16"/>
        <v>61733.119382843666</v>
      </c>
      <c r="P36" s="69">
        <f t="shared" si="16"/>
        <v>62844.31553173485</v>
      </c>
      <c r="Q36" s="69">
        <f t="shared" si="16"/>
        <v>63975.513211306075</v>
      </c>
      <c r="R36" s="69">
        <f t="shared" si="16"/>
        <v>65127.072449109583</v>
      </c>
      <c r="S36" s="69">
        <f t="shared" si="16"/>
        <v>66299.359753193552</v>
      </c>
      <c r="T36" s="69">
        <f t="shared" si="16"/>
        <v>67492.748228751036</v>
      </c>
      <c r="U36" s="69">
        <f t="shared" si="16"/>
        <v>68707.617696868561</v>
      </c>
      <c r="V36" s="69">
        <f t="shared" si="16"/>
        <v>69944.354815412196</v>
      </c>
      <c r="W36" s="69">
        <f t="shared" si="16"/>
        <v>71203.353202089624</v>
      </c>
    </row>
    <row r="37" spans="6:23" x14ac:dyDescent="0.2">
      <c r="F37" s="59" t="s">
        <v>69</v>
      </c>
      <c r="G37" s="77"/>
      <c r="H37" s="82">
        <f>'SDG&amp;E'!C32</f>
        <v>146800</v>
      </c>
      <c r="I37" s="82">
        <f>'SDG&amp;E'!D32</f>
        <v>146800</v>
      </c>
      <c r="J37" s="82">
        <f>'SDG&amp;E'!E32</f>
        <v>115000</v>
      </c>
      <c r="K37" s="82">
        <f>'SDG&amp;E'!F32</f>
        <v>0</v>
      </c>
      <c r="L37" s="82">
        <f>'SDG&amp;E'!G32</f>
        <v>0</v>
      </c>
      <c r="M37" s="82">
        <f>'SDG&amp;E'!H32</f>
        <v>0</v>
      </c>
      <c r="N37" s="82">
        <f>'SDG&amp;E'!I32</f>
        <v>48900</v>
      </c>
      <c r="O37" s="82">
        <f>'SDG&amp;E'!J32</f>
        <v>51630</v>
      </c>
      <c r="P37" s="82">
        <f>'SDG&amp;E'!K32</f>
        <v>54400</v>
      </c>
      <c r="Q37" s="82">
        <f>'SDG&amp;E'!L32</f>
        <v>56400</v>
      </c>
      <c r="R37" s="82">
        <f>'SDG&amp;E'!M32</f>
        <v>56850</v>
      </c>
      <c r="S37" s="82">
        <f>'SDG&amp;E'!N32</f>
        <v>56850</v>
      </c>
      <c r="T37" s="82">
        <f>'SDG&amp;E'!O32</f>
        <v>56550</v>
      </c>
      <c r="U37" s="82">
        <f>'SDG&amp;E'!P32</f>
        <v>56550</v>
      </c>
      <c r="V37" s="82">
        <f>'SDG&amp;E'!Q32</f>
        <v>56550</v>
      </c>
      <c r="W37" s="82">
        <f>'SDG&amp;E'!R32</f>
        <v>24000</v>
      </c>
    </row>
    <row r="38" spans="6:23" x14ac:dyDescent="0.2">
      <c r="F38" s="59" t="s">
        <v>71</v>
      </c>
      <c r="H38" s="82">
        <f>'SDG&amp;E'!C39</f>
        <v>74224</v>
      </c>
      <c r="I38" s="82">
        <f>'SDG&amp;E'!D39</f>
        <v>22672</v>
      </c>
      <c r="J38" s="82">
        <f>'SDG&amp;E'!E39</f>
        <v>22672</v>
      </c>
      <c r="K38" s="82">
        <f>'SDG&amp;E'!F39</f>
        <v>22672</v>
      </c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</row>
    <row r="39" spans="6:23" x14ac:dyDescent="0.2">
      <c r="F39" s="59" t="s">
        <v>63</v>
      </c>
      <c r="K39" s="66">
        <v>0</v>
      </c>
      <c r="L39" s="59">
        <f t="shared" ref="L39:W39" si="17">K39</f>
        <v>0</v>
      </c>
      <c r="M39" s="59">
        <f t="shared" si="17"/>
        <v>0</v>
      </c>
      <c r="N39" s="59">
        <f t="shared" si="17"/>
        <v>0</v>
      </c>
      <c r="O39" s="59">
        <f t="shared" si="17"/>
        <v>0</v>
      </c>
      <c r="P39" s="59">
        <f t="shared" si="17"/>
        <v>0</v>
      </c>
      <c r="Q39" s="59">
        <f t="shared" si="17"/>
        <v>0</v>
      </c>
      <c r="R39" s="59">
        <f t="shared" si="17"/>
        <v>0</v>
      </c>
      <c r="S39" s="59">
        <f t="shared" si="17"/>
        <v>0</v>
      </c>
      <c r="T39" s="59">
        <f t="shared" si="17"/>
        <v>0</v>
      </c>
      <c r="U39" s="59">
        <f t="shared" si="17"/>
        <v>0</v>
      </c>
      <c r="V39" s="59">
        <f t="shared" si="17"/>
        <v>0</v>
      </c>
      <c r="W39" s="59">
        <f t="shared" si="17"/>
        <v>0</v>
      </c>
    </row>
    <row r="40" spans="6:23" x14ac:dyDescent="0.2">
      <c r="F40" s="59" t="s">
        <v>64</v>
      </c>
      <c r="G40" s="71">
        <f t="shared" ref="G40:W40" si="18">SUM(G35:G39)</f>
        <v>84661</v>
      </c>
      <c r="H40" s="71">
        <f t="shared" si="18"/>
        <v>288647</v>
      </c>
      <c r="I40" s="71">
        <f t="shared" si="18"/>
        <v>237095</v>
      </c>
      <c r="J40" s="71">
        <f t="shared" si="18"/>
        <v>205295</v>
      </c>
      <c r="K40" s="71">
        <f t="shared" si="18"/>
        <v>91512.214000000007</v>
      </c>
      <c r="L40" s="71">
        <f t="shared" si="18"/>
        <v>70079.337852000011</v>
      </c>
      <c r="M40" s="71">
        <f t="shared" si="18"/>
        <v>71340.765933336006</v>
      </c>
      <c r="N40" s="71">
        <f t="shared" si="18"/>
        <v>121524.89972013605</v>
      </c>
      <c r="O40" s="71">
        <f t="shared" si="18"/>
        <v>125562.14791509851</v>
      </c>
      <c r="P40" s="71">
        <f t="shared" si="18"/>
        <v>129662.92657757028</v>
      </c>
      <c r="Q40" s="71">
        <f t="shared" si="18"/>
        <v>133017.65925596654</v>
      </c>
      <c r="R40" s="71">
        <f t="shared" si="18"/>
        <v>134846.77712257393</v>
      </c>
      <c r="S40" s="71">
        <f t="shared" si="18"/>
        <v>136250.71911078028</v>
      </c>
      <c r="T40" s="71">
        <f t="shared" si="18"/>
        <v>137379.93205477431</v>
      </c>
      <c r="U40" s="71">
        <f t="shared" si="18"/>
        <v>138834.87083176026</v>
      </c>
      <c r="V40" s="71">
        <f t="shared" si="18"/>
        <v>140315.99850673194</v>
      </c>
      <c r="W40" s="71">
        <f t="shared" si="18"/>
        <v>109273.78647985312</v>
      </c>
    </row>
    <row r="41" spans="6:23" x14ac:dyDescent="0.2">
      <c r="F41" s="59" t="s">
        <v>65</v>
      </c>
      <c r="G41" s="62">
        <f t="shared" ref="G41:W41" si="19">G40/G32</f>
        <v>5.06073285910694</v>
      </c>
      <c r="H41" s="62">
        <f t="shared" si="19"/>
        <v>16.713781123335263</v>
      </c>
      <c r="I41" s="62">
        <f t="shared" si="19"/>
        <v>13.459529729668358</v>
      </c>
      <c r="J41" s="62">
        <f t="shared" si="19"/>
        <v>11.654291131623465</v>
      </c>
      <c r="K41" s="62">
        <f t="shared" si="19"/>
        <v>5.1031551848285632</v>
      </c>
      <c r="L41" s="62">
        <f t="shared" si="19"/>
        <v>3.8388569092952762</v>
      </c>
      <c r="M41" s="62">
        <f t="shared" si="19"/>
        <v>3.8388569092952753</v>
      </c>
      <c r="N41" s="62">
        <f t="shared" si="19"/>
        <v>6.4236467484265987</v>
      </c>
      <c r="O41" s="62">
        <f t="shared" si="19"/>
        <v>6.5196958652325812</v>
      </c>
      <c r="P41" s="62">
        <f t="shared" si="19"/>
        <v>6.6135804732325196</v>
      </c>
      <c r="Q41" s="62">
        <f t="shared" si="19"/>
        <v>6.664726712507683</v>
      </c>
      <c r="R41" s="62">
        <f t="shared" si="19"/>
        <v>6.6369086153352317</v>
      </c>
      <c r="S41" s="62">
        <f t="shared" si="19"/>
        <v>6.5874342236763725</v>
      </c>
      <c r="T41" s="62">
        <f t="shared" si="19"/>
        <v>6.5245867212854503</v>
      </c>
      <c r="U41" s="62">
        <f t="shared" si="19"/>
        <v>6.4770983749044841</v>
      </c>
      <c r="V41" s="62">
        <f t="shared" si="19"/>
        <v>6.4304497045891935</v>
      </c>
      <c r="W41" s="62">
        <f t="shared" si="19"/>
        <v>4.9192893566670568</v>
      </c>
    </row>
    <row r="42" spans="6:23" x14ac:dyDescent="0.2">
      <c r="F42" s="59" t="s">
        <v>66</v>
      </c>
      <c r="G42" s="84">
        <f>G43</f>
        <v>1</v>
      </c>
      <c r="H42" s="84">
        <f>H43</f>
        <v>2.5327246311761025</v>
      </c>
      <c r="I42" s="84">
        <f>I43</f>
        <v>2.8005220821866033</v>
      </c>
      <c r="J42" s="84">
        <f>J43</f>
        <v>2.4249063913726507</v>
      </c>
      <c r="K42" s="62">
        <f t="shared" ref="K42:W42" si="20">K41/$G41</f>
        <v>1.0083826447478419</v>
      </c>
      <c r="L42" s="62">
        <f t="shared" si="20"/>
        <v>0.75855750860018989</v>
      </c>
      <c r="M42" s="62">
        <f t="shared" si="20"/>
        <v>0.75855750860018967</v>
      </c>
      <c r="N42" s="62">
        <f t="shared" si="20"/>
        <v>1.2693115655901603</v>
      </c>
      <c r="O42" s="62">
        <f t="shared" si="20"/>
        <v>1.2882908556416277</v>
      </c>
      <c r="P42" s="62">
        <f t="shared" si="20"/>
        <v>1.3068424391007289</v>
      </c>
      <c r="Q42" s="62">
        <f t="shared" si="20"/>
        <v>1.316948927765335</v>
      </c>
      <c r="R42" s="62">
        <f t="shared" si="20"/>
        <v>1.3114520762327766</v>
      </c>
      <c r="S42" s="62">
        <f t="shared" si="20"/>
        <v>1.3016759443885855</v>
      </c>
      <c r="T42" s="62">
        <f t="shared" si="20"/>
        <v>1.2892572880120043</v>
      </c>
      <c r="U42" s="62">
        <f t="shared" si="20"/>
        <v>1.2798735983956853</v>
      </c>
      <c r="V42" s="62">
        <f t="shared" si="20"/>
        <v>1.2706558286350578</v>
      </c>
      <c r="W42" s="62">
        <f t="shared" si="20"/>
        <v>0.97205078663945843</v>
      </c>
    </row>
    <row r="43" spans="6:23" x14ac:dyDescent="0.2">
      <c r="F43" s="59" t="s">
        <v>73</v>
      </c>
      <c r="G43" s="83">
        <v>1</v>
      </c>
      <c r="H43" s="83">
        <v>2.5327246311761025</v>
      </c>
      <c r="I43" s="83">
        <v>2.8005220821866033</v>
      </c>
      <c r="J43" s="83">
        <v>2.4249063913726507</v>
      </c>
      <c r="K43" s="83">
        <v>2.4249063913726507</v>
      </c>
      <c r="L43" s="83">
        <v>1.6243961210002245</v>
      </c>
      <c r="M43" s="83">
        <v>1.6243961210002245</v>
      </c>
      <c r="N43" s="83">
        <v>1.6243961210002245</v>
      </c>
      <c r="O43" s="83">
        <v>1.6212069311725588</v>
      </c>
      <c r="P43" s="83">
        <v>1.6184902139119548</v>
      </c>
      <c r="Q43" s="83">
        <v>1.6184902139119548</v>
      </c>
      <c r="R43" s="83">
        <v>1.6119937161148581</v>
      </c>
      <c r="S43" s="83">
        <v>1.6119937161148581</v>
      </c>
      <c r="T43" s="83">
        <v>1.6084501718618962</v>
      </c>
      <c r="U43" s="83">
        <v>1.6084501718618962</v>
      </c>
      <c r="V43" s="83">
        <v>1.6084501718618962</v>
      </c>
      <c r="W43" s="83">
        <v>1.2239756204155396</v>
      </c>
    </row>
  </sheetData>
  <mergeCells count="1">
    <mergeCell ref="B2:D2"/>
  </mergeCells>
  <pageMargins left="0.75" right="0.75" top="1" bottom="1" header="0.5" footer="0.5"/>
  <pageSetup orientation="portrait" verticalDpi="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68"/>
  <sheetViews>
    <sheetView tabSelected="1" zoomScale="75" zoomScaleNormal="75" workbookViewId="0">
      <selection activeCell="O25" sqref="O25"/>
    </sheetView>
  </sheetViews>
  <sheetFormatPr defaultRowHeight="12.75" x14ac:dyDescent="0.2"/>
  <cols>
    <col min="1" max="1" width="33.7109375" customWidth="1"/>
    <col min="2" max="3" width="12" customWidth="1"/>
    <col min="4" max="4" width="12.28515625" customWidth="1"/>
    <col min="5" max="5" width="12" customWidth="1"/>
    <col min="6" max="18" width="10.28515625" customWidth="1"/>
  </cols>
  <sheetData>
    <row r="1" spans="1:18" x14ac:dyDescent="0.2">
      <c r="A1" s="3" t="s">
        <v>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 spans="1:18" x14ac:dyDescent="0.2">
      <c r="A2" s="7"/>
      <c r="B2" s="9" t="s">
        <v>33</v>
      </c>
      <c r="C2" s="37"/>
      <c r="D2" s="37"/>
      <c r="E2" s="89"/>
      <c r="F2" s="8" t="s">
        <v>6</v>
      </c>
      <c r="G2" s="8" t="s">
        <v>6</v>
      </c>
      <c r="H2" s="8" t="s">
        <v>6</v>
      </c>
      <c r="I2" s="8" t="s">
        <v>6</v>
      </c>
      <c r="J2" s="8" t="s">
        <v>6</v>
      </c>
      <c r="K2" s="8" t="s">
        <v>6</v>
      </c>
      <c r="L2" s="8" t="s">
        <v>6</v>
      </c>
      <c r="M2" s="8" t="s">
        <v>6</v>
      </c>
      <c r="N2" s="8" t="s">
        <v>6</v>
      </c>
      <c r="O2" s="8" t="s">
        <v>6</v>
      </c>
      <c r="P2" s="8" t="s">
        <v>6</v>
      </c>
      <c r="Q2" s="8" t="s">
        <v>6</v>
      </c>
      <c r="R2" s="10" t="s">
        <v>6</v>
      </c>
    </row>
    <row r="3" spans="1:18" x14ac:dyDescent="0.2">
      <c r="A3" s="7"/>
      <c r="B3" s="47">
        <v>1998</v>
      </c>
      <c r="C3" s="47">
        <v>1999</v>
      </c>
      <c r="D3" s="47">
        <v>2000</v>
      </c>
      <c r="E3" s="90">
        <v>2001</v>
      </c>
      <c r="F3" s="54">
        <v>2002</v>
      </c>
      <c r="G3" s="54">
        <v>2003</v>
      </c>
      <c r="H3" s="54">
        <v>2004</v>
      </c>
      <c r="I3" s="54">
        <v>2005</v>
      </c>
      <c r="J3" s="54">
        <v>2006</v>
      </c>
      <c r="K3" s="54">
        <v>2007</v>
      </c>
      <c r="L3" s="54">
        <v>2008</v>
      </c>
      <c r="M3" s="54">
        <v>2009</v>
      </c>
      <c r="N3" s="54">
        <v>2010</v>
      </c>
      <c r="O3" s="47">
        <v>2011</v>
      </c>
      <c r="P3" s="8">
        <v>2012</v>
      </c>
      <c r="Q3" s="8">
        <v>2013</v>
      </c>
      <c r="R3" s="10">
        <v>2014</v>
      </c>
    </row>
    <row r="4" spans="1:18" s="2" customFormat="1" x14ac:dyDescent="0.2">
      <c r="A4" s="52" t="s">
        <v>51</v>
      </c>
      <c r="B4" s="11">
        <v>77143</v>
      </c>
      <c r="C4" s="11">
        <v>77453</v>
      </c>
      <c r="D4" s="11">
        <v>78631</v>
      </c>
      <c r="E4" s="91">
        <v>81991</v>
      </c>
      <c r="F4" s="49">
        <f>E4</f>
        <v>81991</v>
      </c>
      <c r="G4" s="49">
        <f t="shared" ref="G4:N4" si="0">F4</f>
        <v>81991</v>
      </c>
      <c r="H4" s="49">
        <f t="shared" si="0"/>
        <v>81991</v>
      </c>
      <c r="I4" s="49">
        <f t="shared" si="0"/>
        <v>81991</v>
      </c>
      <c r="J4" s="49">
        <f t="shared" si="0"/>
        <v>81991</v>
      </c>
      <c r="K4" s="49">
        <f t="shared" si="0"/>
        <v>81991</v>
      </c>
      <c r="L4" s="49">
        <f t="shared" si="0"/>
        <v>81991</v>
      </c>
      <c r="M4" s="49">
        <f t="shared" si="0"/>
        <v>81991</v>
      </c>
      <c r="N4" s="49">
        <f t="shared" si="0"/>
        <v>81991</v>
      </c>
      <c r="O4" s="11"/>
      <c r="P4" s="11"/>
      <c r="Q4" s="11"/>
      <c r="R4" s="13"/>
    </row>
    <row r="5" spans="1:18" x14ac:dyDescent="0.2">
      <c r="A5" s="51" t="s">
        <v>7</v>
      </c>
      <c r="B5" s="11"/>
      <c r="C5" s="38"/>
      <c r="D5" s="11"/>
      <c r="E5" s="92">
        <f>E4/D4</f>
        <v>1.042731238315677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8"/>
      <c r="R5" s="10"/>
    </row>
    <row r="6" spans="1:18" x14ac:dyDescent="0.2">
      <c r="A6" s="14" t="s">
        <v>8</v>
      </c>
      <c r="B6" s="16">
        <v>304943</v>
      </c>
      <c r="C6" s="16">
        <v>336000</v>
      </c>
      <c r="D6" s="16">
        <v>352000</v>
      </c>
      <c r="E6" s="93">
        <v>409255</v>
      </c>
      <c r="F6" s="11">
        <f>E6</f>
        <v>409255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3"/>
    </row>
    <row r="7" spans="1:18" x14ac:dyDescent="0.2">
      <c r="A7" s="14" t="s">
        <v>2</v>
      </c>
      <c r="B7" s="16">
        <v>-3685</v>
      </c>
      <c r="C7" s="16">
        <v>-13167</v>
      </c>
      <c r="D7" s="16">
        <v>-13167</v>
      </c>
      <c r="E7" s="93">
        <v>-12737</v>
      </c>
      <c r="F7" s="11">
        <f>E7</f>
        <v>-12737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3"/>
    </row>
    <row r="8" spans="1:18" x14ac:dyDescent="0.2">
      <c r="A8" s="14" t="s">
        <v>9</v>
      </c>
      <c r="B8" s="11">
        <v>0</v>
      </c>
      <c r="C8" s="11"/>
      <c r="D8" s="11"/>
      <c r="E8" s="93">
        <v>281044</v>
      </c>
      <c r="F8" s="11">
        <f>E8</f>
        <v>281044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3"/>
    </row>
    <row r="9" spans="1:18" x14ac:dyDescent="0.2">
      <c r="A9" s="105" t="s">
        <v>10</v>
      </c>
      <c r="B9" s="11">
        <v>0</v>
      </c>
      <c r="C9" s="11">
        <v>0</v>
      </c>
      <c r="D9" s="11">
        <v>0</v>
      </c>
      <c r="E9" s="91">
        <v>0</v>
      </c>
      <c r="F9" s="104">
        <v>40000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3"/>
    </row>
    <row r="10" spans="1:18" ht="13.5" thickBot="1" x14ac:dyDescent="0.25">
      <c r="A10" s="14" t="s">
        <v>11</v>
      </c>
      <c r="B10" s="21">
        <f>SUM(B6:B9)</f>
        <v>301258</v>
      </c>
      <c r="C10" s="21">
        <f>SUM(C6:C9)</f>
        <v>322833</v>
      </c>
      <c r="D10" s="19">
        <f>SUM(D6:D9)</f>
        <v>338833</v>
      </c>
      <c r="E10" s="94">
        <f>SUM(E6:E9)</f>
        <v>677562</v>
      </c>
      <c r="F10" s="19">
        <f>SUM(F6:F9)</f>
        <v>717562</v>
      </c>
      <c r="G10" s="19">
        <f>F10</f>
        <v>717562</v>
      </c>
      <c r="H10" s="19">
        <f t="shared" ref="H10:R10" si="1">G10</f>
        <v>717562</v>
      </c>
      <c r="I10" s="19">
        <f t="shared" si="1"/>
        <v>717562</v>
      </c>
      <c r="J10" s="19">
        <f t="shared" si="1"/>
        <v>717562</v>
      </c>
      <c r="K10" s="19">
        <f t="shared" si="1"/>
        <v>717562</v>
      </c>
      <c r="L10" s="19">
        <f t="shared" si="1"/>
        <v>717562</v>
      </c>
      <c r="M10" s="19">
        <f t="shared" si="1"/>
        <v>717562</v>
      </c>
      <c r="N10" s="19">
        <f t="shared" si="1"/>
        <v>717562</v>
      </c>
      <c r="O10" s="19">
        <f t="shared" si="1"/>
        <v>717562</v>
      </c>
      <c r="P10" s="19">
        <f t="shared" si="1"/>
        <v>717562</v>
      </c>
      <c r="Q10" s="19">
        <f t="shared" si="1"/>
        <v>717562</v>
      </c>
      <c r="R10" s="22">
        <f t="shared" si="1"/>
        <v>717562</v>
      </c>
    </row>
    <row r="11" spans="1:18" ht="13.5" thickTop="1" x14ac:dyDescent="0.2">
      <c r="A11" s="14" t="s">
        <v>75</v>
      </c>
      <c r="B11" s="48">
        <f t="shared" ref="B11:N11" si="2">B10/B4</f>
        <v>3.9051890644646954</v>
      </c>
      <c r="C11" s="48">
        <f t="shared" si="2"/>
        <v>4.1681148567518367</v>
      </c>
      <c r="D11" s="48">
        <f t="shared" si="2"/>
        <v>4.3091528786356523</v>
      </c>
      <c r="E11" s="95">
        <f t="shared" si="2"/>
        <v>8.2638582283421353</v>
      </c>
      <c r="F11" s="48">
        <f t="shared" si="2"/>
        <v>8.751716651827639</v>
      </c>
      <c r="G11" s="48">
        <f t="shared" si="2"/>
        <v>8.751716651827639</v>
      </c>
      <c r="H11" s="48">
        <f t="shared" si="2"/>
        <v>8.751716651827639</v>
      </c>
      <c r="I11" s="48">
        <f t="shared" si="2"/>
        <v>8.751716651827639</v>
      </c>
      <c r="J11" s="48">
        <f t="shared" si="2"/>
        <v>8.751716651827639</v>
      </c>
      <c r="K11" s="48">
        <f t="shared" si="2"/>
        <v>8.751716651827639</v>
      </c>
      <c r="L11" s="48">
        <f t="shared" si="2"/>
        <v>8.751716651827639</v>
      </c>
      <c r="M11" s="48">
        <f t="shared" si="2"/>
        <v>8.751716651827639</v>
      </c>
      <c r="N11" s="48">
        <f t="shared" si="2"/>
        <v>8.751716651827639</v>
      </c>
      <c r="O11" s="11"/>
      <c r="P11" s="11"/>
      <c r="Q11" s="11"/>
      <c r="R11" s="13"/>
    </row>
    <row r="12" spans="1:18" x14ac:dyDescent="0.2">
      <c r="A12" s="14" t="s">
        <v>59</v>
      </c>
      <c r="B12" s="50">
        <v>1</v>
      </c>
      <c r="C12" s="50">
        <v>1.0673272888833056</v>
      </c>
      <c r="D12" s="50">
        <v>1.1034428314487585</v>
      </c>
      <c r="E12" s="96">
        <v>2.1161224442471145</v>
      </c>
      <c r="F12" s="50">
        <v>2.2410481304129335</v>
      </c>
      <c r="G12" s="50">
        <v>2.2410481304129335</v>
      </c>
      <c r="H12" s="50">
        <v>2.2410481304129335</v>
      </c>
      <c r="I12" s="50">
        <v>2.2410481304129335</v>
      </c>
      <c r="J12" s="50">
        <v>2.2410481304129335</v>
      </c>
      <c r="K12" s="50">
        <v>2.2410481304129335</v>
      </c>
      <c r="L12" s="50">
        <v>2.2410481304129335</v>
      </c>
      <c r="M12" s="50">
        <v>2.2410481304129335</v>
      </c>
      <c r="N12" s="50">
        <v>2.2410481304129335</v>
      </c>
      <c r="O12" s="11"/>
      <c r="P12" s="11"/>
      <c r="Q12" s="11"/>
      <c r="R12" s="13"/>
    </row>
    <row r="13" spans="1:18" ht="25.5" customHeight="1" x14ac:dyDescent="0.2">
      <c r="A13" s="51" t="s">
        <v>0</v>
      </c>
      <c r="E13" s="89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3"/>
    </row>
    <row r="14" spans="1:18" x14ac:dyDescent="0.2">
      <c r="A14" s="14" t="s">
        <v>12</v>
      </c>
      <c r="B14" s="16">
        <v>1869045</v>
      </c>
      <c r="C14" s="16">
        <v>2048972</v>
      </c>
      <c r="D14" s="16">
        <v>2048972</v>
      </c>
      <c r="E14" s="93">
        <f>D14</f>
        <v>2048972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3"/>
    </row>
    <row r="15" spans="1:18" x14ac:dyDescent="0.2">
      <c r="A15" s="14" t="s">
        <v>32</v>
      </c>
      <c r="B15" s="11"/>
      <c r="C15" s="11"/>
      <c r="D15" s="16">
        <v>42070</v>
      </c>
      <c r="E15" s="93">
        <f>42070+79600+188900</f>
        <v>310570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3"/>
    </row>
    <row r="16" spans="1:18" ht="13.5" thickBot="1" x14ac:dyDescent="0.25">
      <c r="A16" s="14" t="s">
        <v>15</v>
      </c>
      <c r="B16" s="19">
        <f>SUM(B14:B15)</f>
        <v>1869045</v>
      </c>
      <c r="C16" s="19">
        <f>SUM(C14:C15)</f>
        <v>2048972</v>
      </c>
      <c r="D16" s="19">
        <f>SUM(D14:D15)</f>
        <v>2091042</v>
      </c>
      <c r="E16" s="94">
        <f>SUM(E14:E15)</f>
        <v>2359542</v>
      </c>
      <c r="F16" s="19">
        <f>E16</f>
        <v>2359542</v>
      </c>
      <c r="G16" s="19">
        <f>F16*101%</f>
        <v>2383137.42</v>
      </c>
      <c r="H16" s="19">
        <f t="shared" ref="H16:R16" si="3">G16*101%</f>
        <v>2406968.7941999999</v>
      </c>
      <c r="I16" s="19">
        <f t="shared" si="3"/>
        <v>2431038.482142</v>
      </c>
      <c r="J16" s="19">
        <f t="shared" si="3"/>
        <v>2455348.8669634201</v>
      </c>
      <c r="K16" s="19">
        <f t="shared" si="3"/>
        <v>2479902.3556330544</v>
      </c>
      <c r="L16" s="19">
        <f t="shared" si="3"/>
        <v>2504701.3791893851</v>
      </c>
      <c r="M16" s="19">
        <f t="shared" si="3"/>
        <v>2529748.3929812792</v>
      </c>
      <c r="N16" s="19">
        <f t="shared" si="3"/>
        <v>2555045.8769110921</v>
      </c>
      <c r="O16" s="19">
        <f t="shared" si="3"/>
        <v>2580596.335680203</v>
      </c>
      <c r="P16" s="19">
        <f t="shared" si="3"/>
        <v>2606402.2990370053</v>
      </c>
      <c r="Q16" s="19">
        <f t="shared" si="3"/>
        <v>2632466.3220273755</v>
      </c>
      <c r="R16" s="22">
        <f t="shared" si="3"/>
        <v>2658790.9852476493</v>
      </c>
    </row>
    <row r="17" spans="1:18" ht="13.5" thickTop="1" x14ac:dyDescent="0.2">
      <c r="A17" s="7"/>
      <c r="B17" s="11"/>
      <c r="C17" s="11"/>
      <c r="D17" s="11"/>
      <c r="E17" s="9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3"/>
    </row>
    <row r="18" spans="1:18" ht="13.5" thickBot="1" x14ac:dyDescent="0.25">
      <c r="A18" s="7" t="s">
        <v>16</v>
      </c>
      <c r="B18" s="21">
        <v>34840</v>
      </c>
      <c r="C18" s="21">
        <v>32763</v>
      </c>
      <c r="D18" s="21">
        <v>32763</v>
      </c>
      <c r="E18" s="97">
        <f>32763+400</f>
        <v>33163</v>
      </c>
      <c r="F18" s="19">
        <f>E18</f>
        <v>33163</v>
      </c>
      <c r="G18" s="19">
        <f t="shared" ref="G18:R18" si="4">F18</f>
        <v>33163</v>
      </c>
      <c r="H18" s="19">
        <f t="shared" si="4"/>
        <v>33163</v>
      </c>
      <c r="I18" s="19">
        <f t="shared" si="4"/>
        <v>33163</v>
      </c>
      <c r="J18" s="19">
        <f t="shared" si="4"/>
        <v>33163</v>
      </c>
      <c r="K18" s="19">
        <f t="shared" si="4"/>
        <v>33163</v>
      </c>
      <c r="L18" s="19">
        <f t="shared" si="4"/>
        <v>33163</v>
      </c>
      <c r="M18" s="19">
        <f t="shared" si="4"/>
        <v>33163</v>
      </c>
      <c r="N18" s="19">
        <f t="shared" si="4"/>
        <v>33163</v>
      </c>
      <c r="O18" s="19">
        <f t="shared" si="4"/>
        <v>33163</v>
      </c>
      <c r="P18" s="19">
        <f t="shared" si="4"/>
        <v>33163</v>
      </c>
      <c r="Q18" s="19">
        <f t="shared" si="4"/>
        <v>33163</v>
      </c>
      <c r="R18" s="22">
        <f t="shared" si="4"/>
        <v>33163</v>
      </c>
    </row>
    <row r="19" spans="1:18" ht="13.5" thickTop="1" x14ac:dyDescent="0.2">
      <c r="A19" s="7"/>
      <c r="B19" s="11"/>
      <c r="C19" s="11"/>
      <c r="D19" s="11"/>
      <c r="E19" s="9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3"/>
    </row>
    <row r="20" spans="1:18" ht="13.5" thickBot="1" x14ac:dyDescent="0.25">
      <c r="A20" s="7" t="s">
        <v>17</v>
      </c>
      <c r="B20" s="21">
        <v>272844</v>
      </c>
      <c r="C20" s="21">
        <v>200831</v>
      </c>
      <c r="D20" s="21">
        <v>200831</v>
      </c>
      <c r="E20" s="97">
        <v>200831</v>
      </c>
      <c r="F20" s="19">
        <v>200831</v>
      </c>
      <c r="G20" s="19">
        <v>200831</v>
      </c>
      <c r="H20" s="19">
        <v>200831</v>
      </c>
      <c r="I20" s="19">
        <v>200831</v>
      </c>
      <c r="J20" s="19">
        <v>200831</v>
      </c>
      <c r="K20" s="19">
        <v>200831</v>
      </c>
      <c r="L20" s="19">
        <v>200831</v>
      </c>
      <c r="M20" s="19">
        <v>200831</v>
      </c>
      <c r="N20" s="19">
        <v>200831</v>
      </c>
      <c r="O20" s="19">
        <v>200831</v>
      </c>
      <c r="P20" s="19">
        <v>200831</v>
      </c>
      <c r="Q20" s="19">
        <v>200831</v>
      </c>
      <c r="R20" s="22">
        <v>200831</v>
      </c>
    </row>
    <row r="21" spans="1:18" ht="13.5" thickTop="1" x14ac:dyDescent="0.2">
      <c r="A21" s="7"/>
      <c r="B21" s="11"/>
      <c r="C21" s="11"/>
      <c r="D21" s="11"/>
      <c r="E21" s="9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3"/>
    </row>
    <row r="22" spans="1:18" x14ac:dyDescent="0.2">
      <c r="A22" s="7" t="s">
        <v>1</v>
      </c>
      <c r="B22" s="11"/>
      <c r="C22" s="11"/>
      <c r="D22" s="11"/>
      <c r="E22" s="9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3"/>
    </row>
    <row r="23" spans="1:18" x14ac:dyDescent="0.2">
      <c r="A23" s="14" t="s">
        <v>20</v>
      </c>
      <c r="B23" s="11"/>
      <c r="C23" s="11"/>
      <c r="D23" s="11"/>
      <c r="E23" s="9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3">
        <v>0</v>
      </c>
    </row>
    <row r="24" spans="1:18" x14ac:dyDescent="0.2">
      <c r="A24" s="14" t="s">
        <v>34</v>
      </c>
      <c r="B24" s="11"/>
      <c r="C24" s="11"/>
      <c r="D24" s="11"/>
      <c r="E24" s="9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3">
        <v>0</v>
      </c>
    </row>
    <row r="25" spans="1:18" x14ac:dyDescent="0.2">
      <c r="A25" s="14" t="s">
        <v>21</v>
      </c>
      <c r="B25" s="11"/>
      <c r="C25" s="11"/>
      <c r="D25" s="11"/>
      <c r="E25" s="91">
        <v>570818</v>
      </c>
      <c r="F25" s="11">
        <v>516741</v>
      </c>
      <c r="G25" s="11">
        <v>512147</v>
      </c>
      <c r="H25" s="11">
        <v>499523</v>
      </c>
      <c r="I25" s="11">
        <v>491527</v>
      </c>
      <c r="J25" s="11">
        <v>489423</v>
      </c>
      <c r="K25" s="11">
        <v>464534</v>
      </c>
      <c r="L25" s="11">
        <v>451655</v>
      </c>
      <c r="M25" s="11">
        <v>427571</v>
      </c>
      <c r="N25" s="11">
        <v>408113</v>
      </c>
      <c r="O25" s="11">
        <v>397277</v>
      </c>
      <c r="P25" s="11">
        <v>379678</v>
      </c>
      <c r="Q25" s="11">
        <v>371134</v>
      </c>
      <c r="R25" s="13">
        <v>352127</v>
      </c>
    </row>
    <row r="26" spans="1:18" ht="13.5" thickBot="1" x14ac:dyDescent="0.25">
      <c r="A26" s="14" t="s">
        <v>22</v>
      </c>
      <c r="B26" s="19">
        <f t="shared" ref="B26:R26" si="5">SUM(B23:B25)</f>
        <v>0</v>
      </c>
      <c r="C26" s="19"/>
      <c r="D26" s="19"/>
      <c r="E26" s="94">
        <f t="shared" si="5"/>
        <v>570818</v>
      </c>
      <c r="F26" s="19">
        <f t="shared" si="5"/>
        <v>516741</v>
      </c>
      <c r="G26" s="19">
        <f t="shared" si="5"/>
        <v>512147</v>
      </c>
      <c r="H26" s="19">
        <f t="shared" si="5"/>
        <v>499523</v>
      </c>
      <c r="I26" s="19">
        <f t="shared" si="5"/>
        <v>491527</v>
      </c>
      <c r="J26" s="19">
        <f t="shared" si="5"/>
        <v>489423</v>
      </c>
      <c r="K26" s="19">
        <f t="shared" si="5"/>
        <v>464534</v>
      </c>
      <c r="L26" s="19">
        <f t="shared" si="5"/>
        <v>451655</v>
      </c>
      <c r="M26" s="19">
        <f t="shared" si="5"/>
        <v>427571</v>
      </c>
      <c r="N26" s="19">
        <f t="shared" si="5"/>
        <v>408113</v>
      </c>
      <c r="O26" s="19">
        <f t="shared" si="5"/>
        <v>397277</v>
      </c>
      <c r="P26" s="19">
        <f t="shared" si="5"/>
        <v>379678</v>
      </c>
      <c r="Q26" s="19">
        <f t="shared" si="5"/>
        <v>371134</v>
      </c>
      <c r="R26" s="22">
        <f t="shared" si="5"/>
        <v>352127</v>
      </c>
    </row>
    <row r="27" spans="1:18" ht="13.5" thickTop="1" x14ac:dyDescent="0.2">
      <c r="A27" s="7"/>
      <c r="B27" s="11"/>
      <c r="C27" s="11"/>
      <c r="D27" s="11"/>
      <c r="E27" s="9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3"/>
    </row>
    <row r="28" spans="1:18" ht="13.5" thickBot="1" x14ac:dyDescent="0.25">
      <c r="A28" s="7" t="s">
        <v>18</v>
      </c>
      <c r="B28" s="19">
        <v>0</v>
      </c>
      <c r="C28" s="19">
        <f>B28</f>
        <v>0</v>
      </c>
      <c r="D28" s="19">
        <f t="shared" ref="D28:P28" si="6">C28</f>
        <v>0</v>
      </c>
      <c r="E28" s="94">
        <f t="shared" si="6"/>
        <v>0</v>
      </c>
      <c r="F28" s="19">
        <f t="shared" si="6"/>
        <v>0</v>
      </c>
      <c r="G28" s="19">
        <f t="shared" si="6"/>
        <v>0</v>
      </c>
      <c r="H28" s="19">
        <f t="shared" si="6"/>
        <v>0</v>
      </c>
      <c r="I28" s="19">
        <f t="shared" si="6"/>
        <v>0</v>
      </c>
      <c r="J28" s="19">
        <f t="shared" si="6"/>
        <v>0</v>
      </c>
      <c r="K28" s="19">
        <f t="shared" si="6"/>
        <v>0</v>
      </c>
      <c r="L28" s="19">
        <f t="shared" si="6"/>
        <v>0</v>
      </c>
      <c r="M28" s="19">
        <f t="shared" si="6"/>
        <v>0</v>
      </c>
      <c r="N28" s="19">
        <f t="shared" si="6"/>
        <v>0</v>
      </c>
      <c r="O28" s="19">
        <f t="shared" si="6"/>
        <v>0</v>
      </c>
      <c r="P28" s="19">
        <f t="shared" si="6"/>
        <v>0</v>
      </c>
      <c r="Q28" s="19">
        <f>P28</f>
        <v>0</v>
      </c>
      <c r="R28" s="22">
        <f>Q28</f>
        <v>0</v>
      </c>
    </row>
    <row r="29" spans="1:18" ht="13.5" thickTop="1" x14ac:dyDescent="0.2">
      <c r="A29" s="7"/>
      <c r="B29" s="11"/>
      <c r="C29" s="11"/>
      <c r="D29" s="11"/>
      <c r="E29" s="9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3"/>
    </row>
    <row r="30" spans="1:18" ht="13.5" thickBot="1" x14ac:dyDescent="0.25">
      <c r="A30" s="7" t="s">
        <v>53</v>
      </c>
      <c r="B30" s="19">
        <v>0</v>
      </c>
      <c r="C30" s="19">
        <f>B30</f>
        <v>0</v>
      </c>
      <c r="D30" s="19">
        <f t="shared" ref="D30:P30" si="7">C30</f>
        <v>0</v>
      </c>
      <c r="E30" s="94">
        <f t="shared" si="7"/>
        <v>0</v>
      </c>
      <c r="F30" s="19">
        <f t="shared" si="7"/>
        <v>0</v>
      </c>
      <c r="G30" s="19">
        <f t="shared" si="7"/>
        <v>0</v>
      </c>
      <c r="H30" s="19">
        <f t="shared" si="7"/>
        <v>0</v>
      </c>
      <c r="I30" s="19">
        <f t="shared" si="7"/>
        <v>0</v>
      </c>
      <c r="J30" s="19">
        <f t="shared" si="7"/>
        <v>0</v>
      </c>
      <c r="K30" s="19">
        <f t="shared" si="7"/>
        <v>0</v>
      </c>
      <c r="L30" s="19">
        <f t="shared" si="7"/>
        <v>0</v>
      </c>
      <c r="M30" s="19">
        <f t="shared" si="7"/>
        <v>0</v>
      </c>
      <c r="N30" s="19">
        <f t="shared" si="7"/>
        <v>0</v>
      </c>
      <c r="O30" s="19">
        <f t="shared" si="7"/>
        <v>0</v>
      </c>
      <c r="P30" s="19">
        <f t="shared" si="7"/>
        <v>0</v>
      </c>
      <c r="Q30" s="19">
        <f>P30</f>
        <v>0</v>
      </c>
      <c r="R30" s="22">
        <f>Q30</f>
        <v>0</v>
      </c>
    </row>
    <row r="31" spans="1:18" ht="13.5" thickTop="1" x14ac:dyDescent="0.2">
      <c r="A31" s="7"/>
      <c r="B31" s="11"/>
      <c r="C31" s="11"/>
      <c r="D31" s="11"/>
      <c r="E31" s="9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3"/>
    </row>
    <row r="32" spans="1:18" ht="13.5" thickBot="1" x14ac:dyDescent="0.25">
      <c r="A32" s="28" t="s">
        <v>19</v>
      </c>
      <c r="B32" s="39">
        <v>0</v>
      </c>
      <c r="C32" s="39">
        <f>B32</f>
        <v>0</v>
      </c>
      <c r="D32" s="39">
        <f t="shared" ref="D32:N32" si="8">C32</f>
        <v>0</v>
      </c>
      <c r="E32" s="98">
        <f t="shared" si="8"/>
        <v>0</v>
      </c>
      <c r="F32" s="39">
        <f t="shared" si="8"/>
        <v>0</v>
      </c>
      <c r="G32" s="39">
        <f t="shared" si="8"/>
        <v>0</v>
      </c>
      <c r="H32" s="39">
        <f t="shared" si="8"/>
        <v>0</v>
      </c>
      <c r="I32" s="39">
        <f t="shared" si="8"/>
        <v>0</v>
      </c>
      <c r="J32" s="39">
        <f t="shared" si="8"/>
        <v>0</v>
      </c>
      <c r="K32" s="39">
        <f t="shared" si="8"/>
        <v>0</v>
      </c>
      <c r="L32" s="39">
        <f t="shared" si="8"/>
        <v>0</v>
      </c>
      <c r="M32" s="39">
        <f t="shared" si="8"/>
        <v>0</v>
      </c>
      <c r="N32" s="39">
        <f t="shared" si="8"/>
        <v>0</v>
      </c>
      <c r="O32" s="39">
        <f>N32</f>
        <v>0</v>
      </c>
      <c r="P32" s="39">
        <f>O32</f>
        <v>0</v>
      </c>
      <c r="Q32" s="39">
        <f>P32</f>
        <v>0</v>
      </c>
      <c r="R32" s="40">
        <f>Q32</f>
        <v>0</v>
      </c>
    </row>
    <row r="33" spans="1:18" x14ac:dyDescent="0.2">
      <c r="A33" s="8"/>
      <c r="B33" s="11"/>
      <c r="C33" s="11"/>
      <c r="D33" s="11"/>
      <c r="E33" s="9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 ht="13.5" thickBot="1" x14ac:dyDescent="0.25">
      <c r="E34" s="89"/>
    </row>
    <row r="35" spans="1:18" x14ac:dyDescent="0.2">
      <c r="A35" s="3" t="s">
        <v>28</v>
      </c>
      <c r="B35" s="5"/>
      <c r="C35" s="5"/>
      <c r="D35" s="5"/>
      <c r="E35" s="99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6"/>
    </row>
    <row r="36" spans="1:18" x14ac:dyDescent="0.2">
      <c r="A36" s="7"/>
      <c r="B36" s="31">
        <v>1998</v>
      </c>
      <c r="C36" s="31">
        <v>1999</v>
      </c>
      <c r="D36" s="31">
        <v>2000</v>
      </c>
      <c r="E36" s="100">
        <v>2001</v>
      </c>
      <c r="F36" s="31">
        <v>2002</v>
      </c>
      <c r="G36" s="31">
        <v>2003</v>
      </c>
      <c r="H36" s="31">
        <v>2004</v>
      </c>
      <c r="I36" s="31">
        <v>2005</v>
      </c>
      <c r="J36" s="31">
        <v>2006</v>
      </c>
      <c r="K36" s="31">
        <v>2007</v>
      </c>
      <c r="L36" s="31">
        <v>2008</v>
      </c>
      <c r="M36" s="31">
        <v>2009</v>
      </c>
      <c r="N36" s="31">
        <v>2010</v>
      </c>
      <c r="O36" s="31">
        <v>2011</v>
      </c>
      <c r="P36" s="31">
        <v>2012</v>
      </c>
      <c r="Q36" s="31">
        <v>2013</v>
      </c>
      <c r="R36" s="32">
        <v>2014</v>
      </c>
    </row>
    <row r="37" spans="1:18" x14ac:dyDescent="0.2">
      <c r="A37" s="7" t="s">
        <v>7</v>
      </c>
      <c r="B37" s="33">
        <v>1</v>
      </c>
      <c r="C37" s="45">
        <f>(C10/B10)/(C4/B4)</f>
        <v>1.0673272888833056</v>
      </c>
      <c r="D37" s="45">
        <f>(D10/C10)/(D4/C4)</f>
        <v>1.0338373645475127</v>
      </c>
      <c r="E37" s="101">
        <f>(E10/D10)/(E4/D4)</f>
        <v>1.9177454272540468</v>
      </c>
      <c r="F37" s="86">
        <f t="shared" ref="F37:R37" si="9">F10/E10</f>
        <v>1.0590351879237621</v>
      </c>
      <c r="G37" s="33">
        <f t="shared" si="9"/>
        <v>1</v>
      </c>
      <c r="H37" s="33">
        <f t="shared" si="9"/>
        <v>1</v>
      </c>
      <c r="I37" s="33">
        <f t="shared" si="9"/>
        <v>1</v>
      </c>
      <c r="J37" s="33">
        <f t="shared" si="9"/>
        <v>1</v>
      </c>
      <c r="K37" s="33">
        <f t="shared" si="9"/>
        <v>1</v>
      </c>
      <c r="L37" s="33">
        <f t="shared" si="9"/>
        <v>1</v>
      </c>
      <c r="M37" s="33">
        <f t="shared" si="9"/>
        <v>1</v>
      </c>
      <c r="N37" s="33">
        <f t="shared" si="9"/>
        <v>1</v>
      </c>
      <c r="O37" s="33">
        <f t="shared" si="9"/>
        <v>1</v>
      </c>
      <c r="P37" s="33">
        <f t="shared" si="9"/>
        <v>1</v>
      </c>
      <c r="Q37" s="33">
        <f t="shared" si="9"/>
        <v>1</v>
      </c>
      <c r="R37" s="34">
        <f t="shared" si="9"/>
        <v>1</v>
      </c>
    </row>
    <row r="38" spans="1:18" x14ac:dyDescent="0.2">
      <c r="A38" s="7" t="s">
        <v>0</v>
      </c>
      <c r="B38" s="33">
        <v>1</v>
      </c>
      <c r="C38" s="45">
        <f>(C16/B16)/(C4/B4)</f>
        <v>1.0918790818703463</v>
      </c>
      <c r="D38" s="45">
        <f>(D16/C16)/(D4/C4)</f>
        <v>1.0052432775512017</v>
      </c>
      <c r="E38" s="101">
        <f>(E16/D16)/(E4/D4)</f>
        <v>1.0821627279688797</v>
      </c>
      <c r="F38" s="86">
        <f t="shared" ref="F38:R38" si="10">F16/E16</f>
        <v>1</v>
      </c>
      <c r="G38" s="33">
        <f t="shared" si="10"/>
        <v>1.01</v>
      </c>
      <c r="H38" s="33">
        <f t="shared" si="10"/>
        <v>1.01</v>
      </c>
      <c r="I38" s="33">
        <f t="shared" si="10"/>
        <v>1.01</v>
      </c>
      <c r="J38" s="33">
        <f t="shared" si="10"/>
        <v>1.01</v>
      </c>
      <c r="K38" s="33">
        <f t="shared" si="10"/>
        <v>1.01</v>
      </c>
      <c r="L38" s="33">
        <f t="shared" si="10"/>
        <v>1.01</v>
      </c>
      <c r="M38" s="33">
        <f t="shared" si="10"/>
        <v>1.01</v>
      </c>
      <c r="N38" s="33">
        <f t="shared" si="10"/>
        <v>1.01</v>
      </c>
      <c r="O38" s="33">
        <f t="shared" si="10"/>
        <v>1.01</v>
      </c>
      <c r="P38" s="33">
        <f t="shared" si="10"/>
        <v>1.01</v>
      </c>
      <c r="Q38" s="33">
        <f t="shared" si="10"/>
        <v>1.01</v>
      </c>
      <c r="R38" s="34">
        <f t="shared" si="10"/>
        <v>1.01</v>
      </c>
    </row>
    <row r="39" spans="1:18" x14ac:dyDescent="0.2">
      <c r="A39" s="7" t="s">
        <v>30</v>
      </c>
      <c r="B39" s="33">
        <v>1</v>
      </c>
      <c r="C39" s="33">
        <f>SUM(C18,C20,C26)/SUM(B18,B20,B26)</f>
        <v>0.75920099842695754</v>
      </c>
      <c r="D39" s="33">
        <f>SUM(D18,D20,D26)/SUM(C18,C20,C26)</f>
        <v>1</v>
      </c>
      <c r="E39" s="102">
        <f>SUM(E18,E20,E26)/SUM(D18,D20,D26)</f>
        <v>3.4453453427742149</v>
      </c>
      <c r="F39" s="86">
        <f>SUM(F18,F20,F26)/SUM(E18,E20,E26)</f>
        <v>0.93280791041883071</v>
      </c>
      <c r="G39" s="33">
        <f t="shared" ref="G39:R39" si="11">SUM(G18,G20,G26)/SUM(F18,F20,F26)</f>
        <v>0.99388066361632266</v>
      </c>
      <c r="H39" s="33">
        <f t="shared" si="11"/>
        <v>0.98308094582659311</v>
      </c>
      <c r="I39" s="33">
        <f t="shared" si="11"/>
        <v>0.98909909381786654</v>
      </c>
      <c r="J39" s="33">
        <f t="shared" si="11"/>
        <v>0.99710001502368639</v>
      </c>
      <c r="K39" s="33">
        <f t="shared" si="11"/>
        <v>0.96559522377826346</v>
      </c>
      <c r="L39" s="33">
        <f t="shared" si="11"/>
        <v>0.98156265747400251</v>
      </c>
      <c r="M39" s="33">
        <f t="shared" si="11"/>
        <v>0.96487415572690982</v>
      </c>
      <c r="N39" s="33">
        <f t="shared" si="11"/>
        <v>0.97058792408909178</v>
      </c>
      <c r="O39" s="33">
        <f t="shared" si="11"/>
        <v>0.98312430794244576</v>
      </c>
      <c r="P39" s="33">
        <f t="shared" si="11"/>
        <v>0.97212132348864433</v>
      </c>
      <c r="Q39" s="33">
        <f t="shared" si="11"/>
        <v>0.98607725299508531</v>
      </c>
      <c r="R39" s="34">
        <f t="shared" si="11"/>
        <v>0.96859011647122595</v>
      </c>
    </row>
    <row r="40" spans="1:18" x14ac:dyDescent="0.2">
      <c r="A40" s="7" t="s">
        <v>3</v>
      </c>
      <c r="B40" s="33">
        <v>1</v>
      </c>
      <c r="C40" s="33">
        <f>B40</f>
        <v>1</v>
      </c>
      <c r="D40" s="33">
        <f t="shared" ref="D40:R40" si="12">C40</f>
        <v>1</v>
      </c>
      <c r="E40" s="102">
        <f t="shared" si="12"/>
        <v>1</v>
      </c>
      <c r="F40" s="86">
        <f t="shared" si="12"/>
        <v>1</v>
      </c>
      <c r="G40" s="33">
        <f t="shared" si="12"/>
        <v>1</v>
      </c>
      <c r="H40" s="33">
        <f t="shared" si="12"/>
        <v>1</v>
      </c>
      <c r="I40" s="33">
        <f t="shared" si="12"/>
        <v>1</v>
      </c>
      <c r="J40" s="33">
        <f t="shared" si="12"/>
        <v>1</v>
      </c>
      <c r="K40" s="33">
        <f t="shared" si="12"/>
        <v>1</v>
      </c>
      <c r="L40" s="33">
        <f t="shared" si="12"/>
        <v>1</v>
      </c>
      <c r="M40" s="33">
        <f t="shared" si="12"/>
        <v>1</v>
      </c>
      <c r="N40" s="33">
        <f t="shared" si="12"/>
        <v>1</v>
      </c>
      <c r="O40" s="33">
        <f t="shared" si="12"/>
        <v>1</v>
      </c>
      <c r="P40" s="33">
        <f t="shared" si="12"/>
        <v>1</v>
      </c>
      <c r="Q40" s="33">
        <f t="shared" si="12"/>
        <v>1</v>
      </c>
      <c r="R40" s="34">
        <f t="shared" si="12"/>
        <v>1</v>
      </c>
    </row>
    <row r="41" spans="1:18" ht="13.5" thickBot="1" x14ac:dyDescent="0.25">
      <c r="A41" s="28" t="s">
        <v>19</v>
      </c>
      <c r="B41" s="35">
        <v>1</v>
      </c>
      <c r="C41" s="35">
        <f>0.01249/0.01615</f>
        <v>0.77337461300309585</v>
      </c>
      <c r="D41" s="35">
        <f>0.01168/0.01249</f>
        <v>0.93514811849479584</v>
      </c>
      <c r="E41" s="103">
        <v>1</v>
      </c>
      <c r="F41" s="87">
        <v>1</v>
      </c>
      <c r="G41" s="35">
        <v>1</v>
      </c>
      <c r="H41" s="35">
        <v>1</v>
      </c>
      <c r="I41" s="35">
        <v>1</v>
      </c>
      <c r="J41" s="35">
        <v>1</v>
      </c>
      <c r="K41" s="35">
        <v>0</v>
      </c>
      <c r="L41" s="35">
        <v>0</v>
      </c>
      <c r="M41" s="35">
        <v>0</v>
      </c>
      <c r="N41" s="35">
        <v>0</v>
      </c>
      <c r="O41" s="35">
        <v>0</v>
      </c>
      <c r="P41" s="41">
        <v>0</v>
      </c>
      <c r="Q41" s="41">
        <v>0</v>
      </c>
      <c r="R41" s="36">
        <v>0</v>
      </c>
    </row>
    <row r="42" spans="1:18" x14ac:dyDescent="0.2">
      <c r="E42" s="89"/>
    </row>
    <row r="43" spans="1:18" ht="13.5" thickBot="1" x14ac:dyDescent="0.25">
      <c r="E43" s="89"/>
    </row>
    <row r="44" spans="1:18" x14ac:dyDescent="0.2">
      <c r="A44" s="3" t="s">
        <v>29</v>
      </c>
      <c r="B44" s="5"/>
      <c r="C44" s="5"/>
      <c r="D44" s="5"/>
      <c r="E44" s="99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6"/>
    </row>
    <row r="45" spans="1:18" x14ac:dyDescent="0.2">
      <c r="A45" s="7"/>
      <c r="B45" s="31">
        <v>1998</v>
      </c>
      <c r="C45" s="31">
        <v>1999</v>
      </c>
      <c r="D45" s="31">
        <v>2000</v>
      </c>
      <c r="E45" s="100">
        <v>2001</v>
      </c>
      <c r="F45" s="31">
        <v>2002</v>
      </c>
      <c r="G45" s="31">
        <v>2003</v>
      </c>
      <c r="H45" s="31">
        <v>2004</v>
      </c>
      <c r="I45" s="31">
        <v>2005</v>
      </c>
      <c r="J45" s="31">
        <v>2006</v>
      </c>
      <c r="K45" s="31">
        <v>2007</v>
      </c>
      <c r="L45" s="31">
        <v>2008</v>
      </c>
      <c r="M45" s="31">
        <v>2009</v>
      </c>
      <c r="N45" s="31">
        <v>2010</v>
      </c>
      <c r="O45" s="31">
        <v>2011</v>
      </c>
      <c r="P45" s="31">
        <v>2012</v>
      </c>
      <c r="Q45" s="31">
        <v>2013</v>
      </c>
      <c r="R45" s="32">
        <v>2014</v>
      </c>
    </row>
    <row r="46" spans="1:18" x14ac:dyDescent="0.2">
      <c r="A46" s="7" t="s">
        <v>7</v>
      </c>
      <c r="B46" s="33">
        <v>1</v>
      </c>
      <c r="C46" s="33">
        <f>B46*C37</f>
        <v>1.0673272888833056</v>
      </c>
      <c r="D46" s="33">
        <f t="shared" ref="D46:R50" si="13">C46*D37</f>
        <v>1.1034428314487585</v>
      </c>
      <c r="E46" s="101">
        <f t="shared" si="13"/>
        <v>2.1161224442471145</v>
      </c>
      <c r="F46" s="86">
        <f t="shared" si="13"/>
        <v>2.2410481304129335</v>
      </c>
      <c r="G46" s="33">
        <f t="shared" si="13"/>
        <v>2.2410481304129335</v>
      </c>
      <c r="H46" s="33">
        <f t="shared" si="13"/>
        <v>2.2410481304129335</v>
      </c>
      <c r="I46" s="33">
        <f t="shared" si="13"/>
        <v>2.2410481304129335</v>
      </c>
      <c r="J46" s="33">
        <f t="shared" si="13"/>
        <v>2.2410481304129335</v>
      </c>
      <c r="K46" s="33">
        <f t="shared" si="13"/>
        <v>2.2410481304129335</v>
      </c>
      <c r="L46" s="33">
        <f t="shared" si="13"/>
        <v>2.2410481304129335</v>
      </c>
      <c r="M46" s="33">
        <f t="shared" si="13"/>
        <v>2.2410481304129335</v>
      </c>
      <c r="N46" s="33">
        <f t="shared" si="13"/>
        <v>2.2410481304129335</v>
      </c>
      <c r="O46" s="33">
        <f t="shared" si="13"/>
        <v>2.2410481304129335</v>
      </c>
      <c r="P46" s="33">
        <f t="shared" si="13"/>
        <v>2.2410481304129335</v>
      </c>
      <c r="Q46" s="33">
        <f t="shared" si="13"/>
        <v>2.2410481304129335</v>
      </c>
      <c r="R46" s="34">
        <f t="shared" si="13"/>
        <v>2.2410481304129335</v>
      </c>
    </row>
    <row r="47" spans="1:18" x14ac:dyDescent="0.2">
      <c r="A47" s="7" t="s">
        <v>0</v>
      </c>
      <c r="B47" s="33">
        <v>1</v>
      </c>
      <c r="C47" s="33">
        <f>B47*C38</f>
        <v>1.0918790818703463</v>
      </c>
      <c r="D47" s="33">
        <f t="shared" si="13"/>
        <v>1.0976041069489437</v>
      </c>
      <c r="E47" s="102">
        <f t="shared" si="13"/>
        <v>1.187786254605715</v>
      </c>
      <c r="F47" s="86">
        <f t="shared" si="13"/>
        <v>1.187786254605715</v>
      </c>
      <c r="G47" s="33">
        <f t="shared" si="13"/>
        <v>1.1996641171517721</v>
      </c>
      <c r="H47" s="33">
        <f t="shared" si="13"/>
        <v>1.2116607583232899</v>
      </c>
      <c r="I47" s="33">
        <f t="shared" si="13"/>
        <v>1.2237773659065228</v>
      </c>
      <c r="J47" s="33">
        <f t="shared" si="13"/>
        <v>1.2360151395655881</v>
      </c>
      <c r="K47" s="33">
        <f t="shared" si="13"/>
        <v>1.248375290961244</v>
      </c>
      <c r="L47" s="33">
        <f t="shared" si="13"/>
        <v>1.2608590438708565</v>
      </c>
      <c r="M47" s="33">
        <f t="shared" si="13"/>
        <v>1.273467634309565</v>
      </c>
      <c r="N47" s="33">
        <f t="shared" si="13"/>
        <v>1.2862023106526606</v>
      </c>
      <c r="O47" s="33">
        <f t="shared" si="13"/>
        <v>1.2990643337591872</v>
      </c>
      <c r="P47" s="33">
        <f t="shared" si="13"/>
        <v>1.3120549770967791</v>
      </c>
      <c r="Q47" s="33">
        <f t="shared" si="13"/>
        <v>1.325175526867747</v>
      </c>
      <c r="R47" s="34">
        <f t="shared" si="13"/>
        <v>1.3384272821364245</v>
      </c>
    </row>
    <row r="48" spans="1:18" x14ac:dyDescent="0.2">
      <c r="A48" s="7" t="s">
        <v>30</v>
      </c>
      <c r="B48" s="45">
        <v>1</v>
      </c>
      <c r="C48" s="45">
        <f>B48*C39</f>
        <v>0.75920099842695754</v>
      </c>
      <c r="D48" s="45">
        <f t="shared" si="13"/>
        <v>0.75920099842695754</v>
      </c>
      <c r="E48" s="101">
        <f t="shared" si="13"/>
        <v>2.6157096241598521</v>
      </c>
      <c r="F48" s="88">
        <f t="shared" si="13"/>
        <v>2.4399546287749767</v>
      </c>
      <c r="G48" s="45">
        <f t="shared" si="13"/>
        <v>2.425023725640592</v>
      </c>
      <c r="H48" s="45">
        <f t="shared" si="13"/>
        <v>2.3839946178546816</v>
      </c>
      <c r="I48" s="45">
        <f t="shared" si="13"/>
        <v>2.3580069161867367</v>
      </c>
      <c r="J48" s="45">
        <f t="shared" si="13"/>
        <v>2.3511687315557515</v>
      </c>
      <c r="K48" s="45">
        <f t="shared" si="13"/>
        <v>2.2702772974870316</v>
      </c>
      <c r="L48" s="45">
        <f t="shared" si="13"/>
        <v>2.2284194173242673</v>
      </c>
      <c r="M48" s="45">
        <f t="shared" si="13"/>
        <v>2.1501443038962047</v>
      </c>
      <c r="N48" s="45">
        <f t="shared" si="13"/>
        <v>2.0869040964106027</v>
      </c>
      <c r="O48" s="45">
        <f t="shared" si="13"/>
        <v>2.0516861455259288</v>
      </c>
      <c r="P48" s="33">
        <f t="shared" si="13"/>
        <v>1.9944878511719812</v>
      </c>
      <c r="Q48" s="33">
        <f t="shared" si="13"/>
        <v>1.9667191014157377</v>
      </c>
      <c r="R48" s="34">
        <f t="shared" si="13"/>
        <v>1.9049446835064543</v>
      </c>
    </row>
    <row r="49" spans="1:18" x14ac:dyDescent="0.2">
      <c r="A49" s="7" t="s">
        <v>3</v>
      </c>
      <c r="B49" s="33">
        <v>1</v>
      </c>
      <c r="C49" s="33">
        <f>B49*C40</f>
        <v>1</v>
      </c>
      <c r="D49" s="33">
        <f t="shared" si="13"/>
        <v>1</v>
      </c>
      <c r="E49" s="102">
        <f t="shared" si="13"/>
        <v>1</v>
      </c>
      <c r="F49" s="86">
        <f t="shared" si="13"/>
        <v>1</v>
      </c>
      <c r="G49" s="33">
        <f t="shared" si="13"/>
        <v>1</v>
      </c>
      <c r="H49" s="33">
        <f t="shared" si="13"/>
        <v>1</v>
      </c>
      <c r="I49" s="33">
        <f t="shared" si="13"/>
        <v>1</v>
      </c>
      <c r="J49" s="33">
        <f t="shared" si="13"/>
        <v>1</v>
      </c>
      <c r="K49" s="33">
        <f t="shared" si="13"/>
        <v>1</v>
      </c>
      <c r="L49" s="33">
        <f t="shared" si="13"/>
        <v>1</v>
      </c>
      <c r="M49" s="33">
        <f t="shared" si="13"/>
        <v>1</v>
      </c>
      <c r="N49" s="33">
        <f t="shared" si="13"/>
        <v>1</v>
      </c>
      <c r="O49" s="33">
        <f t="shared" si="13"/>
        <v>1</v>
      </c>
      <c r="P49" s="33">
        <f t="shared" si="13"/>
        <v>1</v>
      </c>
      <c r="Q49" s="33">
        <f t="shared" si="13"/>
        <v>1</v>
      </c>
      <c r="R49" s="34">
        <f t="shared" si="13"/>
        <v>1</v>
      </c>
    </row>
    <row r="50" spans="1:18" ht="13.5" thickBot="1" x14ac:dyDescent="0.25">
      <c r="A50" s="28" t="s">
        <v>19</v>
      </c>
      <c r="B50" s="35">
        <v>1</v>
      </c>
      <c r="C50" s="35">
        <f>B50*C41</f>
        <v>0.77337461300309585</v>
      </c>
      <c r="D50" s="35">
        <f t="shared" si="13"/>
        <v>0.72321981424148596</v>
      </c>
      <c r="E50" s="103">
        <f t="shared" si="13"/>
        <v>0.72321981424148596</v>
      </c>
      <c r="F50" s="87">
        <f t="shared" si="13"/>
        <v>0.72321981424148596</v>
      </c>
      <c r="G50" s="35">
        <f t="shared" si="13"/>
        <v>0.72321981424148596</v>
      </c>
      <c r="H50" s="35">
        <f t="shared" si="13"/>
        <v>0.72321981424148596</v>
      </c>
      <c r="I50" s="35">
        <f t="shared" si="13"/>
        <v>0.72321981424148596</v>
      </c>
      <c r="J50" s="35">
        <f t="shared" si="13"/>
        <v>0.72321981424148596</v>
      </c>
      <c r="K50" s="35">
        <f t="shared" si="13"/>
        <v>0</v>
      </c>
      <c r="L50" s="35">
        <f t="shared" si="13"/>
        <v>0</v>
      </c>
      <c r="M50" s="35">
        <f t="shared" si="13"/>
        <v>0</v>
      </c>
      <c r="N50" s="35">
        <f t="shared" si="13"/>
        <v>0</v>
      </c>
      <c r="O50" s="35">
        <f t="shared" si="13"/>
        <v>0</v>
      </c>
      <c r="P50" s="35">
        <f t="shared" si="13"/>
        <v>0</v>
      </c>
      <c r="Q50" s="35">
        <f t="shared" si="13"/>
        <v>0</v>
      </c>
      <c r="R50" s="36">
        <f t="shared" si="13"/>
        <v>0</v>
      </c>
    </row>
    <row r="51" spans="1:18" ht="13.5" thickBot="1" x14ac:dyDescent="0.25">
      <c r="B51" s="53"/>
      <c r="C51" s="53"/>
      <c r="D51" s="53"/>
      <c r="E51" s="92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>
        <v>1.9944878511719812</v>
      </c>
      <c r="Q51" s="53">
        <v>1.9667191014157377</v>
      </c>
      <c r="R51" s="53">
        <v>1.9049446835064543</v>
      </c>
    </row>
    <row r="52" spans="1:18" ht="18.75" x14ac:dyDescent="0.3">
      <c r="A52" s="3" t="s">
        <v>77</v>
      </c>
      <c r="E52" s="8"/>
    </row>
    <row r="53" spans="1:18" x14ac:dyDescent="0.2">
      <c r="A53" s="7" t="s">
        <v>7</v>
      </c>
      <c r="B53" s="106">
        <f t="array" ref="B53:R55">TRANSPOSE('[1]T&amp;D Escalation'!$AK$5:$AM$21)</f>
        <v>1</v>
      </c>
      <c r="C53" s="106">
        <v>1.0673272888833056</v>
      </c>
      <c r="D53" s="106">
        <v>1.1034428314487585</v>
      </c>
      <c r="E53" s="106">
        <v>2.1161224442471145</v>
      </c>
      <c r="F53" s="106">
        <v>2.2641884834637716</v>
      </c>
      <c r="G53" s="106">
        <v>2.2641884834637716</v>
      </c>
      <c r="H53" s="106">
        <v>2.1834991161053661</v>
      </c>
      <c r="I53" s="106">
        <v>2.1834991161053661</v>
      </c>
      <c r="J53" s="106">
        <v>2.1187593327224925</v>
      </c>
      <c r="K53" s="106">
        <v>2.1187593327224925</v>
      </c>
      <c r="L53" s="106">
        <v>2.0566761654310914</v>
      </c>
      <c r="M53" s="106">
        <v>2.0566761654310914</v>
      </c>
      <c r="N53" s="106">
        <v>1.9977168881503851</v>
      </c>
      <c r="O53" s="106">
        <v>1.9977168881503851</v>
      </c>
      <c r="P53" s="106">
        <v>1.9417871560751332</v>
      </c>
      <c r="Q53" s="106">
        <v>1.9417871560751332</v>
      </c>
      <c r="R53" s="106">
        <v>1.8894614755840184</v>
      </c>
    </row>
    <row r="54" spans="1:18" x14ac:dyDescent="0.2">
      <c r="A54" s="7" t="s">
        <v>0</v>
      </c>
      <c r="B54" s="106">
        <v>1</v>
      </c>
      <c r="C54" s="106">
        <v>1.0918790818703463</v>
      </c>
      <c r="D54" s="106">
        <v>1.0976041069489437</v>
      </c>
      <c r="E54" s="106">
        <v>1.187786254605715</v>
      </c>
      <c r="F54" s="106">
        <v>1.1452667015811169</v>
      </c>
      <c r="G54" s="106">
        <v>1.1541729569840249</v>
      </c>
      <c r="H54" s="106">
        <v>1.1636823881538718</v>
      </c>
      <c r="I54" s="106">
        <v>1.1737733852334165</v>
      </c>
      <c r="J54" s="106">
        <v>1.1843667279903991</v>
      </c>
      <c r="K54" s="106">
        <v>1.1350799804395593</v>
      </c>
      <c r="L54" s="106">
        <v>1.1460995957649209</v>
      </c>
      <c r="M54" s="106">
        <v>1.1575492340775393</v>
      </c>
      <c r="N54" s="106">
        <v>1.1693068557773014</v>
      </c>
      <c r="O54" s="106">
        <v>1.1812616936221436</v>
      </c>
      <c r="P54" s="106">
        <v>1.1393060610028116</v>
      </c>
      <c r="Q54" s="106">
        <v>1.1509257063629394</v>
      </c>
      <c r="R54" s="106">
        <v>1.1625150742497088</v>
      </c>
    </row>
    <row r="55" spans="1:18" ht="13.5" thickBot="1" x14ac:dyDescent="0.25">
      <c r="A55" t="s">
        <v>76</v>
      </c>
      <c r="B55" s="106">
        <v>1</v>
      </c>
      <c r="C55" s="106">
        <v>0.75920099842695754</v>
      </c>
      <c r="D55" s="106">
        <v>0.75920099842695754</v>
      </c>
      <c r="E55" s="106">
        <v>2.6157096241598521</v>
      </c>
      <c r="F55" s="106">
        <v>2.4399546287749767</v>
      </c>
      <c r="G55" s="106">
        <v>2.425023725640592</v>
      </c>
      <c r="H55" s="106">
        <v>2.3839946178546816</v>
      </c>
      <c r="I55" s="106">
        <v>2.3580069161867367</v>
      </c>
      <c r="J55" s="106">
        <v>2.3511687315557515</v>
      </c>
      <c r="K55" s="106">
        <v>2.2702772974870316</v>
      </c>
      <c r="L55" s="106">
        <v>2.2284194173242673</v>
      </c>
      <c r="M55" s="106">
        <v>2.1501443038962047</v>
      </c>
      <c r="N55" s="106">
        <v>2.0869040964106027</v>
      </c>
      <c r="O55" s="106">
        <v>2.0516861455259288</v>
      </c>
      <c r="P55" s="106">
        <v>1.9944878511719812</v>
      </c>
      <c r="Q55" s="106">
        <v>1.9667191014157377</v>
      </c>
      <c r="R55" s="106">
        <v>1.9049446835064543</v>
      </c>
    </row>
    <row r="56" spans="1:18" ht="13.5" thickBot="1" x14ac:dyDescent="0.25">
      <c r="A56" s="110" t="s">
        <v>78</v>
      </c>
      <c r="B56" s="107">
        <f>'[1]T&amp;D Escalation'!$BG$5</f>
        <v>36922.672129629631</v>
      </c>
    </row>
    <row r="65" spans="1:1" x14ac:dyDescent="0.2">
      <c r="A65" t="s">
        <v>52</v>
      </c>
    </row>
    <row r="66" spans="1:1" x14ac:dyDescent="0.2">
      <c r="A66" t="s">
        <v>55</v>
      </c>
    </row>
    <row r="67" spans="1:1" x14ac:dyDescent="0.2">
      <c r="A67" t="s">
        <v>54</v>
      </c>
    </row>
    <row r="68" spans="1:1" x14ac:dyDescent="0.2">
      <c r="A68" t="s">
        <v>58</v>
      </c>
    </row>
  </sheetData>
  <pageMargins left="0.47" right="0.42" top="0.6" bottom="0.57999999999999996" header="0.5" footer="0.5"/>
  <pageSetup scale="50" orientation="landscape" r:id="rId1"/>
  <headerFooter alignWithMargins="0">
    <oddFooter>&amp;L&amp;F &amp;A&amp;R&amp;D TJJ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83"/>
  <sheetViews>
    <sheetView topLeftCell="A47" zoomScale="75" zoomScaleNormal="75" workbookViewId="0">
      <selection activeCell="A75" sqref="A75"/>
    </sheetView>
  </sheetViews>
  <sheetFormatPr defaultRowHeight="12.75" x14ac:dyDescent="0.2"/>
  <cols>
    <col min="1" max="1" width="33.42578125" customWidth="1"/>
    <col min="2" max="2" width="11" bestFit="1" customWidth="1"/>
    <col min="3" max="3" width="13.28515625" customWidth="1"/>
    <col min="4" max="4" width="11.5703125" customWidth="1"/>
    <col min="5" max="5" width="12.85546875" customWidth="1"/>
    <col min="6" max="18" width="10.28515625" customWidth="1"/>
  </cols>
  <sheetData>
    <row r="1" spans="1:18" x14ac:dyDescent="0.2">
      <c r="A1" s="3" t="s">
        <v>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 spans="1:18" x14ac:dyDescent="0.2">
      <c r="A2" s="7"/>
      <c r="B2" s="9" t="s">
        <v>35</v>
      </c>
      <c r="C2" s="8"/>
      <c r="D2" s="8"/>
      <c r="E2" s="8"/>
      <c r="F2" s="8" t="s">
        <v>6</v>
      </c>
      <c r="G2" s="8" t="s">
        <v>6</v>
      </c>
      <c r="H2" s="8" t="s">
        <v>6</v>
      </c>
      <c r="I2" s="8" t="s">
        <v>6</v>
      </c>
      <c r="J2" s="8" t="s">
        <v>6</v>
      </c>
      <c r="K2" s="8" t="s">
        <v>6</v>
      </c>
      <c r="L2" s="8" t="s">
        <v>6</v>
      </c>
      <c r="M2" s="8" t="s">
        <v>6</v>
      </c>
      <c r="N2" s="8" t="s">
        <v>6</v>
      </c>
      <c r="O2" s="8" t="s">
        <v>6</v>
      </c>
      <c r="P2" s="8" t="s">
        <v>6</v>
      </c>
      <c r="Q2" s="8" t="s">
        <v>6</v>
      </c>
      <c r="R2" s="10" t="s">
        <v>6</v>
      </c>
    </row>
    <row r="3" spans="1:18" x14ac:dyDescent="0.2">
      <c r="A3" s="7"/>
      <c r="B3" s="47">
        <v>1998</v>
      </c>
      <c r="C3" s="47">
        <v>1999</v>
      </c>
      <c r="D3" s="47">
        <v>2000</v>
      </c>
      <c r="E3" s="47">
        <v>2001</v>
      </c>
      <c r="F3" s="47">
        <v>2002</v>
      </c>
      <c r="G3" s="47">
        <v>2003</v>
      </c>
      <c r="H3" s="47">
        <v>2004</v>
      </c>
      <c r="I3" s="47">
        <v>2005</v>
      </c>
      <c r="J3" s="47">
        <v>2006</v>
      </c>
      <c r="K3" s="47">
        <v>2007</v>
      </c>
      <c r="L3" s="47">
        <v>2008</v>
      </c>
      <c r="M3" s="47">
        <v>2009</v>
      </c>
      <c r="N3" s="47">
        <v>2010</v>
      </c>
      <c r="O3" s="47">
        <v>2011</v>
      </c>
      <c r="P3" s="8">
        <v>2012</v>
      </c>
      <c r="Q3" s="8">
        <v>2013</v>
      </c>
      <c r="R3" s="10">
        <v>2014</v>
      </c>
    </row>
    <row r="4" spans="1:18" x14ac:dyDescent="0.2">
      <c r="A4" s="44" t="s">
        <v>51</v>
      </c>
      <c r="B4" s="24">
        <f>C4</f>
        <v>77300</v>
      </c>
      <c r="C4" s="31">
        <v>77300</v>
      </c>
      <c r="D4" s="24">
        <f>1.018*C4</f>
        <v>78691.399999999994</v>
      </c>
      <c r="E4" s="24">
        <f>1.018*D4</f>
        <v>80107.845199999996</v>
      </c>
      <c r="F4" s="24">
        <f>E4</f>
        <v>80107.845199999996</v>
      </c>
      <c r="G4" s="24">
        <f>F4</f>
        <v>80107.845199999996</v>
      </c>
      <c r="H4" s="24">
        <f t="shared" ref="H4:N4" si="0">G4</f>
        <v>80107.845199999996</v>
      </c>
      <c r="I4" s="24">
        <f t="shared" si="0"/>
        <v>80107.845199999996</v>
      </c>
      <c r="J4" s="24">
        <f t="shared" si="0"/>
        <v>80107.845199999996</v>
      </c>
      <c r="K4" s="24">
        <f t="shared" si="0"/>
        <v>80107.845199999996</v>
      </c>
      <c r="L4" s="24">
        <f t="shared" si="0"/>
        <v>80107.845199999996</v>
      </c>
      <c r="M4" s="24">
        <f t="shared" si="0"/>
        <v>80107.845199999996</v>
      </c>
      <c r="N4" s="24">
        <f t="shared" si="0"/>
        <v>80107.845199999996</v>
      </c>
      <c r="O4" s="31"/>
      <c r="P4" s="8"/>
      <c r="Q4" s="8"/>
      <c r="R4" s="10"/>
    </row>
    <row r="5" spans="1:18" s="2" customFormat="1" x14ac:dyDescent="0.2">
      <c r="B5" s="11"/>
      <c r="C5" s="38"/>
      <c r="D5" s="38"/>
      <c r="E5" s="38"/>
      <c r="F5" s="38"/>
      <c r="G5" s="38"/>
      <c r="H5" s="11"/>
      <c r="I5" s="11"/>
      <c r="J5" s="11"/>
      <c r="K5" s="11"/>
      <c r="L5" s="11"/>
      <c r="M5" s="11"/>
      <c r="N5" s="11"/>
      <c r="O5" s="11"/>
      <c r="P5" s="11"/>
      <c r="Q5" s="11"/>
      <c r="R5" s="13"/>
    </row>
    <row r="6" spans="1:18" x14ac:dyDescent="0.2">
      <c r="A6" s="7" t="s">
        <v>7</v>
      </c>
      <c r="B6" s="11"/>
      <c r="C6" s="11"/>
      <c r="D6" s="11"/>
      <c r="E6" s="11"/>
      <c r="F6" s="58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3"/>
    </row>
    <row r="7" spans="1:18" x14ac:dyDescent="0.2">
      <c r="A7" s="14" t="s">
        <v>8</v>
      </c>
      <c r="B7" s="16">
        <v>213054</v>
      </c>
      <c r="C7" s="16">
        <v>213054</v>
      </c>
      <c r="D7" s="16">
        <v>213054</v>
      </c>
      <c r="E7" s="11">
        <f>D7</f>
        <v>213054</v>
      </c>
      <c r="F7" s="11">
        <f>E7</f>
        <v>213054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3"/>
    </row>
    <row r="8" spans="1:18" x14ac:dyDescent="0.2">
      <c r="A8" s="14" t="s">
        <v>2</v>
      </c>
      <c r="B8" s="16">
        <v>-2000</v>
      </c>
      <c r="C8" s="16">
        <v>-4866</v>
      </c>
      <c r="D8" s="24">
        <f>C8*4</f>
        <v>-19464</v>
      </c>
      <c r="E8" s="11">
        <f>D8</f>
        <v>-19464</v>
      </c>
      <c r="F8" s="11">
        <f>E8</f>
        <v>-19464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3"/>
    </row>
    <row r="9" spans="1:18" x14ac:dyDescent="0.2">
      <c r="A9" s="14" t="s">
        <v>9</v>
      </c>
      <c r="B9" s="11"/>
      <c r="C9" s="11"/>
      <c r="D9" s="11"/>
      <c r="E9" s="11">
        <v>126000</v>
      </c>
      <c r="F9" s="11">
        <f>E9</f>
        <v>126000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3"/>
    </row>
    <row r="10" spans="1:18" x14ac:dyDescent="0.2">
      <c r="A10" s="14" t="s">
        <v>10</v>
      </c>
      <c r="B10" s="11"/>
      <c r="C10" s="11"/>
      <c r="D10" s="11"/>
      <c r="E10" s="11"/>
      <c r="F10" s="11">
        <v>40000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3"/>
    </row>
    <row r="11" spans="1:18" ht="13.5" thickBot="1" x14ac:dyDescent="0.25">
      <c r="A11" s="14" t="s">
        <v>11</v>
      </c>
      <c r="B11" s="19">
        <f>SUM(B7:B10)</f>
        <v>211054</v>
      </c>
      <c r="C11" s="19">
        <f>SUM(C7:C10)</f>
        <v>208188</v>
      </c>
      <c r="D11" s="19">
        <f>SUM(D7:D10)</f>
        <v>193590</v>
      </c>
      <c r="E11" s="19">
        <f>SUM(E7:E10)</f>
        <v>319590</v>
      </c>
      <c r="F11" s="19">
        <f>SUM(F7:F10)</f>
        <v>359590</v>
      </c>
      <c r="G11" s="19">
        <f>F11</f>
        <v>359590</v>
      </c>
      <c r="H11" s="19">
        <f t="shared" ref="H11:R11" si="1">G11</f>
        <v>359590</v>
      </c>
      <c r="I11" s="19">
        <f t="shared" si="1"/>
        <v>359590</v>
      </c>
      <c r="J11" s="19">
        <f t="shared" si="1"/>
        <v>359590</v>
      </c>
      <c r="K11" s="19">
        <f t="shared" si="1"/>
        <v>359590</v>
      </c>
      <c r="L11" s="19">
        <f t="shared" si="1"/>
        <v>359590</v>
      </c>
      <c r="M11" s="19">
        <f t="shared" si="1"/>
        <v>359590</v>
      </c>
      <c r="N11" s="19">
        <f t="shared" si="1"/>
        <v>359590</v>
      </c>
      <c r="O11" s="19">
        <f t="shared" si="1"/>
        <v>359590</v>
      </c>
      <c r="P11" s="19">
        <f t="shared" si="1"/>
        <v>359590</v>
      </c>
      <c r="Q11" s="19">
        <f t="shared" si="1"/>
        <v>359590</v>
      </c>
      <c r="R11" s="22">
        <f t="shared" si="1"/>
        <v>359590</v>
      </c>
    </row>
    <row r="12" spans="1:18" ht="13.5" thickTop="1" x14ac:dyDescent="0.2">
      <c r="A12" s="14"/>
      <c r="B12" s="38"/>
      <c r="C12" s="38"/>
      <c r="D12" s="38"/>
      <c r="E12" s="38"/>
      <c r="F12" s="38"/>
      <c r="G12" s="38"/>
      <c r="H12" s="38"/>
      <c r="I12" s="11"/>
      <c r="J12" s="11"/>
      <c r="K12" s="11"/>
      <c r="L12" s="11"/>
      <c r="M12" s="11"/>
      <c r="N12" s="11"/>
      <c r="O12" s="11"/>
      <c r="P12" s="11"/>
      <c r="Q12" s="11"/>
      <c r="R12" s="13"/>
    </row>
    <row r="13" spans="1:18" x14ac:dyDescent="0.2">
      <c r="A13" s="7" t="s">
        <v>0</v>
      </c>
      <c r="B13" s="11"/>
      <c r="C13" s="11"/>
      <c r="D13" s="11"/>
      <c r="E13" s="11"/>
      <c r="F13" s="38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3"/>
    </row>
    <row r="14" spans="1:18" x14ac:dyDescent="0.2">
      <c r="A14" s="14" t="s">
        <v>12</v>
      </c>
      <c r="B14" s="11">
        <v>1741188</v>
      </c>
      <c r="C14" s="16">
        <f>B14*1.0035</f>
        <v>1747282.1580000001</v>
      </c>
      <c r="D14" s="16">
        <f>C14*1.0042</f>
        <v>1754620.7430636</v>
      </c>
      <c r="E14" s="24">
        <f>D14*1.0135</f>
        <v>1778308.1230949587</v>
      </c>
      <c r="F14" s="24">
        <f>E14*101%</f>
        <v>1796091.2043259083</v>
      </c>
      <c r="G14" s="24">
        <f t="shared" ref="G14:R14" si="2">F14*101%</f>
        <v>1814052.1163691673</v>
      </c>
      <c r="H14" s="24">
        <f t="shared" si="2"/>
        <v>1832192.6375328591</v>
      </c>
      <c r="I14" s="24">
        <f t="shared" si="2"/>
        <v>1850514.5639081877</v>
      </c>
      <c r="J14" s="24">
        <f t="shared" si="2"/>
        <v>1869019.7095472696</v>
      </c>
      <c r="K14" s="24">
        <f t="shared" si="2"/>
        <v>1887709.9066427422</v>
      </c>
      <c r="L14" s="24">
        <f t="shared" si="2"/>
        <v>1906587.0057091697</v>
      </c>
      <c r="M14" s="24">
        <f t="shared" si="2"/>
        <v>1925652.8757662615</v>
      </c>
      <c r="N14" s="24">
        <f t="shared" si="2"/>
        <v>1944909.4045239242</v>
      </c>
      <c r="O14" s="24">
        <f t="shared" si="2"/>
        <v>1964358.4985691635</v>
      </c>
      <c r="P14" s="24">
        <f t="shared" si="2"/>
        <v>1984002.0835548551</v>
      </c>
      <c r="Q14" s="24">
        <f t="shared" si="2"/>
        <v>2003842.1043904037</v>
      </c>
      <c r="R14" s="46">
        <f t="shared" si="2"/>
        <v>2023880.5254343078</v>
      </c>
    </row>
    <row r="15" spans="1:18" x14ac:dyDescent="0.2">
      <c r="A15" s="14" t="s">
        <v>36</v>
      </c>
      <c r="B15" s="16">
        <v>-65995</v>
      </c>
      <c r="C15" s="16">
        <v>-57098</v>
      </c>
      <c r="D15" s="16">
        <v>-48334</v>
      </c>
      <c r="E15" s="16">
        <v>-38175</v>
      </c>
      <c r="F15" s="11">
        <v>90562</v>
      </c>
      <c r="G15" s="11">
        <f>F15</f>
        <v>90562</v>
      </c>
      <c r="H15" s="11">
        <f t="shared" ref="H15:R15" si="3">G15</f>
        <v>90562</v>
      </c>
      <c r="I15" s="11">
        <f t="shared" si="3"/>
        <v>90562</v>
      </c>
      <c r="J15" s="11">
        <f t="shared" si="3"/>
        <v>90562</v>
      </c>
      <c r="K15" s="11">
        <f t="shared" si="3"/>
        <v>90562</v>
      </c>
      <c r="L15" s="11">
        <f t="shared" si="3"/>
        <v>90562</v>
      </c>
      <c r="M15" s="11">
        <f t="shared" si="3"/>
        <v>90562</v>
      </c>
      <c r="N15" s="11">
        <f t="shared" si="3"/>
        <v>90562</v>
      </c>
      <c r="O15" s="11">
        <f t="shared" si="3"/>
        <v>90562</v>
      </c>
      <c r="P15" s="11">
        <f t="shared" si="3"/>
        <v>90562</v>
      </c>
      <c r="Q15" s="11">
        <f t="shared" si="3"/>
        <v>90562</v>
      </c>
      <c r="R15" s="13">
        <f t="shared" si="3"/>
        <v>90562</v>
      </c>
    </row>
    <row r="16" spans="1:18" x14ac:dyDescent="0.2">
      <c r="A16" s="14" t="s">
        <v>32</v>
      </c>
      <c r="B16" s="16">
        <v>579</v>
      </c>
      <c r="C16" s="16">
        <f>237-2095+7797+2100+7978-361</f>
        <v>15656</v>
      </c>
      <c r="D16" s="11">
        <v>0</v>
      </c>
      <c r="E16" s="11">
        <v>0</v>
      </c>
      <c r="F16" s="11">
        <f>E16</f>
        <v>0</v>
      </c>
      <c r="G16" s="11">
        <f t="shared" ref="G16:R16" si="4">F16</f>
        <v>0</v>
      </c>
      <c r="H16" s="11">
        <f t="shared" si="4"/>
        <v>0</v>
      </c>
      <c r="I16" s="11">
        <f t="shared" si="4"/>
        <v>0</v>
      </c>
      <c r="J16" s="11">
        <f t="shared" si="4"/>
        <v>0</v>
      </c>
      <c r="K16" s="11">
        <f t="shared" si="4"/>
        <v>0</v>
      </c>
      <c r="L16" s="11">
        <f t="shared" si="4"/>
        <v>0</v>
      </c>
      <c r="M16" s="11">
        <f t="shared" si="4"/>
        <v>0</v>
      </c>
      <c r="N16" s="11">
        <f t="shared" si="4"/>
        <v>0</v>
      </c>
      <c r="O16" s="11">
        <f t="shared" si="4"/>
        <v>0</v>
      </c>
      <c r="P16" s="11">
        <f t="shared" si="4"/>
        <v>0</v>
      </c>
      <c r="Q16" s="11">
        <f t="shared" si="4"/>
        <v>0</v>
      </c>
      <c r="R16" s="13">
        <f t="shared" si="4"/>
        <v>0</v>
      </c>
    </row>
    <row r="17" spans="1:18" ht="13.5" thickBot="1" x14ac:dyDescent="0.25">
      <c r="A17" s="14" t="s">
        <v>15</v>
      </c>
      <c r="B17" s="19">
        <f>SUM(B14:B16)</f>
        <v>1675772</v>
      </c>
      <c r="C17" s="19">
        <f t="shared" ref="C17:R17" si="5">SUM(C14:C16)</f>
        <v>1705840.1580000001</v>
      </c>
      <c r="D17" s="19">
        <f t="shared" si="5"/>
        <v>1706286.7430636</v>
      </c>
      <c r="E17" s="19">
        <f t="shared" si="5"/>
        <v>1740133.1230949587</v>
      </c>
      <c r="F17" s="19">
        <f t="shared" si="5"/>
        <v>1886653.2043259083</v>
      </c>
      <c r="G17" s="19">
        <f t="shared" si="5"/>
        <v>1904614.1163691673</v>
      </c>
      <c r="H17" s="19">
        <f t="shared" si="5"/>
        <v>1922754.6375328591</v>
      </c>
      <c r="I17" s="19">
        <f t="shared" si="5"/>
        <v>1941076.5639081877</v>
      </c>
      <c r="J17" s="19">
        <f t="shared" si="5"/>
        <v>1959581.7095472696</v>
      </c>
      <c r="K17" s="19">
        <f t="shared" si="5"/>
        <v>1978271.9066427422</v>
      </c>
      <c r="L17" s="19">
        <f t="shared" si="5"/>
        <v>1997149.0057091697</v>
      </c>
      <c r="M17" s="19">
        <f t="shared" si="5"/>
        <v>2016214.8757662615</v>
      </c>
      <c r="N17" s="19">
        <f t="shared" si="5"/>
        <v>2035471.4045239242</v>
      </c>
      <c r="O17" s="19">
        <f t="shared" si="5"/>
        <v>2054920.4985691635</v>
      </c>
      <c r="P17" s="19">
        <f t="shared" si="5"/>
        <v>2074564.0835548551</v>
      </c>
      <c r="Q17" s="19">
        <f t="shared" si="5"/>
        <v>2094404.1043904037</v>
      </c>
      <c r="R17" s="22">
        <f t="shared" si="5"/>
        <v>2114442.5254343078</v>
      </c>
    </row>
    <row r="18" spans="1:18" ht="13.5" thickTop="1" x14ac:dyDescent="0.2">
      <c r="A18" s="14" t="s">
        <v>60</v>
      </c>
      <c r="B18" s="48">
        <f>B17/B4</f>
        <v>21.678809831824061</v>
      </c>
      <c r="C18" s="48">
        <f>B18*1.0035+(C15+C16)/C4</f>
        <v>21.218566649417852</v>
      </c>
      <c r="D18" s="48">
        <f>C18*1.0042+(D15+D16)/D4</f>
        <v>20.693462490712722</v>
      </c>
      <c r="E18" s="48">
        <f>D18*1.0135+(E15+E16)/E4</f>
        <v>20.496279148089037</v>
      </c>
      <c r="F18" s="48">
        <f t="shared" ref="F18:N18" si="6">F17/F4</f>
        <v>23.551416214175092</v>
      </c>
      <c r="G18" s="48">
        <f t="shared" si="6"/>
        <v>23.775625366205301</v>
      </c>
      <c r="H18" s="48">
        <f t="shared" si="6"/>
        <v>24.002076609755811</v>
      </c>
      <c r="I18" s="48">
        <f t="shared" si="6"/>
        <v>24.230792365741824</v>
      </c>
      <c r="J18" s="48">
        <f t="shared" si="6"/>
        <v>24.461795279287699</v>
      </c>
      <c r="K18" s="48">
        <f t="shared" si="6"/>
        <v>24.695108221969029</v>
      </c>
      <c r="L18" s="48">
        <f t="shared" si="6"/>
        <v>24.930754294077175</v>
      </c>
      <c r="M18" s="48">
        <f t="shared" si="6"/>
        <v>25.168756826906407</v>
      </c>
      <c r="N18" s="48">
        <f t="shared" si="6"/>
        <v>25.409139385063927</v>
      </c>
      <c r="O18" s="11"/>
      <c r="P18" s="11"/>
      <c r="Q18" s="11"/>
      <c r="R18" s="13"/>
    </row>
    <row r="19" spans="1:18" x14ac:dyDescent="0.2">
      <c r="A19" s="7" t="s">
        <v>16</v>
      </c>
      <c r="B19" s="11"/>
      <c r="C19" s="48">
        <f t="shared" ref="C19:N19" si="7">C18/$B$18</f>
        <v>0.97876990545253173</v>
      </c>
      <c r="D19" s="48">
        <f t="shared" si="7"/>
        <v>0.95454790420898161</v>
      </c>
      <c r="E19" s="48">
        <f t="shared" si="7"/>
        <v>0.94545223225312436</v>
      </c>
      <c r="F19" s="48">
        <f t="shared" si="7"/>
        <v>1.0863795751186525</v>
      </c>
      <c r="G19" s="48">
        <f t="shared" si="7"/>
        <v>1.0967218934363803</v>
      </c>
      <c r="H19" s="48">
        <f t="shared" si="7"/>
        <v>1.1071676349372852</v>
      </c>
      <c r="I19" s="48">
        <f t="shared" si="7"/>
        <v>1.117717833853199</v>
      </c>
      <c r="J19" s="48">
        <f t="shared" si="7"/>
        <v>1.1283735347582722</v>
      </c>
      <c r="K19" s="48">
        <f t="shared" si="7"/>
        <v>1.1391357926723957</v>
      </c>
      <c r="L19" s="48">
        <f t="shared" si="7"/>
        <v>1.1500056731656607</v>
      </c>
      <c r="M19" s="48">
        <f t="shared" si="7"/>
        <v>1.1609842524638587</v>
      </c>
      <c r="N19" s="48">
        <f t="shared" si="7"/>
        <v>1.1720726175550382</v>
      </c>
      <c r="O19" s="11"/>
      <c r="P19" s="11"/>
      <c r="Q19" s="11"/>
      <c r="R19" s="13"/>
    </row>
    <row r="20" spans="1:18" x14ac:dyDescent="0.2">
      <c r="A20" s="14" t="s">
        <v>16</v>
      </c>
      <c r="B20" s="16">
        <v>103847</v>
      </c>
      <c r="C20" s="16">
        <v>25000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3"/>
    </row>
    <row r="21" spans="1:18" x14ac:dyDescent="0.2">
      <c r="A21" s="14" t="s">
        <v>37</v>
      </c>
      <c r="B21" s="16">
        <v>11458</v>
      </c>
      <c r="C21" s="16">
        <v>11522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3"/>
    </row>
    <row r="22" spans="1:18" x14ac:dyDescent="0.2">
      <c r="A22" s="14" t="s">
        <v>38</v>
      </c>
      <c r="B22" s="16">
        <v>4633</v>
      </c>
      <c r="C22" s="16">
        <v>4642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3"/>
    </row>
    <row r="23" spans="1:18" x14ac:dyDescent="0.2">
      <c r="A23" s="14" t="s">
        <v>39</v>
      </c>
      <c r="B23" s="16">
        <v>3263</v>
      </c>
      <c r="C23" s="16">
        <f>3270-213-285</f>
        <v>2772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3"/>
    </row>
    <row r="24" spans="1:18" ht="13.5" thickBot="1" x14ac:dyDescent="0.25">
      <c r="A24" s="14"/>
      <c r="B24" s="19">
        <f>SUM(B20:B23)</f>
        <v>123201</v>
      </c>
      <c r="C24" s="43">
        <f>SUM(C20:C23)</f>
        <v>43936</v>
      </c>
      <c r="D24" s="19">
        <f>C24</f>
        <v>43936</v>
      </c>
      <c r="E24" s="19">
        <f t="shared" ref="E24:R24" si="8">D24</f>
        <v>43936</v>
      </c>
      <c r="F24" s="19">
        <f t="shared" si="8"/>
        <v>43936</v>
      </c>
      <c r="G24" s="19">
        <f t="shared" si="8"/>
        <v>43936</v>
      </c>
      <c r="H24" s="19">
        <f t="shared" si="8"/>
        <v>43936</v>
      </c>
      <c r="I24" s="19">
        <f t="shared" si="8"/>
        <v>43936</v>
      </c>
      <c r="J24" s="19">
        <f t="shared" si="8"/>
        <v>43936</v>
      </c>
      <c r="K24" s="19">
        <f t="shared" si="8"/>
        <v>43936</v>
      </c>
      <c r="L24" s="19">
        <f t="shared" si="8"/>
        <v>43936</v>
      </c>
      <c r="M24" s="19">
        <f t="shared" si="8"/>
        <v>43936</v>
      </c>
      <c r="N24" s="19">
        <f t="shared" si="8"/>
        <v>43936</v>
      </c>
      <c r="O24" s="19">
        <f t="shared" si="8"/>
        <v>43936</v>
      </c>
      <c r="P24" s="19">
        <f t="shared" si="8"/>
        <v>43936</v>
      </c>
      <c r="Q24" s="19">
        <f t="shared" si="8"/>
        <v>43936</v>
      </c>
      <c r="R24" s="22">
        <f t="shared" si="8"/>
        <v>43936</v>
      </c>
    </row>
    <row r="25" spans="1:18" ht="13.5" thickTop="1" x14ac:dyDescent="0.2">
      <c r="A25" s="14"/>
      <c r="B25" s="11"/>
      <c r="C25" s="11"/>
      <c r="D25" s="11">
        <v>0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3"/>
    </row>
    <row r="26" spans="1:18" x14ac:dyDescent="0.2">
      <c r="A26" s="7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3"/>
    </row>
    <row r="27" spans="1:18" x14ac:dyDescent="0.2">
      <c r="A27" s="7" t="s">
        <v>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3"/>
    </row>
    <row r="28" spans="1:18" x14ac:dyDescent="0.2">
      <c r="A28" s="14" t="s">
        <v>40</v>
      </c>
      <c r="B28" s="16">
        <v>90000</v>
      </c>
      <c r="C28" s="16">
        <v>90000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3"/>
    </row>
    <row r="29" spans="1:18" x14ac:dyDescent="0.2">
      <c r="A29" s="14" t="s">
        <v>41</v>
      </c>
      <c r="B29" s="16">
        <v>28500</v>
      </c>
      <c r="C29" s="16">
        <v>28500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3"/>
    </row>
    <row r="30" spans="1:18" x14ac:dyDescent="0.2">
      <c r="A30" s="14" t="s">
        <v>42</v>
      </c>
      <c r="B30" s="16">
        <v>1131</v>
      </c>
      <c r="C30" s="16">
        <v>1214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3"/>
    </row>
    <row r="31" spans="1:18" x14ac:dyDescent="0.2">
      <c r="A31" s="14" t="s">
        <v>43</v>
      </c>
      <c r="B31" s="16">
        <v>49500</v>
      </c>
      <c r="C31" s="16">
        <v>49500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3"/>
    </row>
    <row r="32" spans="1:18" x14ac:dyDescent="0.2">
      <c r="A32" s="14" t="s">
        <v>44</v>
      </c>
      <c r="B32" s="16">
        <v>7343</v>
      </c>
      <c r="C32" s="16">
        <v>7360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3"/>
    </row>
    <row r="33" spans="1:18" x14ac:dyDescent="0.2">
      <c r="A33" s="14" t="s">
        <v>45</v>
      </c>
      <c r="B33" s="16">
        <v>757</v>
      </c>
      <c r="C33" s="16">
        <v>958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3"/>
    </row>
    <row r="34" spans="1:18" x14ac:dyDescent="0.2">
      <c r="A34" s="14" t="s">
        <v>46</v>
      </c>
      <c r="B34" s="16">
        <v>0</v>
      </c>
      <c r="C34" s="16">
        <v>630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3"/>
    </row>
    <row r="35" spans="1:18" x14ac:dyDescent="0.2">
      <c r="A35" s="14" t="s">
        <v>47</v>
      </c>
      <c r="B35" s="16">
        <v>1991</v>
      </c>
      <c r="C35" s="16">
        <v>2030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3"/>
    </row>
    <row r="36" spans="1:18" x14ac:dyDescent="0.2">
      <c r="A36" s="14" t="s">
        <v>32</v>
      </c>
      <c r="B36" s="16">
        <f>5203+613+3800-3454</f>
        <v>6162</v>
      </c>
      <c r="C36" s="16">
        <f>-6426-753+308+7674</f>
        <v>803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3"/>
    </row>
    <row r="37" spans="1:18" ht="13.5" thickBot="1" x14ac:dyDescent="0.25">
      <c r="A37" s="14"/>
      <c r="B37" s="19">
        <f>SUM(B28:B36)</f>
        <v>185384</v>
      </c>
      <c r="C37" s="43">
        <f>SUM(C28:C36)</f>
        <v>180995</v>
      </c>
      <c r="D37" s="19">
        <f>C37</f>
        <v>180995</v>
      </c>
      <c r="E37" s="19">
        <f t="shared" ref="E37:R37" si="9">D37</f>
        <v>180995</v>
      </c>
      <c r="F37" s="19">
        <f t="shared" si="9"/>
        <v>180995</v>
      </c>
      <c r="G37" s="19">
        <f t="shared" si="9"/>
        <v>180995</v>
      </c>
      <c r="H37" s="19">
        <f t="shared" si="9"/>
        <v>180995</v>
      </c>
      <c r="I37" s="19">
        <f t="shared" si="9"/>
        <v>180995</v>
      </c>
      <c r="J37" s="19">
        <f t="shared" si="9"/>
        <v>180995</v>
      </c>
      <c r="K37" s="19">
        <f t="shared" si="9"/>
        <v>180995</v>
      </c>
      <c r="L37" s="19">
        <f t="shared" si="9"/>
        <v>180995</v>
      </c>
      <c r="M37" s="19">
        <f t="shared" si="9"/>
        <v>180995</v>
      </c>
      <c r="N37" s="19">
        <f t="shared" si="9"/>
        <v>180995</v>
      </c>
      <c r="O37" s="19">
        <f t="shared" si="9"/>
        <v>180995</v>
      </c>
      <c r="P37" s="19">
        <f t="shared" si="9"/>
        <v>180995</v>
      </c>
      <c r="Q37" s="19">
        <f t="shared" si="9"/>
        <v>180995</v>
      </c>
      <c r="R37" s="22">
        <f t="shared" si="9"/>
        <v>180995</v>
      </c>
    </row>
    <row r="38" spans="1:18" ht="13.5" thickTop="1" x14ac:dyDescent="0.2">
      <c r="A38" s="14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3"/>
    </row>
    <row r="39" spans="1:18" x14ac:dyDescent="0.2">
      <c r="A39" s="14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3"/>
    </row>
    <row r="40" spans="1:18" x14ac:dyDescent="0.2">
      <c r="A40" s="7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3"/>
    </row>
    <row r="41" spans="1:18" x14ac:dyDescent="0.2">
      <c r="A41" s="7" t="s">
        <v>1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3"/>
    </row>
    <row r="42" spans="1:18" x14ac:dyDescent="0.2">
      <c r="A42" s="14" t="s">
        <v>20</v>
      </c>
      <c r="B42" s="11"/>
      <c r="C42" s="11"/>
      <c r="D42" s="11"/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3">
        <v>0</v>
      </c>
    </row>
    <row r="43" spans="1:18" x14ac:dyDescent="0.2">
      <c r="A43" s="14" t="s">
        <v>34</v>
      </c>
      <c r="B43" s="11"/>
      <c r="C43" s="11"/>
      <c r="D43" s="11"/>
      <c r="E43" s="11">
        <v>50000</v>
      </c>
      <c r="F43" s="11">
        <v>50000</v>
      </c>
      <c r="G43" s="11">
        <v>50000</v>
      </c>
      <c r="H43" s="11">
        <v>50000</v>
      </c>
      <c r="I43" s="11">
        <v>50000</v>
      </c>
      <c r="J43" s="11">
        <v>50000</v>
      </c>
      <c r="K43" s="11">
        <v>50000</v>
      </c>
      <c r="L43" s="11">
        <v>50000</v>
      </c>
      <c r="M43" s="11">
        <v>50000</v>
      </c>
      <c r="N43" s="11">
        <v>50000</v>
      </c>
      <c r="O43" s="11">
        <v>50000</v>
      </c>
      <c r="P43" s="11">
        <v>50000</v>
      </c>
      <c r="Q43" s="11">
        <v>50000</v>
      </c>
      <c r="R43" s="13">
        <v>50000</v>
      </c>
    </row>
    <row r="44" spans="1:18" x14ac:dyDescent="0.2">
      <c r="A44" s="14" t="s">
        <v>21</v>
      </c>
      <c r="B44" s="11"/>
      <c r="C44" s="11"/>
      <c r="D44" s="11"/>
      <c r="E44" s="11">
        <v>860065</v>
      </c>
      <c r="F44" s="11">
        <v>584577</v>
      </c>
      <c r="G44" s="11">
        <v>584577</v>
      </c>
      <c r="H44" s="11">
        <v>579727</v>
      </c>
      <c r="I44" s="11">
        <v>550087</v>
      </c>
      <c r="J44" s="11">
        <v>528575</v>
      </c>
      <c r="K44" s="11">
        <v>528540</v>
      </c>
      <c r="L44" s="11">
        <v>404943</v>
      </c>
      <c r="M44" s="11">
        <v>367516</v>
      </c>
      <c r="N44" s="11">
        <v>339353</v>
      </c>
      <c r="O44" s="11">
        <v>330728</v>
      </c>
      <c r="P44" s="11">
        <v>324630</v>
      </c>
      <c r="Q44" s="11">
        <v>319831</v>
      </c>
      <c r="R44" s="13">
        <v>318585</v>
      </c>
    </row>
    <row r="45" spans="1:18" ht="13.5" thickBot="1" x14ac:dyDescent="0.25">
      <c r="A45" s="14" t="s">
        <v>22</v>
      </c>
      <c r="B45" s="19">
        <f>SUM(B42:B44)</f>
        <v>0</v>
      </c>
      <c r="C45" s="19">
        <f t="shared" ref="C45:R45" si="10">SUM(C42:C44)</f>
        <v>0</v>
      </c>
      <c r="D45" s="19">
        <f t="shared" si="10"/>
        <v>0</v>
      </c>
      <c r="E45" s="19">
        <f t="shared" si="10"/>
        <v>910065</v>
      </c>
      <c r="F45" s="19">
        <f t="shared" si="10"/>
        <v>634577</v>
      </c>
      <c r="G45" s="19">
        <f t="shared" si="10"/>
        <v>634577</v>
      </c>
      <c r="H45" s="19">
        <f t="shared" si="10"/>
        <v>629727</v>
      </c>
      <c r="I45" s="19">
        <f t="shared" si="10"/>
        <v>600087</v>
      </c>
      <c r="J45" s="19">
        <f t="shared" si="10"/>
        <v>578575</v>
      </c>
      <c r="K45" s="19">
        <f t="shared" si="10"/>
        <v>578540</v>
      </c>
      <c r="L45" s="19">
        <f t="shared" si="10"/>
        <v>454943</v>
      </c>
      <c r="M45" s="19">
        <f t="shared" si="10"/>
        <v>417516</v>
      </c>
      <c r="N45" s="19">
        <f t="shared" si="10"/>
        <v>389353</v>
      </c>
      <c r="O45" s="19">
        <f t="shared" si="10"/>
        <v>380728</v>
      </c>
      <c r="P45" s="19">
        <f t="shared" si="10"/>
        <v>374630</v>
      </c>
      <c r="Q45" s="19">
        <f t="shared" si="10"/>
        <v>369831</v>
      </c>
      <c r="R45" s="22">
        <f t="shared" si="10"/>
        <v>368585</v>
      </c>
    </row>
    <row r="46" spans="1:18" ht="13.5" thickTop="1" x14ac:dyDescent="0.2">
      <c r="A46" s="7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3"/>
    </row>
    <row r="47" spans="1:18" ht="13.5" thickBot="1" x14ac:dyDescent="0.25">
      <c r="A47" s="7" t="s">
        <v>18</v>
      </c>
      <c r="B47" s="19">
        <v>0</v>
      </c>
      <c r="C47" s="19">
        <f>B47</f>
        <v>0</v>
      </c>
      <c r="D47" s="19">
        <f t="shared" ref="D47:P47" si="11">C47</f>
        <v>0</v>
      </c>
      <c r="E47" s="19">
        <f t="shared" si="11"/>
        <v>0</v>
      </c>
      <c r="F47" s="19">
        <f t="shared" si="11"/>
        <v>0</v>
      </c>
      <c r="G47" s="19">
        <f t="shared" si="11"/>
        <v>0</v>
      </c>
      <c r="H47" s="19">
        <f t="shared" si="11"/>
        <v>0</v>
      </c>
      <c r="I47" s="19">
        <f t="shared" si="11"/>
        <v>0</v>
      </c>
      <c r="J47" s="19">
        <f t="shared" si="11"/>
        <v>0</v>
      </c>
      <c r="K47" s="19">
        <f t="shared" si="11"/>
        <v>0</v>
      </c>
      <c r="L47" s="19">
        <f t="shared" si="11"/>
        <v>0</v>
      </c>
      <c r="M47" s="19">
        <f t="shared" si="11"/>
        <v>0</v>
      </c>
      <c r="N47" s="19">
        <f t="shared" si="11"/>
        <v>0</v>
      </c>
      <c r="O47" s="19">
        <f t="shared" si="11"/>
        <v>0</v>
      </c>
      <c r="P47" s="19">
        <f t="shared" si="11"/>
        <v>0</v>
      </c>
      <c r="Q47" s="19">
        <f>P47</f>
        <v>0</v>
      </c>
      <c r="R47" s="22">
        <f>Q47</f>
        <v>0</v>
      </c>
    </row>
    <row r="48" spans="1:18" ht="13.5" thickTop="1" x14ac:dyDescent="0.2">
      <c r="A48" s="7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3"/>
    </row>
    <row r="49" spans="1:18" ht="13.5" thickBot="1" x14ac:dyDescent="0.25">
      <c r="A49" s="7" t="s">
        <v>23</v>
      </c>
      <c r="B49" s="19">
        <v>0</v>
      </c>
      <c r="C49" s="19">
        <f>B49</f>
        <v>0</v>
      </c>
      <c r="D49" s="19">
        <f t="shared" ref="D49:P49" si="12">C49</f>
        <v>0</v>
      </c>
      <c r="E49" s="19">
        <f t="shared" si="12"/>
        <v>0</v>
      </c>
      <c r="F49" s="19">
        <f t="shared" si="12"/>
        <v>0</v>
      </c>
      <c r="G49" s="19">
        <f t="shared" si="12"/>
        <v>0</v>
      </c>
      <c r="H49" s="19">
        <f t="shared" si="12"/>
        <v>0</v>
      </c>
      <c r="I49" s="19">
        <f t="shared" si="12"/>
        <v>0</v>
      </c>
      <c r="J49" s="19">
        <f t="shared" si="12"/>
        <v>0</v>
      </c>
      <c r="K49" s="19">
        <f t="shared" si="12"/>
        <v>0</v>
      </c>
      <c r="L49" s="19">
        <f t="shared" si="12"/>
        <v>0</v>
      </c>
      <c r="M49" s="19">
        <f t="shared" si="12"/>
        <v>0</v>
      </c>
      <c r="N49" s="19">
        <f t="shared" si="12"/>
        <v>0</v>
      </c>
      <c r="O49" s="19">
        <f t="shared" si="12"/>
        <v>0</v>
      </c>
      <c r="P49" s="19">
        <f t="shared" si="12"/>
        <v>0</v>
      </c>
      <c r="Q49" s="19">
        <f>P49</f>
        <v>0</v>
      </c>
      <c r="R49" s="22">
        <f>Q49</f>
        <v>0</v>
      </c>
    </row>
    <row r="50" spans="1:18" ht="13.5" thickTop="1" x14ac:dyDescent="0.2">
      <c r="A50" s="7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3"/>
    </row>
    <row r="51" spans="1:18" ht="13.5" thickBot="1" x14ac:dyDescent="0.25">
      <c r="A51" s="28" t="s">
        <v>19</v>
      </c>
      <c r="B51" s="39">
        <v>0</v>
      </c>
      <c r="C51" s="39">
        <f>B51</f>
        <v>0</v>
      </c>
      <c r="D51" s="39">
        <f t="shared" ref="D51:N51" si="13">C51</f>
        <v>0</v>
      </c>
      <c r="E51" s="39">
        <f t="shared" si="13"/>
        <v>0</v>
      </c>
      <c r="F51" s="39">
        <f t="shared" si="13"/>
        <v>0</v>
      </c>
      <c r="G51" s="39">
        <f t="shared" si="13"/>
        <v>0</v>
      </c>
      <c r="H51" s="39">
        <f t="shared" si="13"/>
        <v>0</v>
      </c>
      <c r="I51" s="39">
        <f t="shared" si="13"/>
        <v>0</v>
      </c>
      <c r="J51" s="39">
        <f t="shared" si="13"/>
        <v>0</v>
      </c>
      <c r="K51" s="39">
        <f t="shared" si="13"/>
        <v>0</v>
      </c>
      <c r="L51" s="39">
        <f t="shared" si="13"/>
        <v>0</v>
      </c>
      <c r="M51" s="39">
        <f t="shared" si="13"/>
        <v>0</v>
      </c>
      <c r="N51" s="39">
        <f t="shared" si="13"/>
        <v>0</v>
      </c>
      <c r="O51" s="39">
        <f>N51</f>
        <v>0</v>
      </c>
      <c r="P51" s="39">
        <f>O51</f>
        <v>0</v>
      </c>
      <c r="Q51" s="39">
        <f>P51</f>
        <v>0</v>
      </c>
      <c r="R51" s="40">
        <f>Q51</f>
        <v>0</v>
      </c>
    </row>
    <row r="52" spans="1:18" x14ac:dyDescent="0.2">
      <c r="A52" s="8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ht="13.5" thickBot="1" x14ac:dyDescent="0.25"/>
    <row r="54" spans="1:18" x14ac:dyDescent="0.2">
      <c r="A54" s="3" t="s">
        <v>28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6"/>
    </row>
    <row r="55" spans="1:18" x14ac:dyDescent="0.2">
      <c r="A55" s="7"/>
      <c r="B55" s="31">
        <v>1998</v>
      </c>
      <c r="C55" s="31">
        <v>1999</v>
      </c>
      <c r="D55" s="31">
        <v>2000</v>
      </c>
      <c r="E55" s="31">
        <v>2001</v>
      </c>
      <c r="F55" s="31">
        <v>2002</v>
      </c>
      <c r="G55" s="31">
        <v>2003</v>
      </c>
      <c r="H55" s="31">
        <v>2004</v>
      </c>
      <c r="I55" s="31">
        <v>2005</v>
      </c>
      <c r="J55" s="31">
        <v>2006</v>
      </c>
      <c r="K55" s="31">
        <v>2007</v>
      </c>
      <c r="L55" s="31">
        <v>2008</v>
      </c>
      <c r="M55" s="31">
        <v>2009</v>
      </c>
      <c r="N55" s="31">
        <v>2010</v>
      </c>
      <c r="O55" s="31">
        <v>2011</v>
      </c>
      <c r="P55" s="31">
        <v>2012</v>
      </c>
      <c r="Q55" s="31">
        <v>2013</v>
      </c>
      <c r="R55" s="32">
        <v>2014</v>
      </c>
    </row>
    <row r="56" spans="1:18" x14ac:dyDescent="0.2">
      <c r="A56" s="7" t="s">
        <v>7</v>
      </c>
      <c r="B56" s="33">
        <v>1</v>
      </c>
      <c r="C56" s="33">
        <f>C11/B11</f>
        <v>0.98642053692419951</v>
      </c>
      <c r="D56" s="33">
        <f t="shared" ref="D56:R56" si="14">D11/C11</f>
        <v>0.92988068476569252</v>
      </c>
      <c r="E56" s="33">
        <f t="shared" si="14"/>
        <v>1.6508600650860066</v>
      </c>
      <c r="F56" s="33">
        <f t="shared" si="14"/>
        <v>1.1251603617134454</v>
      </c>
      <c r="G56" s="33">
        <f t="shared" si="14"/>
        <v>1</v>
      </c>
      <c r="H56" s="33">
        <f t="shared" si="14"/>
        <v>1</v>
      </c>
      <c r="I56" s="33">
        <f t="shared" si="14"/>
        <v>1</v>
      </c>
      <c r="J56" s="33">
        <f t="shared" si="14"/>
        <v>1</v>
      </c>
      <c r="K56" s="33">
        <f t="shared" si="14"/>
        <v>1</v>
      </c>
      <c r="L56" s="33">
        <f t="shared" si="14"/>
        <v>1</v>
      </c>
      <c r="M56" s="33">
        <f t="shared" si="14"/>
        <v>1</v>
      </c>
      <c r="N56" s="33">
        <f t="shared" si="14"/>
        <v>1</v>
      </c>
      <c r="O56" s="33">
        <f t="shared" si="14"/>
        <v>1</v>
      </c>
      <c r="P56" s="33">
        <f t="shared" si="14"/>
        <v>1</v>
      </c>
      <c r="Q56" s="33">
        <f t="shared" si="14"/>
        <v>1</v>
      </c>
      <c r="R56" s="34">
        <f t="shared" si="14"/>
        <v>1</v>
      </c>
    </row>
    <row r="57" spans="1:18" x14ac:dyDescent="0.2">
      <c r="A57" s="7" t="s">
        <v>0</v>
      </c>
      <c r="B57" s="33">
        <v>1</v>
      </c>
      <c r="C57" s="33">
        <f>C17/B17</f>
        <v>1.017942869316351</v>
      </c>
      <c r="D57" s="33">
        <f t="shared" ref="D57:R57" si="15">D17/C17</f>
        <v>1.0002617977197368</v>
      </c>
      <c r="E57" s="33">
        <f t="shared" si="15"/>
        <v>1.019836279083191</v>
      </c>
      <c r="F57" s="33">
        <f t="shared" si="15"/>
        <v>1.0842005012641518</v>
      </c>
      <c r="G57" s="33">
        <f t="shared" si="15"/>
        <v>1.0095199859741453</v>
      </c>
      <c r="H57" s="33">
        <f t="shared" si="15"/>
        <v>1.0095245126074535</v>
      </c>
      <c r="I57" s="33">
        <f t="shared" si="15"/>
        <v>1.0095289986656009</v>
      </c>
      <c r="J57" s="33">
        <f t="shared" si="15"/>
        <v>1.009533444472599</v>
      </c>
      <c r="K57" s="33">
        <f t="shared" si="15"/>
        <v>1.0095378503506194</v>
      </c>
      <c r="L57" s="33">
        <f t="shared" si="15"/>
        <v>1.009542216619991</v>
      </c>
      <c r="M57" s="33">
        <f t="shared" si="15"/>
        <v>1.009546543599195</v>
      </c>
      <c r="N57" s="33">
        <f t="shared" si="15"/>
        <v>1.0095508316048627</v>
      </c>
      <c r="O57" s="33">
        <f t="shared" si="15"/>
        <v>1.0095550809517702</v>
      </c>
      <c r="P57" s="33">
        <f t="shared" si="15"/>
        <v>1.0095592919528369</v>
      </c>
      <c r="Q57" s="33">
        <f t="shared" si="15"/>
        <v>1.0095634649191225</v>
      </c>
      <c r="R57" s="34">
        <f t="shared" si="15"/>
        <v>1.0095676001598251</v>
      </c>
    </row>
    <row r="58" spans="1:18" x14ac:dyDescent="0.2">
      <c r="A58" s="7" t="s">
        <v>30</v>
      </c>
      <c r="B58" s="33">
        <v>1</v>
      </c>
      <c r="C58" s="33">
        <f>SUM(C24,C37,C45)/SUM(B24,B37,B45)</f>
        <v>0.72891099697004069</v>
      </c>
      <c r="D58" s="33">
        <f t="shared" ref="D58:R58" si="16">SUM(D24,D37,D45)/SUM(C24,C37,C45)</f>
        <v>1</v>
      </c>
      <c r="E58" s="33">
        <f>SUM(E24,E37,E45)/SUM(D24,D37,D45)</f>
        <v>5.0459740987236081</v>
      </c>
      <c r="F58" s="33">
        <f t="shared" si="16"/>
        <v>0.75727843974780529</v>
      </c>
      <c r="G58" s="33">
        <f t="shared" si="16"/>
        <v>1</v>
      </c>
      <c r="H58" s="33">
        <f t="shared" si="16"/>
        <v>0.99435723693089539</v>
      </c>
      <c r="I58" s="33">
        <f t="shared" si="16"/>
        <v>0.96531946111778044</v>
      </c>
      <c r="J58" s="33">
        <f t="shared" si="16"/>
        <v>0.97392541738483285</v>
      </c>
      <c r="K58" s="33">
        <f t="shared" si="16"/>
        <v>0.99995644089776559</v>
      </c>
      <c r="L58" s="33">
        <f t="shared" si="16"/>
        <v>0.84617117481527027</v>
      </c>
      <c r="M58" s="33">
        <f t="shared" si="16"/>
        <v>0.94495009369383154</v>
      </c>
      <c r="N58" s="33">
        <f t="shared" si="16"/>
        <v>0.95616292083237997</v>
      </c>
      <c r="O58" s="33">
        <f t="shared" si="16"/>
        <v>0.98595926314212967</v>
      </c>
      <c r="P58" s="33">
        <f t="shared" si="16"/>
        <v>0.9899316281934224</v>
      </c>
      <c r="Q58" s="33">
        <f t="shared" si="16"/>
        <v>0.991995810267846</v>
      </c>
      <c r="R58" s="34">
        <f t="shared" si="16"/>
        <v>0.9979050443706895</v>
      </c>
    </row>
    <row r="59" spans="1:18" x14ac:dyDescent="0.2">
      <c r="A59" s="7" t="s">
        <v>48</v>
      </c>
      <c r="B59" s="33">
        <v>1</v>
      </c>
      <c r="C59" s="33">
        <f>B59</f>
        <v>1</v>
      </c>
      <c r="D59" s="33">
        <f t="shared" ref="D59:R59" si="17">C59</f>
        <v>1</v>
      </c>
      <c r="E59" s="33">
        <f t="shared" si="17"/>
        <v>1</v>
      </c>
      <c r="F59" s="33">
        <f t="shared" si="17"/>
        <v>1</v>
      </c>
      <c r="G59" s="33">
        <f t="shared" si="17"/>
        <v>1</v>
      </c>
      <c r="H59" s="33">
        <f t="shared" si="17"/>
        <v>1</v>
      </c>
      <c r="I59" s="33">
        <f t="shared" si="17"/>
        <v>1</v>
      </c>
      <c r="J59" s="33">
        <f t="shared" si="17"/>
        <v>1</v>
      </c>
      <c r="K59" s="33">
        <f t="shared" si="17"/>
        <v>1</v>
      </c>
      <c r="L59" s="33">
        <f t="shared" si="17"/>
        <v>1</v>
      </c>
      <c r="M59" s="33">
        <f t="shared" si="17"/>
        <v>1</v>
      </c>
      <c r="N59" s="33">
        <f t="shared" si="17"/>
        <v>1</v>
      </c>
      <c r="O59" s="33">
        <f t="shared" si="17"/>
        <v>1</v>
      </c>
      <c r="P59" s="33">
        <f t="shared" si="17"/>
        <v>1</v>
      </c>
      <c r="Q59" s="33">
        <f t="shared" si="17"/>
        <v>1</v>
      </c>
      <c r="R59" s="34">
        <f t="shared" si="17"/>
        <v>1</v>
      </c>
    </row>
    <row r="60" spans="1:18" ht="13.5" thickBot="1" x14ac:dyDescent="0.25">
      <c r="A60" s="28" t="s">
        <v>19</v>
      </c>
      <c r="B60" s="35">
        <v>1</v>
      </c>
      <c r="C60" s="35">
        <f>0.01306/0.01723</f>
        <v>0.75798026697620435</v>
      </c>
      <c r="D60" s="35">
        <f>0.01235/0.01306</f>
        <v>0.94563552833078102</v>
      </c>
      <c r="E60" s="35">
        <v>1</v>
      </c>
      <c r="F60" s="35">
        <v>1</v>
      </c>
      <c r="G60" s="35">
        <v>1</v>
      </c>
      <c r="H60" s="35">
        <v>1</v>
      </c>
      <c r="I60" s="35">
        <v>1</v>
      </c>
      <c r="J60" s="35">
        <v>1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35">
        <v>0</v>
      </c>
      <c r="R60" s="36">
        <v>0</v>
      </c>
    </row>
    <row r="62" spans="1:18" ht="13.5" thickBot="1" x14ac:dyDescent="0.25"/>
    <row r="63" spans="1:18" x14ac:dyDescent="0.2">
      <c r="A63" s="3" t="s">
        <v>29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6"/>
    </row>
    <row r="64" spans="1:18" x14ac:dyDescent="0.2">
      <c r="A64" s="7"/>
      <c r="B64" s="31">
        <v>1998</v>
      </c>
      <c r="C64" s="31">
        <v>1999</v>
      </c>
      <c r="D64" s="31">
        <v>2000</v>
      </c>
      <c r="E64" s="31">
        <v>2001</v>
      </c>
      <c r="F64" s="31">
        <v>2002</v>
      </c>
      <c r="G64" s="31">
        <v>2003</v>
      </c>
      <c r="H64" s="31">
        <v>2004</v>
      </c>
      <c r="I64" s="31">
        <v>2005</v>
      </c>
      <c r="J64" s="31">
        <v>2006</v>
      </c>
      <c r="K64" s="31">
        <v>2007</v>
      </c>
      <c r="L64" s="31">
        <v>2008</v>
      </c>
      <c r="M64" s="31">
        <v>2009</v>
      </c>
      <c r="N64" s="31">
        <v>2010</v>
      </c>
      <c r="O64" s="31">
        <v>2011</v>
      </c>
      <c r="P64" s="31">
        <v>2012</v>
      </c>
      <c r="Q64" s="31">
        <v>2013</v>
      </c>
      <c r="R64" s="32">
        <v>2014</v>
      </c>
    </row>
    <row r="65" spans="1:18" x14ac:dyDescent="0.2">
      <c r="A65" s="7" t="s">
        <v>7</v>
      </c>
      <c r="B65" s="33">
        <v>1</v>
      </c>
      <c r="C65" s="33">
        <f>B65*C56</f>
        <v>0.98642053692419951</v>
      </c>
      <c r="D65" s="33">
        <f t="shared" ref="D65:R65" si="18">C65*D56</f>
        <v>0.91725340434201674</v>
      </c>
      <c r="E65" s="85">
        <f t="shared" si="18"/>
        <v>1.5142570147924228</v>
      </c>
      <c r="F65" s="33">
        <f t="shared" si="18"/>
        <v>1.7037819704909645</v>
      </c>
      <c r="G65" s="33">
        <f t="shared" si="18"/>
        <v>1.7037819704909645</v>
      </c>
      <c r="H65" s="33">
        <f t="shared" si="18"/>
        <v>1.7037819704909645</v>
      </c>
      <c r="I65" s="33">
        <f t="shared" si="18"/>
        <v>1.7037819704909645</v>
      </c>
      <c r="J65" s="33">
        <f t="shared" si="18"/>
        <v>1.7037819704909645</v>
      </c>
      <c r="K65" s="33">
        <f t="shared" si="18"/>
        <v>1.7037819704909645</v>
      </c>
      <c r="L65" s="33">
        <f t="shared" si="18"/>
        <v>1.7037819704909645</v>
      </c>
      <c r="M65" s="33">
        <f t="shared" si="18"/>
        <v>1.7037819704909645</v>
      </c>
      <c r="N65" s="33">
        <f t="shared" si="18"/>
        <v>1.7037819704909645</v>
      </c>
      <c r="O65" s="33">
        <f t="shared" si="18"/>
        <v>1.7037819704909645</v>
      </c>
      <c r="P65" s="33">
        <f t="shared" si="18"/>
        <v>1.7037819704909645</v>
      </c>
      <c r="Q65" s="33">
        <f t="shared" si="18"/>
        <v>1.7037819704909645</v>
      </c>
      <c r="R65" s="34">
        <f t="shared" si="18"/>
        <v>1.7037819704909645</v>
      </c>
    </row>
    <row r="66" spans="1:18" x14ac:dyDescent="0.2">
      <c r="A66" s="7" t="s">
        <v>0</v>
      </c>
      <c r="B66" s="33">
        <v>1</v>
      </c>
      <c r="C66" s="33">
        <f t="shared" ref="C66:R69" si="19">B66*C57</f>
        <v>1.017942869316351</v>
      </c>
      <c r="D66" s="33">
        <f t="shared" si="19"/>
        <v>1.0182093644383603</v>
      </c>
      <c r="E66" s="33">
        <f t="shared" si="19"/>
        <v>1.0384068495564782</v>
      </c>
      <c r="F66" s="33">
        <f t="shared" si="19"/>
        <v>1.1258412268052624</v>
      </c>
      <c r="G66" s="33">
        <f t="shared" si="19"/>
        <v>1.136559219493563</v>
      </c>
      <c r="H66" s="33">
        <f t="shared" si="19"/>
        <v>1.147384392108747</v>
      </c>
      <c r="I66" s="33">
        <f t="shared" si="19"/>
        <v>1.1583178164500825</v>
      </c>
      <c r="J66" s="33">
        <f t="shared" si="19"/>
        <v>1.1693605750348315</v>
      </c>
      <c r="K66" s="33">
        <f t="shared" si="19"/>
        <v>1.1805137612054279</v>
      </c>
      <c r="L66" s="33">
        <f t="shared" si="19"/>
        <v>1.1917784792377304</v>
      </c>
      <c r="M66" s="33">
        <f t="shared" si="19"/>
        <v>1.2031558444503558</v>
      </c>
      <c r="N66" s="33">
        <f t="shared" si="19"/>
        <v>1.2146469833151075</v>
      </c>
      <c r="O66" s="33">
        <f t="shared" si="19"/>
        <v>1.2262530335685067</v>
      </c>
      <c r="P66" s="33">
        <f t="shared" si="19"/>
        <v>1.23797514432444</v>
      </c>
      <c r="Q66" s="33">
        <f t="shared" si="19"/>
        <v>1.2498144761879324</v>
      </c>
      <c r="R66" s="34">
        <f t="shared" si="19"/>
        <v>1.2617722013700596</v>
      </c>
    </row>
    <row r="67" spans="1:18" x14ac:dyDescent="0.2">
      <c r="A67" s="79" t="s">
        <v>30</v>
      </c>
      <c r="B67" s="80">
        <v>1</v>
      </c>
      <c r="C67" s="80">
        <f t="shared" si="19"/>
        <v>0.72891099697004069</v>
      </c>
      <c r="D67" s="80">
        <f t="shared" si="19"/>
        <v>0.72891099697004069</v>
      </c>
      <c r="E67" s="80">
        <f t="shared" si="19"/>
        <v>3.6780660109856278</v>
      </c>
      <c r="F67" s="80">
        <f t="shared" si="19"/>
        <v>2.7853200900886304</v>
      </c>
      <c r="G67" s="80">
        <f t="shared" si="19"/>
        <v>2.7853200900886304</v>
      </c>
      <c r="H67" s="80">
        <f t="shared" si="19"/>
        <v>2.769603188748643</v>
      </c>
      <c r="I67" s="80">
        <f t="shared" si="19"/>
        <v>2.6735518576729262</v>
      </c>
      <c r="J67" s="80">
        <f t="shared" si="19"/>
        <v>2.6038401088840999</v>
      </c>
      <c r="K67" s="80">
        <f t="shared" si="19"/>
        <v>2.6037266879465948</v>
      </c>
      <c r="L67" s="80">
        <f t="shared" si="19"/>
        <v>2.2031984704376426</v>
      </c>
      <c r="M67" s="80">
        <f t="shared" si="19"/>
        <v>2.0819126010661568</v>
      </c>
      <c r="N67" s="80">
        <f t="shared" si="19"/>
        <v>1.990647633553154</v>
      </c>
      <c r="O67" s="80">
        <f t="shared" si="19"/>
        <v>1.962697473953692</v>
      </c>
      <c r="P67" s="33">
        <f t="shared" si="19"/>
        <v>1.9429363060420957</v>
      </c>
      <c r="Q67" s="33">
        <f t="shared" si="19"/>
        <v>1.9273846752110444</v>
      </c>
      <c r="R67" s="34">
        <f t="shared" si="19"/>
        <v>1.9233468898358643</v>
      </c>
    </row>
    <row r="68" spans="1:18" x14ac:dyDescent="0.2">
      <c r="A68" s="7" t="s">
        <v>49</v>
      </c>
      <c r="B68" s="33">
        <v>1</v>
      </c>
      <c r="C68" s="33">
        <f t="shared" si="19"/>
        <v>1</v>
      </c>
      <c r="D68" s="33">
        <f t="shared" si="19"/>
        <v>1</v>
      </c>
      <c r="E68" s="33">
        <f t="shared" si="19"/>
        <v>1</v>
      </c>
      <c r="F68" s="33">
        <f t="shared" si="19"/>
        <v>1</v>
      </c>
      <c r="G68" s="33">
        <f t="shared" si="19"/>
        <v>1</v>
      </c>
      <c r="H68" s="33">
        <f t="shared" si="19"/>
        <v>1</v>
      </c>
      <c r="I68" s="33">
        <f t="shared" si="19"/>
        <v>1</v>
      </c>
      <c r="J68" s="33">
        <f t="shared" si="19"/>
        <v>1</v>
      </c>
      <c r="K68" s="33">
        <f t="shared" si="19"/>
        <v>1</v>
      </c>
      <c r="L68" s="33">
        <f t="shared" si="19"/>
        <v>1</v>
      </c>
      <c r="M68" s="33">
        <f t="shared" si="19"/>
        <v>1</v>
      </c>
      <c r="N68" s="33">
        <f t="shared" si="19"/>
        <v>1</v>
      </c>
      <c r="O68" s="33">
        <f t="shared" si="19"/>
        <v>1</v>
      </c>
      <c r="P68" s="33">
        <f t="shared" si="19"/>
        <v>1</v>
      </c>
      <c r="Q68" s="33">
        <f t="shared" si="19"/>
        <v>1</v>
      </c>
      <c r="R68" s="34">
        <f t="shared" si="19"/>
        <v>1</v>
      </c>
    </row>
    <row r="69" spans="1:18" ht="13.5" thickBot="1" x14ac:dyDescent="0.25">
      <c r="A69" s="28" t="s">
        <v>19</v>
      </c>
      <c r="B69" s="35">
        <v>1</v>
      </c>
      <c r="C69" s="35">
        <f t="shared" si="19"/>
        <v>0.75798026697620435</v>
      </c>
      <c r="D69" s="35">
        <f t="shared" si="19"/>
        <v>0.7167730702263494</v>
      </c>
      <c r="E69" s="35">
        <f t="shared" si="19"/>
        <v>0.7167730702263494</v>
      </c>
      <c r="F69" s="35">
        <f t="shared" si="19"/>
        <v>0.7167730702263494</v>
      </c>
      <c r="G69" s="35">
        <f t="shared" si="19"/>
        <v>0.7167730702263494</v>
      </c>
      <c r="H69" s="35">
        <f t="shared" si="19"/>
        <v>0.7167730702263494</v>
      </c>
      <c r="I69" s="35">
        <f t="shared" si="19"/>
        <v>0.7167730702263494</v>
      </c>
      <c r="J69" s="35">
        <f t="shared" si="19"/>
        <v>0.7167730702263494</v>
      </c>
      <c r="K69" s="35">
        <f t="shared" si="19"/>
        <v>0</v>
      </c>
      <c r="L69" s="35">
        <f t="shared" si="19"/>
        <v>0</v>
      </c>
      <c r="M69" s="35">
        <f t="shared" si="19"/>
        <v>0</v>
      </c>
      <c r="N69" s="35">
        <f t="shared" si="19"/>
        <v>0</v>
      </c>
      <c r="O69" s="35">
        <f t="shared" si="19"/>
        <v>0</v>
      </c>
      <c r="P69" s="41">
        <f t="shared" si="19"/>
        <v>0</v>
      </c>
      <c r="Q69" s="41">
        <f t="shared" si="19"/>
        <v>0</v>
      </c>
      <c r="R69" s="36">
        <f t="shared" si="19"/>
        <v>0</v>
      </c>
    </row>
    <row r="70" spans="1:18" ht="13.5" thickBot="1" x14ac:dyDescent="0.25"/>
    <row r="71" spans="1:18" ht="18.75" x14ac:dyDescent="0.3">
      <c r="A71" s="3" t="s">
        <v>77</v>
      </c>
      <c r="G71" s="1"/>
      <c r="H71" s="1"/>
      <c r="I71" s="1"/>
      <c r="J71" s="1"/>
      <c r="K71" s="1"/>
      <c r="L71" s="1"/>
      <c r="M71" s="1"/>
      <c r="N71" s="1"/>
    </row>
    <row r="72" spans="1:18" x14ac:dyDescent="0.2">
      <c r="A72" s="7" t="s">
        <v>7</v>
      </c>
      <c r="B72" s="106">
        <f t="array" ref="B72:R74">TRANSPOSE('[1]T&amp;D Escalation'!$AK$24:$AM$40)</f>
        <v>1</v>
      </c>
      <c r="C72" s="106">
        <v>0.98642053692419951</v>
      </c>
      <c r="D72" s="106">
        <v>0.91725340434201674</v>
      </c>
      <c r="E72" s="106">
        <v>1.5142570147924228</v>
      </c>
      <c r="F72" s="106">
        <v>1.594053683531655</v>
      </c>
      <c r="G72" s="106">
        <v>1.594053683531655</v>
      </c>
      <c r="H72" s="106">
        <v>1.5410092954124384</v>
      </c>
      <c r="I72" s="106">
        <v>1.5410092954124384</v>
      </c>
      <c r="J72" s="106">
        <v>1.4905668018484499</v>
      </c>
      <c r="K72" s="106">
        <v>1.4905668018484499</v>
      </c>
      <c r="L72" s="106">
        <v>1.442603302692619</v>
      </c>
      <c r="M72" s="106">
        <v>1.442603302692619</v>
      </c>
      <c r="N72" s="106">
        <v>1.3971524621785263</v>
      </c>
      <c r="O72" s="106">
        <v>1.3971524621785263</v>
      </c>
      <c r="P72" s="106">
        <v>1.3538666028841009</v>
      </c>
      <c r="Q72" s="106">
        <v>1.3538666028841009</v>
      </c>
      <c r="R72" s="106">
        <v>1.3175359891076279</v>
      </c>
    </row>
    <row r="73" spans="1:18" x14ac:dyDescent="0.2">
      <c r="A73" s="7" t="s">
        <v>0</v>
      </c>
      <c r="B73" s="106">
        <v>1</v>
      </c>
      <c r="C73" s="106">
        <v>1.017942869316351</v>
      </c>
      <c r="D73" s="106">
        <v>1.0182093644383603</v>
      </c>
      <c r="E73" s="106">
        <v>1.0384068495564782</v>
      </c>
      <c r="F73" s="106">
        <v>1.0995020467394165</v>
      </c>
      <c r="G73" s="106">
        <v>1.1081623599562713</v>
      </c>
      <c r="H73" s="106">
        <v>1.117403518073224</v>
      </c>
      <c r="I73" s="106">
        <v>1.1272049433015363</v>
      </c>
      <c r="J73" s="106">
        <v>1.1374907248585722</v>
      </c>
      <c r="K73" s="106">
        <v>1.1019073993959132</v>
      </c>
      <c r="L73" s="106">
        <v>1.1127151584788435</v>
      </c>
      <c r="M73" s="106">
        <v>1.1239425547683395</v>
      </c>
      <c r="N73" s="106">
        <v>1.1354712162392331</v>
      </c>
      <c r="O73" s="106">
        <v>1.1471936701252001</v>
      </c>
      <c r="P73" s="106">
        <v>1.1097318310378204</v>
      </c>
      <c r="Q73" s="106">
        <v>1.1211608255699503</v>
      </c>
      <c r="R73" s="106">
        <v>1.1325625889302846</v>
      </c>
    </row>
    <row r="74" spans="1:18" ht="13.5" thickBot="1" x14ac:dyDescent="0.25">
      <c r="A74" t="s">
        <v>76</v>
      </c>
      <c r="B74" s="106">
        <v>1</v>
      </c>
      <c r="C74" s="106">
        <v>0.72891099697004069</v>
      </c>
      <c r="D74" s="106">
        <v>0.72891099697004069</v>
      </c>
      <c r="E74" s="106">
        <v>3.6780660109856278</v>
      </c>
      <c r="F74" s="106">
        <v>2.7853200900886304</v>
      </c>
      <c r="G74" s="106">
        <v>2.7853200900886304</v>
      </c>
      <c r="H74" s="106">
        <v>2.769603188748643</v>
      </c>
      <c r="I74" s="106">
        <v>2.6735518576729262</v>
      </c>
      <c r="J74" s="106">
        <v>2.6038401088840999</v>
      </c>
      <c r="K74" s="106">
        <v>2.6037266879465948</v>
      </c>
      <c r="L74" s="106">
        <v>2.2031984704376426</v>
      </c>
      <c r="M74" s="106">
        <v>2.0819126010661568</v>
      </c>
      <c r="N74" s="106">
        <v>1.990647633553154</v>
      </c>
      <c r="O74" s="106">
        <v>1.962697473953692</v>
      </c>
      <c r="P74" s="106">
        <v>1.9429363060420957</v>
      </c>
      <c r="Q74" s="106">
        <v>1.9273846752110444</v>
      </c>
      <c r="R74" s="106">
        <v>1.9233468898358643</v>
      </c>
    </row>
    <row r="75" spans="1:18" ht="13.5" thickBot="1" x14ac:dyDescent="0.25">
      <c r="A75" s="110" t="s">
        <v>78</v>
      </c>
      <c r="B75" s="108">
        <f>'[1]T&amp;D Escalation'!$BG$5</f>
        <v>36922.672129629631</v>
      </c>
    </row>
    <row r="81" spans="1:1" x14ac:dyDescent="0.2">
      <c r="A81" t="s">
        <v>52</v>
      </c>
    </row>
    <row r="82" spans="1:1" x14ac:dyDescent="0.2">
      <c r="A82" t="s">
        <v>54</v>
      </c>
    </row>
    <row r="83" spans="1:1" x14ac:dyDescent="0.2">
      <c r="A83" t="s">
        <v>58</v>
      </c>
    </row>
  </sheetData>
  <pageMargins left="0.75" right="0.75" top="0.56999999999999995" bottom="0.62" header="0.5" footer="0.5"/>
  <pageSetup scale="44" orientation="landscape" r:id="rId1"/>
  <headerFooter alignWithMargins="0">
    <oddFooter>&amp;L&amp;F &amp;A&amp;R&amp;D TJJ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74"/>
  <sheetViews>
    <sheetView zoomScale="75" workbookViewId="0">
      <selection activeCell="H65" sqref="H65"/>
    </sheetView>
  </sheetViews>
  <sheetFormatPr defaultRowHeight="12.75" x14ac:dyDescent="0.2"/>
  <cols>
    <col min="1" max="1" width="34.28515625" customWidth="1"/>
    <col min="2" max="2" width="11.28515625" customWidth="1"/>
    <col min="3" max="3" width="11.42578125" customWidth="1"/>
    <col min="4" max="4" width="10.5703125" customWidth="1"/>
    <col min="5" max="6" width="9.85546875" customWidth="1"/>
    <col min="7" max="7" width="9.85546875" bestFit="1" customWidth="1"/>
    <col min="8" max="18" width="8.7109375" customWidth="1"/>
  </cols>
  <sheetData>
    <row r="1" spans="1:18" x14ac:dyDescent="0.2">
      <c r="A1" s="3" t="s">
        <v>4</v>
      </c>
      <c r="B1" s="4"/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 spans="1:18" x14ac:dyDescent="0.2">
      <c r="A2" s="7"/>
      <c r="B2" s="9" t="s">
        <v>5</v>
      </c>
      <c r="C2" s="37"/>
      <c r="D2" s="37"/>
      <c r="E2" s="37"/>
      <c r="F2" s="8" t="s">
        <v>6</v>
      </c>
      <c r="G2" s="8" t="s">
        <v>6</v>
      </c>
      <c r="H2" s="8" t="s">
        <v>6</v>
      </c>
      <c r="I2" s="8" t="s">
        <v>6</v>
      </c>
      <c r="J2" s="8" t="s">
        <v>6</v>
      </c>
      <c r="K2" s="8" t="s">
        <v>6</v>
      </c>
      <c r="L2" s="8" t="s">
        <v>6</v>
      </c>
      <c r="M2" s="8" t="s">
        <v>6</v>
      </c>
      <c r="N2" s="8" t="s">
        <v>6</v>
      </c>
      <c r="O2" s="8" t="s">
        <v>6</v>
      </c>
      <c r="P2" s="8" t="s">
        <v>6</v>
      </c>
      <c r="Q2" s="8" t="s">
        <v>6</v>
      </c>
      <c r="R2" s="10" t="s">
        <v>6</v>
      </c>
    </row>
    <row r="3" spans="1:18" x14ac:dyDescent="0.2">
      <c r="A3" s="7"/>
      <c r="B3" s="47">
        <v>1998</v>
      </c>
      <c r="C3" s="47">
        <v>1999</v>
      </c>
      <c r="D3" s="47">
        <v>2000</v>
      </c>
      <c r="E3" s="47">
        <v>2001</v>
      </c>
      <c r="F3" s="47">
        <v>2002</v>
      </c>
      <c r="G3" s="47">
        <v>2003</v>
      </c>
      <c r="H3" s="47">
        <v>2004</v>
      </c>
      <c r="I3" s="47">
        <v>2005</v>
      </c>
      <c r="J3" s="47">
        <v>2006</v>
      </c>
      <c r="K3" s="47">
        <v>2007</v>
      </c>
      <c r="L3" s="47">
        <v>2008</v>
      </c>
      <c r="M3" s="47">
        <v>2009</v>
      </c>
      <c r="N3" s="47">
        <v>2010</v>
      </c>
      <c r="O3" s="47">
        <v>2011</v>
      </c>
      <c r="P3" s="47">
        <v>2012</v>
      </c>
      <c r="Q3" s="47">
        <v>2013</v>
      </c>
      <c r="R3" s="10">
        <v>2014</v>
      </c>
    </row>
    <row r="4" spans="1:18" x14ac:dyDescent="0.2">
      <c r="A4" s="7" t="s">
        <v>51</v>
      </c>
      <c r="B4" s="11"/>
      <c r="C4" s="11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10"/>
    </row>
    <row r="5" spans="1:18" x14ac:dyDescent="0.2">
      <c r="A5" s="7" t="s">
        <v>7</v>
      </c>
      <c r="B5" s="12"/>
      <c r="C5" s="11"/>
      <c r="D5" s="12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3"/>
    </row>
    <row r="6" spans="1:18" x14ac:dyDescent="0.2">
      <c r="A6" s="14" t="s">
        <v>8</v>
      </c>
      <c r="B6" s="15">
        <v>121382</v>
      </c>
      <c r="C6" s="15">
        <v>104000</v>
      </c>
      <c r="D6" s="16">
        <v>104000</v>
      </c>
      <c r="E6" s="11">
        <f t="shared" ref="E6:F8" si="0">D6</f>
        <v>104000</v>
      </c>
      <c r="F6" s="11">
        <f t="shared" si="0"/>
        <v>104000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3"/>
    </row>
    <row r="7" spans="1:18" x14ac:dyDescent="0.2">
      <c r="A7" s="14"/>
      <c r="B7" s="15">
        <v>-445</v>
      </c>
      <c r="C7" s="15">
        <v>-6600</v>
      </c>
      <c r="D7" s="16">
        <v>-8705</v>
      </c>
      <c r="E7" s="11">
        <f t="shared" si="0"/>
        <v>-8705</v>
      </c>
      <c r="F7" s="11">
        <f t="shared" si="0"/>
        <v>-8705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3"/>
    </row>
    <row r="8" spans="1:18" x14ac:dyDescent="0.2">
      <c r="A8" s="14" t="s">
        <v>9</v>
      </c>
      <c r="B8" s="17"/>
      <c r="C8" s="15">
        <v>53518</v>
      </c>
      <c r="D8" s="16">
        <v>55068</v>
      </c>
      <c r="E8" s="11">
        <f t="shared" si="0"/>
        <v>55068</v>
      </c>
      <c r="F8" s="11">
        <f t="shared" si="0"/>
        <v>55068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3"/>
    </row>
    <row r="9" spans="1:18" x14ac:dyDescent="0.2">
      <c r="A9" s="14" t="s">
        <v>10</v>
      </c>
      <c r="B9" s="17"/>
      <c r="C9" s="18"/>
      <c r="D9" s="11"/>
      <c r="E9" s="11"/>
      <c r="F9" s="11">
        <v>10000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3"/>
    </row>
    <row r="10" spans="1:18" ht="13.5" thickBot="1" x14ac:dyDescent="0.25">
      <c r="A10" s="14" t="s">
        <v>11</v>
      </c>
      <c r="B10" s="19">
        <f>SUM(B6:B9)</f>
        <v>120937</v>
      </c>
      <c r="C10" s="19">
        <f>SUM(C6:C9)</f>
        <v>150918</v>
      </c>
      <c r="D10" s="19">
        <f>SUM(D6:D9)</f>
        <v>150363</v>
      </c>
      <c r="E10" s="19">
        <f>SUM(E6:E9)</f>
        <v>150363</v>
      </c>
      <c r="F10" s="19">
        <f>SUM(F6:F9)</f>
        <v>160363</v>
      </c>
      <c r="G10" s="19">
        <f t="shared" ref="G10:R10" si="1">F10</f>
        <v>160363</v>
      </c>
      <c r="H10" s="19">
        <f t="shared" si="1"/>
        <v>160363</v>
      </c>
      <c r="I10" s="19">
        <f t="shared" si="1"/>
        <v>160363</v>
      </c>
      <c r="J10" s="19">
        <f t="shared" si="1"/>
        <v>160363</v>
      </c>
      <c r="K10" s="19">
        <f t="shared" si="1"/>
        <v>160363</v>
      </c>
      <c r="L10" s="19">
        <f t="shared" si="1"/>
        <v>160363</v>
      </c>
      <c r="M10" s="19">
        <f t="shared" si="1"/>
        <v>160363</v>
      </c>
      <c r="N10" s="19">
        <f t="shared" si="1"/>
        <v>160363</v>
      </c>
      <c r="O10" s="19">
        <f t="shared" si="1"/>
        <v>160363</v>
      </c>
      <c r="P10" s="19">
        <f t="shared" si="1"/>
        <v>160363</v>
      </c>
      <c r="Q10" s="19">
        <f t="shared" si="1"/>
        <v>160363</v>
      </c>
      <c r="R10" s="22">
        <f t="shared" si="1"/>
        <v>160363</v>
      </c>
    </row>
    <row r="11" spans="1:18" ht="13.5" thickTop="1" x14ac:dyDescent="0.2">
      <c r="A11" s="14"/>
      <c r="B11" s="17"/>
      <c r="C11" s="17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3"/>
    </row>
    <row r="12" spans="1:18" x14ac:dyDescent="0.2">
      <c r="A12" s="7" t="s">
        <v>0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3"/>
    </row>
    <row r="13" spans="1:18" x14ac:dyDescent="0.2">
      <c r="A13" s="14" t="s">
        <v>12</v>
      </c>
      <c r="B13" s="17"/>
      <c r="C13" s="17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3"/>
    </row>
    <row r="14" spans="1:18" x14ac:dyDescent="0.2">
      <c r="A14" s="14" t="s">
        <v>13</v>
      </c>
      <c r="B14" s="17"/>
      <c r="C14" s="17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3"/>
    </row>
    <row r="15" spans="1:18" x14ac:dyDescent="0.2">
      <c r="A15" s="14" t="s">
        <v>14</v>
      </c>
      <c r="B15" s="17"/>
      <c r="C15" s="17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3"/>
    </row>
    <row r="16" spans="1:18" ht="13.5" thickBot="1" x14ac:dyDescent="0.25">
      <c r="A16" s="14" t="s">
        <v>15</v>
      </c>
      <c r="B16" s="20">
        <v>501625</v>
      </c>
      <c r="C16" s="20">
        <v>542331</v>
      </c>
      <c r="D16" s="21">
        <v>529678</v>
      </c>
      <c r="E16" s="19">
        <f>D16*101.1727%</f>
        <v>535889.53390599997</v>
      </c>
      <c r="F16" s="19">
        <f>E16*101%</f>
        <v>541248.42924505996</v>
      </c>
      <c r="G16" s="19">
        <f t="shared" ref="G16:R16" si="2">F16*101%</f>
        <v>546660.91353751055</v>
      </c>
      <c r="H16" s="19">
        <f t="shared" si="2"/>
        <v>552127.52267288568</v>
      </c>
      <c r="I16" s="19">
        <f t="shared" si="2"/>
        <v>557648.79789961455</v>
      </c>
      <c r="J16" s="19">
        <f t="shared" si="2"/>
        <v>563225.28587861068</v>
      </c>
      <c r="K16" s="19">
        <f t="shared" si="2"/>
        <v>568857.53873739683</v>
      </c>
      <c r="L16" s="19">
        <f t="shared" si="2"/>
        <v>574546.11412477074</v>
      </c>
      <c r="M16" s="19">
        <f t="shared" si="2"/>
        <v>580291.57526601851</v>
      </c>
      <c r="N16" s="19">
        <f t="shared" si="2"/>
        <v>586094.49101867864</v>
      </c>
      <c r="O16" s="19">
        <f t="shared" si="2"/>
        <v>591955.43592886545</v>
      </c>
      <c r="P16" s="19">
        <f t="shared" si="2"/>
        <v>597874.99028815411</v>
      </c>
      <c r="Q16" s="19">
        <f t="shared" si="2"/>
        <v>603853.74019103567</v>
      </c>
      <c r="R16" s="22">
        <f t="shared" si="2"/>
        <v>609892.27759294608</v>
      </c>
    </row>
    <row r="17" spans="1:18" ht="13.5" thickTop="1" x14ac:dyDescent="0.2">
      <c r="A17" s="14"/>
      <c r="B17" s="15"/>
      <c r="C17" s="55">
        <f t="shared" ref="C17:N17" si="3">C16/B16-1</f>
        <v>8.1148268128582002E-2</v>
      </c>
      <c r="D17" s="55">
        <f t="shared" si="3"/>
        <v>-2.3330770322920857E-2</v>
      </c>
      <c r="E17" s="55">
        <f t="shared" si="3"/>
        <v>1.1727000000000043E-2</v>
      </c>
      <c r="F17" s="55">
        <f t="shared" si="3"/>
        <v>1.0000000000000009E-2</v>
      </c>
      <c r="G17" s="55">
        <f t="shared" si="3"/>
        <v>1.0000000000000009E-2</v>
      </c>
      <c r="H17" s="55">
        <f t="shared" si="3"/>
        <v>1.0000000000000009E-2</v>
      </c>
      <c r="I17" s="55">
        <f t="shared" si="3"/>
        <v>1.0000000000000009E-2</v>
      </c>
      <c r="J17" s="55">
        <f t="shared" si="3"/>
        <v>1.0000000000000009E-2</v>
      </c>
      <c r="K17" s="55">
        <f t="shared" si="3"/>
        <v>1.0000000000000009E-2</v>
      </c>
      <c r="L17" s="55">
        <f t="shared" si="3"/>
        <v>1.0000000000000009E-2</v>
      </c>
      <c r="M17" s="55">
        <f t="shared" si="3"/>
        <v>1.0000000000000009E-2</v>
      </c>
      <c r="N17" s="55">
        <f t="shared" si="3"/>
        <v>1.0000000000000009E-2</v>
      </c>
      <c r="O17" s="11"/>
      <c r="P17" s="11"/>
      <c r="Q17" s="11"/>
      <c r="R17" s="13"/>
    </row>
    <row r="18" spans="1:18" x14ac:dyDescent="0.2">
      <c r="A18" s="14"/>
      <c r="B18" s="15"/>
      <c r="C18" s="57">
        <f>1/1.018^(C3-$B$3)</f>
        <v>0.98231827111984282</v>
      </c>
      <c r="D18" s="57">
        <f>1/1.018^(D3-$B$3)</f>
        <v>0.96494918577587707</v>
      </c>
      <c r="E18" s="57">
        <f>1/1.018^(E3-$B$3)</f>
        <v>0.94788721588985947</v>
      </c>
      <c r="F18" s="57">
        <f>1/1.018^(F3-$B$3)</f>
        <v>0.93112693112952805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3"/>
    </row>
    <row r="19" spans="1:18" x14ac:dyDescent="0.2">
      <c r="A19" s="14"/>
      <c r="B19" s="15"/>
      <c r="C19" s="15"/>
      <c r="D19" s="16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3"/>
    </row>
    <row r="20" spans="1:18" x14ac:dyDescent="0.2">
      <c r="A20" s="7"/>
      <c r="B20" s="11"/>
      <c r="O20" s="11"/>
      <c r="P20" s="11"/>
      <c r="Q20" s="11"/>
      <c r="R20" s="13"/>
    </row>
    <row r="21" spans="1:18" ht="13.5" thickBot="1" x14ac:dyDescent="0.25">
      <c r="A21" s="7" t="s">
        <v>16</v>
      </c>
      <c r="B21" s="21">
        <v>28196</v>
      </c>
      <c r="C21" s="21">
        <v>11158</v>
      </c>
      <c r="D21" s="21">
        <f>C21</f>
        <v>11158</v>
      </c>
      <c r="E21" s="19">
        <f>D21</f>
        <v>11158</v>
      </c>
      <c r="F21" s="19">
        <f t="shared" ref="F21:R21" si="4">E21</f>
        <v>11158</v>
      </c>
      <c r="G21" s="19">
        <f t="shared" si="4"/>
        <v>11158</v>
      </c>
      <c r="H21" s="19">
        <f t="shared" si="4"/>
        <v>11158</v>
      </c>
      <c r="I21" s="19">
        <f t="shared" si="4"/>
        <v>11158</v>
      </c>
      <c r="J21" s="19">
        <f t="shared" si="4"/>
        <v>11158</v>
      </c>
      <c r="K21" s="19">
        <f t="shared" si="4"/>
        <v>11158</v>
      </c>
      <c r="L21" s="19">
        <f t="shared" si="4"/>
        <v>11158</v>
      </c>
      <c r="M21" s="19">
        <f t="shared" si="4"/>
        <v>11158</v>
      </c>
      <c r="N21" s="19">
        <f t="shared" si="4"/>
        <v>11158</v>
      </c>
      <c r="O21" s="19">
        <f t="shared" si="4"/>
        <v>11158</v>
      </c>
      <c r="P21" s="19">
        <f t="shared" si="4"/>
        <v>11158</v>
      </c>
      <c r="Q21" s="19">
        <f t="shared" si="4"/>
        <v>11158</v>
      </c>
      <c r="R21" s="22">
        <f t="shared" si="4"/>
        <v>11158</v>
      </c>
    </row>
    <row r="22" spans="1:18" ht="13.5" thickTop="1" x14ac:dyDescent="0.2">
      <c r="A22" s="7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3"/>
    </row>
    <row r="23" spans="1:18" ht="13.5" thickBot="1" x14ac:dyDescent="0.25">
      <c r="A23" s="7" t="s">
        <v>17</v>
      </c>
      <c r="B23" s="21">
        <v>56465</v>
      </c>
      <c r="C23" s="21">
        <v>56465</v>
      </c>
      <c r="D23" s="21">
        <f>C23</f>
        <v>56465</v>
      </c>
      <c r="E23" s="19">
        <f>D23</f>
        <v>56465</v>
      </c>
      <c r="F23" s="19">
        <f t="shared" ref="F23:R23" si="5">E23</f>
        <v>56465</v>
      </c>
      <c r="G23" s="19">
        <f t="shared" si="5"/>
        <v>56465</v>
      </c>
      <c r="H23" s="19">
        <f t="shared" si="5"/>
        <v>56465</v>
      </c>
      <c r="I23" s="19">
        <f t="shared" si="5"/>
        <v>56465</v>
      </c>
      <c r="J23" s="19">
        <f t="shared" si="5"/>
        <v>56465</v>
      </c>
      <c r="K23" s="19">
        <f t="shared" si="5"/>
        <v>56465</v>
      </c>
      <c r="L23" s="19">
        <f t="shared" si="5"/>
        <v>56465</v>
      </c>
      <c r="M23" s="19">
        <f t="shared" si="5"/>
        <v>56465</v>
      </c>
      <c r="N23" s="19">
        <f t="shared" si="5"/>
        <v>56465</v>
      </c>
      <c r="O23" s="19">
        <f t="shared" si="5"/>
        <v>56465</v>
      </c>
      <c r="P23" s="19">
        <f t="shared" si="5"/>
        <v>56465</v>
      </c>
      <c r="Q23" s="19">
        <f t="shared" si="5"/>
        <v>56465</v>
      </c>
      <c r="R23" s="22">
        <f t="shared" si="5"/>
        <v>56465</v>
      </c>
    </row>
    <row r="24" spans="1:18" ht="13.5" thickTop="1" x14ac:dyDescent="0.2">
      <c r="A24" s="7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3"/>
    </row>
    <row r="25" spans="1:18" ht="13.5" thickBot="1" x14ac:dyDescent="0.25">
      <c r="A25" s="7" t="s">
        <v>18</v>
      </c>
      <c r="B25" s="19">
        <v>0</v>
      </c>
      <c r="C25" s="19">
        <v>0</v>
      </c>
      <c r="D25" s="19">
        <v>0</v>
      </c>
      <c r="E25" s="19">
        <f>D25</f>
        <v>0</v>
      </c>
      <c r="F25" s="19">
        <f t="shared" ref="F25:R25" si="6">E25</f>
        <v>0</v>
      </c>
      <c r="G25" s="19">
        <f t="shared" si="6"/>
        <v>0</v>
      </c>
      <c r="H25" s="19">
        <f t="shared" si="6"/>
        <v>0</v>
      </c>
      <c r="I25" s="19">
        <f t="shared" si="6"/>
        <v>0</v>
      </c>
      <c r="J25" s="19">
        <f t="shared" si="6"/>
        <v>0</v>
      </c>
      <c r="K25" s="19">
        <f t="shared" si="6"/>
        <v>0</v>
      </c>
      <c r="L25" s="19">
        <f t="shared" si="6"/>
        <v>0</v>
      </c>
      <c r="M25" s="19">
        <f t="shared" si="6"/>
        <v>0</v>
      </c>
      <c r="N25" s="19">
        <f t="shared" si="6"/>
        <v>0</v>
      </c>
      <c r="O25" s="19">
        <f t="shared" si="6"/>
        <v>0</v>
      </c>
      <c r="P25" s="19">
        <f t="shared" si="6"/>
        <v>0</v>
      </c>
      <c r="Q25" s="19">
        <f t="shared" si="6"/>
        <v>0</v>
      </c>
      <c r="R25" s="22">
        <f t="shared" si="6"/>
        <v>0</v>
      </c>
    </row>
    <row r="26" spans="1:18" ht="13.5" thickTop="1" x14ac:dyDescent="0.2">
      <c r="A26" s="7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3"/>
    </row>
    <row r="27" spans="1:18" x14ac:dyDescent="0.2">
      <c r="A27" s="7" t="s">
        <v>19</v>
      </c>
      <c r="B27" s="16">
        <v>73000</v>
      </c>
      <c r="C27" s="16">
        <v>91787</v>
      </c>
      <c r="D27" s="16">
        <v>91157</v>
      </c>
      <c r="E27" s="11">
        <f>D27</f>
        <v>91157</v>
      </c>
      <c r="F27" s="11">
        <f t="shared" ref="F27:R27" si="7">E27</f>
        <v>91157</v>
      </c>
      <c r="G27" s="11">
        <f t="shared" si="7"/>
        <v>91157</v>
      </c>
      <c r="H27" s="11">
        <f t="shared" si="7"/>
        <v>91157</v>
      </c>
      <c r="I27" s="11">
        <f t="shared" si="7"/>
        <v>91157</v>
      </c>
      <c r="J27" s="11">
        <f t="shared" si="7"/>
        <v>91157</v>
      </c>
      <c r="K27" s="11">
        <f t="shared" si="7"/>
        <v>91157</v>
      </c>
      <c r="L27" s="11">
        <v>0</v>
      </c>
      <c r="M27" s="11">
        <f t="shared" si="7"/>
        <v>0</v>
      </c>
      <c r="N27" s="11">
        <f t="shared" si="7"/>
        <v>0</v>
      </c>
      <c r="O27" s="11">
        <f t="shared" si="7"/>
        <v>0</v>
      </c>
      <c r="P27" s="11">
        <f t="shared" si="7"/>
        <v>0</v>
      </c>
      <c r="Q27" s="11">
        <f t="shared" si="7"/>
        <v>0</v>
      </c>
      <c r="R27" s="13">
        <f t="shared" si="7"/>
        <v>0</v>
      </c>
    </row>
    <row r="28" spans="1:18" x14ac:dyDescent="0.2">
      <c r="A28" s="7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3"/>
    </row>
    <row r="29" spans="1:18" x14ac:dyDescent="0.2">
      <c r="A29" s="7" t="s">
        <v>1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3"/>
    </row>
    <row r="30" spans="1:18" x14ac:dyDescent="0.2">
      <c r="A30" s="14" t="s">
        <v>20</v>
      </c>
      <c r="B30" s="11"/>
      <c r="C30" s="11"/>
      <c r="D30" s="11">
        <f>D32-D31</f>
        <v>49020</v>
      </c>
      <c r="E30" s="11">
        <f>E32-E31</f>
        <v>35500</v>
      </c>
      <c r="F30" s="11">
        <v>-69900</v>
      </c>
      <c r="G30" s="11">
        <v>-69900</v>
      </c>
      <c r="H30" s="11">
        <v>-69900</v>
      </c>
      <c r="I30" s="11">
        <v>-21000</v>
      </c>
      <c r="J30" s="11">
        <v>-18000</v>
      </c>
      <c r="K30" s="11">
        <v>-15000</v>
      </c>
      <c r="L30" s="11">
        <v>-13000</v>
      </c>
      <c r="M30" s="11">
        <v>-12000</v>
      </c>
      <c r="N30" s="11">
        <v>-12000</v>
      </c>
      <c r="O30" s="11">
        <v>-12000</v>
      </c>
      <c r="P30" s="11">
        <v>-12000</v>
      </c>
      <c r="Q30" s="11">
        <v>-12000</v>
      </c>
      <c r="R30" s="13">
        <v>-12000</v>
      </c>
    </row>
    <row r="31" spans="1:18" x14ac:dyDescent="0.2">
      <c r="A31" s="14" t="s">
        <v>50</v>
      </c>
      <c r="B31" s="11"/>
      <c r="C31" s="11"/>
      <c r="D31" s="11">
        <f>55260+42520</f>
        <v>97780</v>
      </c>
      <c r="E31" s="11">
        <f>(4*2340)+(28800+3750)+37590</f>
        <v>79500</v>
      </c>
      <c r="F31" s="11">
        <f>((28800+3750)+37350)</f>
        <v>69900</v>
      </c>
      <c r="G31" s="11">
        <f>((28800+3750)+37350)</f>
        <v>69900</v>
      </c>
      <c r="H31" s="11">
        <f>((28800+3750)+37350)</f>
        <v>69900</v>
      </c>
      <c r="I31" s="11">
        <f>((28800+3750)+37350)</f>
        <v>69900</v>
      </c>
      <c r="J31" s="11">
        <f>((28800+3750)+37080)</f>
        <v>69630</v>
      </c>
      <c r="K31" s="11">
        <f>((28800+3750)+36850)</f>
        <v>69400</v>
      </c>
      <c r="L31" s="11">
        <f>((28800+3750)+36850)</f>
        <v>69400</v>
      </c>
      <c r="M31" s="11">
        <f>((28800+3750)+36300)</f>
        <v>68850</v>
      </c>
      <c r="N31" s="11">
        <f>((28800+3750)+36300)</f>
        <v>68850</v>
      </c>
      <c r="O31" s="11">
        <f>((28800+3750)+36000)</f>
        <v>68550</v>
      </c>
      <c r="P31" s="11">
        <f>((28800+3750)+36000)</f>
        <v>68550</v>
      </c>
      <c r="Q31" s="11">
        <f>((28800+3750)+36000)</f>
        <v>68550</v>
      </c>
      <c r="R31" s="13">
        <f>36000</f>
        <v>36000</v>
      </c>
    </row>
    <row r="32" spans="1:18" ht="13.5" thickBot="1" x14ac:dyDescent="0.25">
      <c r="A32" s="14" t="s">
        <v>22</v>
      </c>
      <c r="B32" s="23"/>
      <c r="C32" s="21">
        <f>D32</f>
        <v>146800</v>
      </c>
      <c r="D32" s="21">
        <v>146800</v>
      </c>
      <c r="E32" s="21">
        <v>115000</v>
      </c>
      <c r="F32" s="19">
        <f t="shared" ref="F32:R32" si="8">SUM(F30:F31)</f>
        <v>0</v>
      </c>
      <c r="G32" s="19">
        <f t="shared" si="8"/>
        <v>0</v>
      </c>
      <c r="H32" s="19">
        <f t="shared" si="8"/>
        <v>0</v>
      </c>
      <c r="I32" s="19">
        <f t="shared" si="8"/>
        <v>48900</v>
      </c>
      <c r="J32" s="19">
        <f t="shared" si="8"/>
        <v>51630</v>
      </c>
      <c r="K32" s="19">
        <f t="shared" si="8"/>
        <v>54400</v>
      </c>
      <c r="L32" s="19">
        <f t="shared" si="8"/>
        <v>56400</v>
      </c>
      <c r="M32" s="19">
        <f t="shared" si="8"/>
        <v>56850</v>
      </c>
      <c r="N32" s="19">
        <f t="shared" si="8"/>
        <v>56850</v>
      </c>
      <c r="O32" s="19">
        <f t="shared" si="8"/>
        <v>56550</v>
      </c>
      <c r="P32" s="19">
        <f t="shared" si="8"/>
        <v>56550</v>
      </c>
      <c r="Q32" s="19">
        <f t="shared" si="8"/>
        <v>56550</v>
      </c>
      <c r="R32" s="22">
        <f t="shared" si="8"/>
        <v>24000</v>
      </c>
    </row>
    <row r="33" spans="1:18" ht="13.5" thickTop="1" x14ac:dyDescent="0.2">
      <c r="A33" s="7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3"/>
    </row>
    <row r="34" spans="1:18" ht="13.5" thickBot="1" x14ac:dyDescent="0.25">
      <c r="A34" s="7" t="s">
        <v>23</v>
      </c>
      <c r="B34" s="19">
        <v>0</v>
      </c>
      <c r="C34" s="19">
        <v>0</v>
      </c>
      <c r="D34" s="19">
        <v>0</v>
      </c>
      <c r="E34" s="19">
        <f>D34</f>
        <v>0</v>
      </c>
      <c r="F34" s="19">
        <f t="shared" ref="F34:R34" si="9">E34</f>
        <v>0</v>
      </c>
      <c r="G34" s="19">
        <f t="shared" si="9"/>
        <v>0</v>
      </c>
      <c r="H34" s="19">
        <f t="shared" si="9"/>
        <v>0</v>
      </c>
      <c r="I34" s="19">
        <f t="shared" si="9"/>
        <v>0</v>
      </c>
      <c r="J34" s="19">
        <f t="shared" si="9"/>
        <v>0</v>
      </c>
      <c r="K34" s="19">
        <f t="shared" si="9"/>
        <v>0</v>
      </c>
      <c r="L34" s="19">
        <f t="shared" si="9"/>
        <v>0</v>
      </c>
      <c r="M34" s="19">
        <f t="shared" si="9"/>
        <v>0</v>
      </c>
      <c r="N34" s="19">
        <f t="shared" si="9"/>
        <v>0</v>
      </c>
      <c r="O34" s="19">
        <f t="shared" si="9"/>
        <v>0</v>
      </c>
      <c r="P34" s="19">
        <f t="shared" si="9"/>
        <v>0</v>
      </c>
      <c r="Q34" s="19">
        <f t="shared" si="9"/>
        <v>0</v>
      </c>
      <c r="R34" s="22">
        <f t="shared" si="9"/>
        <v>0</v>
      </c>
    </row>
    <row r="35" spans="1:18" ht="13.5" thickTop="1" x14ac:dyDescent="0.2">
      <c r="A35" s="7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3"/>
    </row>
    <row r="36" spans="1:18" x14ac:dyDescent="0.2">
      <c r="A36" s="7" t="s">
        <v>24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3"/>
    </row>
    <row r="37" spans="1:18" x14ac:dyDescent="0.2">
      <c r="A37" s="14" t="s">
        <v>25</v>
      </c>
      <c r="B37" s="17"/>
      <c r="C37" s="15">
        <v>32360</v>
      </c>
      <c r="D37" s="24">
        <v>12667</v>
      </c>
      <c r="E37" s="11">
        <f>D37</f>
        <v>12667</v>
      </c>
      <c r="F37" s="11">
        <f>E37</f>
        <v>12667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3">
        <v>0</v>
      </c>
    </row>
    <row r="38" spans="1:18" x14ac:dyDescent="0.2">
      <c r="A38" s="14" t="s">
        <v>26</v>
      </c>
      <c r="B38" s="17"/>
      <c r="C38" s="15">
        <v>41864</v>
      </c>
      <c r="D38" s="24">
        <v>10005</v>
      </c>
      <c r="E38" s="11">
        <f>D38</f>
        <v>10005</v>
      </c>
      <c r="F38" s="11">
        <f>E38</f>
        <v>10005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3">
        <v>0</v>
      </c>
    </row>
    <row r="39" spans="1:18" ht="13.5" thickBot="1" x14ac:dyDescent="0.25">
      <c r="A39" s="14" t="s">
        <v>27</v>
      </c>
      <c r="B39" s="23">
        <v>0</v>
      </c>
      <c r="C39" s="25">
        <f>SUM(C37:C38)</f>
        <v>74224</v>
      </c>
      <c r="D39" s="25">
        <f>SUM(D37:D38)</f>
        <v>22672</v>
      </c>
      <c r="E39" s="26">
        <f t="shared" ref="E39:R39" si="10">SUM(E37:E38)</f>
        <v>22672</v>
      </c>
      <c r="F39" s="26">
        <f t="shared" si="10"/>
        <v>22672</v>
      </c>
      <c r="G39" s="26">
        <f t="shared" si="10"/>
        <v>0</v>
      </c>
      <c r="H39" s="26">
        <f t="shared" si="10"/>
        <v>0</v>
      </c>
      <c r="I39" s="26">
        <f t="shared" si="10"/>
        <v>0</v>
      </c>
      <c r="J39" s="26">
        <f t="shared" si="10"/>
        <v>0</v>
      </c>
      <c r="K39" s="26">
        <f t="shared" si="10"/>
        <v>0</v>
      </c>
      <c r="L39" s="26">
        <f t="shared" si="10"/>
        <v>0</v>
      </c>
      <c r="M39" s="26">
        <f t="shared" si="10"/>
        <v>0</v>
      </c>
      <c r="N39" s="26">
        <f t="shared" si="10"/>
        <v>0</v>
      </c>
      <c r="O39" s="26">
        <f t="shared" si="10"/>
        <v>0</v>
      </c>
      <c r="P39" s="26">
        <f t="shared" si="10"/>
        <v>0</v>
      </c>
      <c r="Q39" s="26">
        <f t="shared" si="10"/>
        <v>0</v>
      </c>
      <c r="R39" s="27">
        <f t="shared" si="10"/>
        <v>0</v>
      </c>
    </row>
    <row r="40" spans="1:18" ht="14.25" thickTop="1" thickBot="1" x14ac:dyDescent="0.25">
      <c r="A40" s="28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30"/>
    </row>
    <row r="42" spans="1:18" ht="13.5" thickBot="1" x14ac:dyDescent="0.25"/>
    <row r="43" spans="1:18" x14ac:dyDescent="0.2">
      <c r="A43" s="3" t="s">
        <v>28</v>
      </c>
      <c r="B43" s="4"/>
      <c r="C43" s="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6"/>
    </row>
    <row r="44" spans="1:18" x14ac:dyDescent="0.2">
      <c r="A44" s="7"/>
      <c r="B44" s="8"/>
      <c r="C44" s="8"/>
      <c r="D44" s="31">
        <v>2000</v>
      </c>
      <c r="E44" s="31">
        <v>2001</v>
      </c>
      <c r="F44" s="31">
        <v>2002</v>
      </c>
      <c r="G44" s="31">
        <v>2003</v>
      </c>
      <c r="H44" s="31">
        <v>2004</v>
      </c>
      <c r="I44" s="31">
        <v>2005</v>
      </c>
      <c r="J44" s="31">
        <v>2006</v>
      </c>
      <c r="K44" s="31">
        <v>2007</v>
      </c>
      <c r="L44" s="31">
        <v>2008</v>
      </c>
      <c r="M44" s="31">
        <v>2009</v>
      </c>
      <c r="N44" s="31">
        <v>2010</v>
      </c>
      <c r="O44" s="31">
        <v>2011</v>
      </c>
      <c r="P44" s="31">
        <v>2012</v>
      </c>
      <c r="Q44" s="31">
        <v>2013</v>
      </c>
      <c r="R44" s="32">
        <v>2014</v>
      </c>
    </row>
    <row r="45" spans="1:18" x14ac:dyDescent="0.2">
      <c r="A45" s="7" t="s">
        <v>7</v>
      </c>
      <c r="B45" s="8"/>
      <c r="C45" s="8"/>
      <c r="D45" s="33">
        <v>1</v>
      </c>
      <c r="E45" s="33">
        <f>E10/D10</f>
        <v>1</v>
      </c>
      <c r="F45" s="33">
        <f t="shared" ref="F45:R45" si="11">F10/E10</f>
        <v>1.0665057228174484</v>
      </c>
      <c r="G45" s="33">
        <f t="shared" si="11"/>
        <v>1</v>
      </c>
      <c r="H45" s="33">
        <f t="shared" si="11"/>
        <v>1</v>
      </c>
      <c r="I45" s="33">
        <f t="shared" si="11"/>
        <v>1</v>
      </c>
      <c r="J45" s="33">
        <f t="shared" si="11"/>
        <v>1</v>
      </c>
      <c r="K45" s="33">
        <f t="shared" si="11"/>
        <v>1</v>
      </c>
      <c r="L45" s="33">
        <f t="shared" si="11"/>
        <v>1</v>
      </c>
      <c r="M45" s="33">
        <f t="shared" si="11"/>
        <v>1</v>
      </c>
      <c r="N45" s="33">
        <f t="shared" si="11"/>
        <v>1</v>
      </c>
      <c r="O45" s="33">
        <f t="shared" si="11"/>
        <v>1</v>
      </c>
      <c r="P45" s="33">
        <f t="shared" si="11"/>
        <v>1</v>
      </c>
      <c r="Q45" s="33">
        <f t="shared" si="11"/>
        <v>1</v>
      </c>
      <c r="R45" s="34">
        <f t="shared" si="11"/>
        <v>1</v>
      </c>
    </row>
    <row r="46" spans="1:18" x14ac:dyDescent="0.2">
      <c r="A46" s="7" t="s">
        <v>0</v>
      </c>
      <c r="B46" s="8"/>
      <c r="C46" s="8"/>
      <c r="D46" s="33">
        <v>1</v>
      </c>
      <c r="E46" s="33">
        <f>E16/D16</f>
        <v>1.011727</v>
      </c>
      <c r="F46" s="33">
        <f t="shared" ref="F46:R46" si="12">F16/E16</f>
        <v>1.01</v>
      </c>
      <c r="G46" s="33">
        <f t="shared" si="12"/>
        <v>1.01</v>
      </c>
      <c r="H46" s="33">
        <f t="shared" si="12"/>
        <v>1.01</v>
      </c>
      <c r="I46" s="33">
        <f t="shared" si="12"/>
        <v>1.01</v>
      </c>
      <c r="J46" s="33">
        <f t="shared" si="12"/>
        <v>1.01</v>
      </c>
      <c r="K46" s="33">
        <f t="shared" si="12"/>
        <v>1.01</v>
      </c>
      <c r="L46" s="33">
        <f t="shared" si="12"/>
        <v>1.01</v>
      </c>
      <c r="M46" s="33">
        <f t="shared" si="12"/>
        <v>1.01</v>
      </c>
      <c r="N46" s="33">
        <f t="shared" si="12"/>
        <v>1.01</v>
      </c>
      <c r="O46" s="33">
        <f t="shared" si="12"/>
        <v>1.01</v>
      </c>
      <c r="P46" s="33">
        <f t="shared" si="12"/>
        <v>1.01</v>
      </c>
      <c r="Q46" s="33">
        <f t="shared" si="12"/>
        <v>1.01</v>
      </c>
      <c r="R46" s="34">
        <f t="shared" si="12"/>
        <v>1.01</v>
      </c>
    </row>
    <row r="47" spans="1:18" x14ac:dyDescent="0.2">
      <c r="A47" s="7" t="s">
        <v>16</v>
      </c>
      <c r="B47" s="8"/>
      <c r="C47" s="8"/>
      <c r="D47" s="33">
        <v>1</v>
      </c>
      <c r="E47" s="33">
        <f>E21/D21</f>
        <v>1</v>
      </c>
      <c r="F47" s="33">
        <f t="shared" ref="F47:R47" si="13">F21/E21</f>
        <v>1</v>
      </c>
      <c r="G47" s="33">
        <f t="shared" si="13"/>
        <v>1</v>
      </c>
      <c r="H47" s="33">
        <f t="shared" si="13"/>
        <v>1</v>
      </c>
      <c r="I47" s="33">
        <f t="shared" si="13"/>
        <v>1</v>
      </c>
      <c r="J47" s="33">
        <f t="shared" si="13"/>
        <v>1</v>
      </c>
      <c r="K47" s="33">
        <f t="shared" si="13"/>
        <v>1</v>
      </c>
      <c r="L47" s="33">
        <f t="shared" si="13"/>
        <v>1</v>
      </c>
      <c r="M47" s="33">
        <f t="shared" si="13"/>
        <v>1</v>
      </c>
      <c r="N47" s="33">
        <f t="shared" si="13"/>
        <v>1</v>
      </c>
      <c r="O47" s="33">
        <f t="shared" si="13"/>
        <v>1</v>
      </c>
      <c r="P47" s="33">
        <f t="shared" si="13"/>
        <v>1</v>
      </c>
      <c r="Q47" s="33">
        <f t="shared" si="13"/>
        <v>1</v>
      </c>
      <c r="R47" s="34">
        <f t="shared" si="13"/>
        <v>1</v>
      </c>
    </row>
    <row r="48" spans="1:18" x14ac:dyDescent="0.2">
      <c r="A48" s="7" t="s">
        <v>17</v>
      </c>
      <c r="B48" s="8"/>
      <c r="C48" s="8"/>
      <c r="D48" s="33">
        <v>1</v>
      </c>
      <c r="E48" s="33">
        <f>E23/D23</f>
        <v>1</v>
      </c>
      <c r="F48" s="33">
        <f t="shared" ref="F48:R48" si="14">F23/E23</f>
        <v>1</v>
      </c>
      <c r="G48" s="33">
        <f t="shared" si="14"/>
        <v>1</v>
      </c>
      <c r="H48" s="33">
        <f t="shared" si="14"/>
        <v>1</v>
      </c>
      <c r="I48" s="33">
        <f t="shared" si="14"/>
        <v>1</v>
      </c>
      <c r="J48" s="33">
        <f t="shared" si="14"/>
        <v>1</v>
      </c>
      <c r="K48" s="33">
        <f t="shared" si="14"/>
        <v>1</v>
      </c>
      <c r="L48" s="33">
        <f t="shared" si="14"/>
        <v>1</v>
      </c>
      <c r="M48" s="33">
        <f t="shared" si="14"/>
        <v>1</v>
      </c>
      <c r="N48" s="33">
        <f t="shared" si="14"/>
        <v>1</v>
      </c>
      <c r="O48" s="33">
        <f t="shared" si="14"/>
        <v>1</v>
      </c>
      <c r="P48" s="33">
        <f t="shared" si="14"/>
        <v>1</v>
      </c>
      <c r="Q48" s="33">
        <f t="shared" si="14"/>
        <v>1</v>
      </c>
      <c r="R48" s="34">
        <f t="shared" si="14"/>
        <v>1</v>
      </c>
    </row>
    <row r="49" spans="1:18" x14ac:dyDescent="0.2">
      <c r="A49" s="7" t="s">
        <v>18</v>
      </c>
      <c r="B49" s="8"/>
      <c r="C49" s="8"/>
      <c r="D49" s="33">
        <v>1</v>
      </c>
      <c r="E49" s="33">
        <f>D49</f>
        <v>1</v>
      </c>
      <c r="F49" s="33">
        <f t="shared" ref="F49:R49" si="15">E49</f>
        <v>1</v>
      </c>
      <c r="G49" s="33">
        <f t="shared" si="15"/>
        <v>1</v>
      </c>
      <c r="H49" s="33">
        <f t="shared" si="15"/>
        <v>1</v>
      </c>
      <c r="I49" s="33">
        <f t="shared" si="15"/>
        <v>1</v>
      </c>
      <c r="J49" s="33">
        <f t="shared" si="15"/>
        <v>1</v>
      </c>
      <c r="K49" s="33">
        <f t="shared" si="15"/>
        <v>1</v>
      </c>
      <c r="L49" s="33">
        <f t="shared" si="15"/>
        <v>1</v>
      </c>
      <c r="M49" s="33">
        <f t="shared" si="15"/>
        <v>1</v>
      </c>
      <c r="N49" s="33">
        <f t="shared" si="15"/>
        <v>1</v>
      </c>
      <c r="O49" s="33">
        <f t="shared" si="15"/>
        <v>1</v>
      </c>
      <c r="P49" s="33">
        <f t="shared" si="15"/>
        <v>1</v>
      </c>
      <c r="Q49" s="33">
        <f t="shared" si="15"/>
        <v>1</v>
      </c>
      <c r="R49" s="34">
        <f t="shared" si="15"/>
        <v>1</v>
      </c>
    </row>
    <row r="50" spans="1:18" x14ac:dyDescent="0.2">
      <c r="A50" s="7" t="s">
        <v>19</v>
      </c>
      <c r="B50" s="8"/>
      <c r="C50" s="8"/>
      <c r="D50" s="33">
        <v>1</v>
      </c>
      <c r="E50" s="33">
        <f>E27/D27</f>
        <v>1</v>
      </c>
      <c r="F50" s="33">
        <f t="shared" ref="F50:L50" si="16">F27/E27</f>
        <v>1</v>
      </c>
      <c r="G50" s="33">
        <f t="shared" si="16"/>
        <v>1</v>
      </c>
      <c r="H50" s="33">
        <f t="shared" si="16"/>
        <v>1</v>
      </c>
      <c r="I50" s="33">
        <f t="shared" si="16"/>
        <v>1</v>
      </c>
      <c r="J50" s="33">
        <f t="shared" si="16"/>
        <v>1</v>
      </c>
      <c r="K50" s="33">
        <f t="shared" si="16"/>
        <v>1</v>
      </c>
      <c r="L50" s="33">
        <f t="shared" si="16"/>
        <v>0</v>
      </c>
      <c r="M50" s="33">
        <v>0</v>
      </c>
      <c r="N50" s="33">
        <v>0</v>
      </c>
      <c r="O50" s="33">
        <v>0</v>
      </c>
      <c r="P50" s="33">
        <v>0</v>
      </c>
      <c r="Q50" s="33">
        <v>0</v>
      </c>
      <c r="R50" s="34">
        <v>0</v>
      </c>
    </row>
    <row r="51" spans="1:18" x14ac:dyDescent="0.2">
      <c r="A51" s="7" t="s">
        <v>1</v>
      </c>
      <c r="B51" s="8"/>
      <c r="C51" s="8"/>
      <c r="D51" s="33">
        <v>1</v>
      </c>
      <c r="E51" s="33">
        <f>E32/D32</f>
        <v>0.78337874659400542</v>
      </c>
      <c r="F51" s="33">
        <f t="shared" ref="F51:R51" si="17">F32/E32</f>
        <v>0</v>
      </c>
      <c r="G51" s="33" t="e">
        <f t="shared" si="17"/>
        <v>#DIV/0!</v>
      </c>
      <c r="H51" s="33" t="e">
        <f t="shared" si="17"/>
        <v>#DIV/0!</v>
      </c>
      <c r="I51" s="33" t="e">
        <f t="shared" si="17"/>
        <v>#DIV/0!</v>
      </c>
      <c r="J51" s="33">
        <f t="shared" si="17"/>
        <v>1.0558282208588956</v>
      </c>
      <c r="K51" s="33">
        <f t="shared" si="17"/>
        <v>1.0536509781134999</v>
      </c>
      <c r="L51" s="33">
        <f t="shared" si="17"/>
        <v>1.036764705882353</v>
      </c>
      <c r="M51" s="33">
        <f t="shared" si="17"/>
        <v>1.0079787234042554</v>
      </c>
      <c r="N51" s="33">
        <f t="shared" si="17"/>
        <v>1</v>
      </c>
      <c r="O51" s="33">
        <f t="shared" si="17"/>
        <v>0.99472295514511877</v>
      </c>
      <c r="P51" s="33">
        <f t="shared" si="17"/>
        <v>1</v>
      </c>
      <c r="Q51" s="33">
        <f t="shared" si="17"/>
        <v>1</v>
      </c>
      <c r="R51" s="34">
        <f t="shared" si="17"/>
        <v>0.4244031830238727</v>
      </c>
    </row>
    <row r="52" spans="1:18" x14ac:dyDescent="0.2">
      <c r="A52" s="7" t="s">
        <v>23</v>
      </c>
      <c r="B52" s="8"/>
      <c r="C52" s="8"/>
      <c r="D52" s="33">
        <v>1</v>
      </c>
      <c r="E52" s="33">
        <f>D52</f>
        <v>1</v>
      </c>
      <c r="F52" s="33">
        <f t="shared" ref="F52:R53" si="18">E52</f>
        <v>1</v>
      </c>
      <c r="G52" s="33">
        <f t="shared" si="18"/>
        <v>1</v>
      </c>
      <c r="H52" s="33">
        <f t="shared" si="18"/>
        <v>1</v>
      </c>
      <c r="I52" s="33">
        <f t="shared" si="18"/>
        <v>1</v>
      </c>
      <c r="J52" s="33">
        <f t="shared" si="18"/>
        <v>1</v>
      </c>
      <c r="K52" s="33">
        <f t="shared" si="18"/>
        <v>1</v>
      </c>
      <c r="L52" s="33">
        <f t="shared" si="18"/>
        <v>1</v>
      </c>
      <c r="M52" s="33">
        <f t="shared" si="18"/>
        <v>1</v>
      </c>
      <c r="N52" s="33">
        <f t="shared" si="18"/>
        <v>1</v>
      </c>
      <c r="O52" s="33">
        <f t="shared" si="18"/>
        <v>1</v>
      </c>
      <c r="P52" s="33">
        <f t="shared" si="18"/>
        <v>1</v>
      </c>
      <c r="Q52" s="33">
        <f t="shared" si="18"/>
        <v>1</v>
      </c>
      <c r="R52" s="34">
        <f t="shared" si="18"/>
        <v>1</v>
      </c>
    </row>
    <row r="53" spans="1:18" ht="13.5" thickBot="1" x14ac:dyDescent="0.25">
      <c r="A53" s="28" t="s">
        <v>24</v>
      </c>
      <c r="B53" s="29"/>
      <c r="C53" s="29"/>
      <c r="D53" s="35">
        <v>1</v>
      </c>
      <c r="E53" s="35">
        <f>E39/D39</f>
        <v>1</v>
      </c>
      <c r="F53" s="35">
        <f>F39/E39</f>
        <v>1</v>
      </c>
      <c r="G53" s="35">
        <f>G39/F39</f>
        <v>0</v>
      </c>
      <c r="H53" s="35">
        <f>G53</f>
        <v>0</v>
      </c>
      <c r="I53" s="35">
        <f t="shared" si="18"/>
        <v>0</v>
      </c>
      <c r="J53" s="35">
        <f t="shared" si="18"/>
        <v>0</v>
      </c>
      <c r="K53" s="35">
        <f t="shared" si="18"/>
        <v>0</v>
      </c>
      <c r="L53" s="35">
        <f t="shared" si="18"/>
        <v>0</v>
      </c>
      <c r="M53" s="35">
        <f t="shared" si="18"/>
        <v>0</v>
      </c>
      <c r="N53" s="35">
        <f t="shared" si="18"/>
        <v>0</v>
      </c>
      <c r="O53" s="35">
        <f t="shared" si="18"/>
        <v>0</v>
      </c>
      <c r="P53" s="35">
        <f t="shared" si="18"/>
        <v>0</v>
      </c>
      <c r="Q53" s="35">
        <f t="shared" si="18"/>
        <v>0</v>
      </c>
      <c r="R53" s="36">
        <f t="shared" si="18"/>
        <v>0</v>
      </c>
    </row>
    <row r="54" spans="1:18" ht="13.5" thickBot="1" x14ac:dyDescent="0.25"/>
    <row r="55" spans="1:18" x14ac:dyDescent="0.2">
      <c r="A55" s="3" t="s">
        <v>29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6"/>
    </row>
    <row r="56" spans="1:18" x14ac:dyDescent="0.2">
      <c r="A56" s="7"/>
      <c r="B56" s="31">
        <v>1998</v>
      </c>
      <c r="C56" s="31">
        <v>1999</v>
      </c>
      <c r="D56" s="31">
        <v>2000</v>
      </c>
      <c r="E56" s="31">
        <v>2001</v>
      </c>
      <c r="F56" s="31">
        <v>2002</v>
      </c>
      <c r="G56" s="31">
        <v>2003</v>
      </c>
      <c r="H56" s="31">
        <v>2004</v>
      </c>
      <c r="I56" s="31">
        <v>2005</v>
      </c>
      <c r="J56" s="31">
        <v>2006</v>
      </c>
      <c r="K56" s="31">
        <v>2007</v>
      </c>
      <c r="L56" s="31">
        <v>2008</v>
      </c>
      <c r="M56" s="31">
        <v>2009</v>
      </c>
      <c r="N56" s="31">
        <v>2010</v>
      </c>
      <c r="O56" s="31">
        <v>2011</v>
      </c>
      <c r="P56" s="31">
        <v>2012</v>
      </c>
      <c r="Q56" s="31">
        <v>2013</v>
      </c>
      <c r="R56" s="32">
        <v>2014</v>
      </c>
    </row>
    <row r="57" spans="1:18" x14ac:dyDescent="0.2">
      <c r="A57" s="7" t="s">
        <v>7</v>
      </c>
      <c r="B57" s="33">
        <f>B10/$B$10</f>
        <v>1</v>
      </c>
      <c r="C57" s="33">
        <f t="shared" ref="C57:R57" si="19">C10/$B$10</f>
        <v>1.2479059344948196</v>
      </c>
      <c r="D57" s="33">
        <f t="shared" si="19"/>
        <v>1.2433167682347006</v>
      </c>
      <c r="E57" s="33">
        <f t="shared" si="19"/>
        <v>1.2433167682347006</v>
      </c>
      <c r="F57" s="33">
        <f t="shared" si="19"/>
        <v>1.3260044485972036</v>
      </c>
      <c r="G57" s="33">
        <f t="shared" si="19"/>
        <v>1.3260044485972036</v>
      </c>
      <c r="H57" s="33">
        <f t="shared" si="19"/>
        <v>1.3260044485972036</v>
      </c>
      <c r="I57" s="33">
        <f t="shared" si="19"/>
        <v>1.3260044485972036</v>
      </c>
      <c r="J57" s="33">
        <f t="shared" si="19"/>
        <v>1.3260044485972036</v>
      </c>
      <c r="K57" s="33">
        <f t="shared" si="19"/>
        <v>1.3260044485972036</v>
      </c>
      <c r="L57" s="33">
        <f t="shared" si="19"/>
        <v>1.3260044485972036</v>
      </c>
      <c r="M57" s="33">
        <f t="shared" si="19"/>
        <v>1.3260044485972036</v>
      </c>
      <c r="N57" s="33">
        <f t="shared" si="19"/>
        <v>1.3260044485972036</v>
      </c>
      <c r="O57" s="33">
        <f t="shared" si="19"/>
        <v>1.3260044485972036</v>
      </c>
      <c r="P57" s="33">
        <f t="shared" si="19"/>
        <v>1.3260044485972036</v>
      </c>
      <c r="Q57" s="33">
        <f t="shared" si="19"/>
        <v>1.3260044485972036</v>
      </c>
      <c r="R57" s="34">
        <f t="shared" si="19"/>
        <v>1.3260044485972036</v>
      </c>
    </row>
    <row r="58" spans="1:18" x14ac:dyDescent="0.2">
      <c r="A58" s="7" t="s">
        <v>0</v>
      </c>
      <c r="B58" s="33">
        <f>B16/$B$16</f>
        <v>1</v>
      </c>
      <c r="C58" s="56">
        <f>C16/$B$16*C18</f>
        <v>1.062031697572281</v>
      </c>
      <c r="D58" s="56">
        <f>D16/$B$16*D18</f>
        <v>1.0189132416115525</v>
      </c>
      <c r="E58" s="56">
        <f>E16/$B$16*E18</f>
        <v>1.012634614141386</v>
      </c>
      <c r="F58" s="33">
        <f t="shared" ref="F58:R58" si="20">F16/$B$16</f>
        <v>1.0789901405333864</v>
      </c>
      <c r="G58" s="33">
        <f t="shared" si="20"/>
        <v>1.0897800419387202</v>
      </c>
      <c r="H58" s="33">
        <f t="shared" si="20"/>
        <v>1.1006778423581076</v>
      </c>
      <c r="I58" s="33">
        <f t="shared" si="20"/>
        <v>1.1116846207816886</v>
      </c>
      <c r="J58" s="33">
        <f t="shared" si="20"/>
        <v>1.1228014669895054</v>
      </c>
      <c r="K58" s="33">
        <f t="shared" si="20"/>
        <v>1.1340294816594005</v>
      </c>
      <c r="L58" s="33">
        <f t="shared" si="20"/>
        <v>1.1453697764759945</v>
      </c>
      <c r="M58" s="33">
        <f t="shared" si="20"/>
        <v>1.1568234742407546</v>
      </c>
      <c r="N58" s="33">
        <f t="shared" si="20"/>
        <v>1.1683917089831619</v>
      </c>
      <c r="O58" s="33">
        <f t="shared" si="20"/>
        <v>1.1800756260729937</v>
      </c>
      <c r="P58" s="33">
        <f t="shared" si="20"/>
        <v>1.1918763823337235</v>
      </c>
      <c r="Q58" s="33">
        <f t="shared" si="20"/>
        <v>1.2037951461570608</v>
      </c>
      <c r="R58" s="34">
        <f t="shared" si="20"/>
        <v>1.2158330976186316</v>
      </c>
    </row>
    <row r="59" spans="1:18" x14ac:dyDescent="0.2">
      <c r="A59" s="7" t="s">
        <v>30</v>
      </c>
      <c r="B59" s="33">
        <f>(B21+B23+B32+B39)/($B$21+$B$23+$B$32+$B$39)</f>
        <v>1</v>
      </c>
      <c r="C59" s="33">
        <f>(C21+C23+C32+C39)/($B$21+$B$23+$B$32+$B$39)</f>
        <v>3.4094447266155608</v>
      </c>
      <c r="D59" s="33">
        <f t="shared" ref="D59:R59" si="21">(D21+D23+D32+D39)/($B$21+$B$23+$B$32+$B$39)</f>
        <v>2.8005220821866033</v>
      </c>
      <c r="E59" s="33">
        <f t="shared" si="21"/>
        <v>2.4249063913726507</v>
      </c>
      <c r="F59" s="33">
        <f t="shared" si="21"/>
        <v>1.0665477610706229</v>
      </c>
      <c r="G59" s="33">
        <f t="shared" si="21"/>
        <v>0.79875031006012209</v>
      </c>
      <c r="H59" s="33">
        <f t="shared" si="21"/>
        <v>0.79875031006012209</v>
      </c>
      <c r="I59" s="33">
        <f t="shared" si="21"/>
        <v>1.3763480232928975</v>
      </c>
      <c r="J59" s="33">
        <f t="shared" si="21"/>
        <v>1.40859427599485</v>
      </c>
      <c r="K59" s="33">
        <f t="shared" si="21"/>
        <v>1.4413130012638642</v>
      </c>
      <c r="L59" s="33">
        <f t="shared" si="21"/>
        <v>1.4649366296169428</v>
      </c>
      <c r="M59" s="33">
        <f t="shared" si="21"/>
        <v>1.4702519459963856</v>
      </c>
      <c r="N59" s="33">
        <f t="shared" si="21"/>
        <v>1.4702519459963856</v>
      </c>
      <c r="O59" s="33">
        <f t="shared" si="21"/>
        <v>1.4667084017434238</v>
      </c>
      <c r="P59" s="33">
        <f t="shared" si="21"/>
        <v>1.4667084017434238</v>
      </c>
      <c r="Q59" s="33">
        <f t="shared" si="21"/>
        <v>1.4667084017434238</v>
      </c>
      <c r="R59" s="34">
        <f t="shared" si="21"/>
        <v>1.0822338502970672</v>
      </c>
    </row>
    <row r="60" spans="1:18" x14ac:dyDescent="0.2">
      <c r="A60" s="7" t="s">
        <v>31</v>
      </c>
      <c r="B60" s="33">
        <v>1</v>
      </c>
      <c r="C60" s="33">
        <v>1</v>
      </c>
      <c r="D60" s="33">
        <v>1</v>
      </c>
      <c r="E60" s="33">
        <v>1</v>
      </c>
      <c r="F60" s="33">
        <v>1</v>
      </c>
      <c r="G60" s="33">
        <v>1</v>
      </c>
      <c r="H60" s="33">
        <v>1</v>
      </c>
      <c r="I60" s="33">
        <v>1</v>
      </c>
      <c r="J60" s="33">
        <v>1</v>
      </c>
      <c r="K60" s="33">
        <v>1</v>
      </c>
      <c r="L60" s="33">
        <v>1</v>
      </c>
      <c r="M60" s="33">
        <v>1</v>
      </c>
      <c r="N60" s="33">
        <v>1</v>
      </c>
      <c r="O60" s="33">
        <v>1</v>
      </c>
      <c r="P60" s="33">
        <v>1</v>
      </c>
      <c r="Q60" s="33">
        <v>1</v>
      </c>
      <c r="R60" s="34">
        <v>1</v>
      </c>
    </row>
    <row r="61" spans="1:18" ht="13.5" thickBot="1" x14ac:dyDescent="0.25">
      <c r="A61" s="28" t="s">
        <v>19</v>
      </c>
      <c r="B61" s="35">
        <f>B27/$B$27</f>
        <v>1</v>
      </c>
      <c r="C61" s="35">
        <f t="shared" ref="C61:R61" si="22">C27/$B$27</f>
        <v>1.2573561643835616</v>
      </c>
      <c r="D61" s="35">
        <f t="shared" si="22"/>
        <v>1.2487260273972602</v>
      </c>
      <c r="E61" s="35">
        <f t="shared" si="22"/>
        <v>1.2487260273972602</v>
      </c>
      <c r="F61" s="35">
        <f t="shared" si="22"/>
        <v>1.2487260273972602</v>
      </c>
      <c r="G61" s="35">
        <f t="shared" si="22"/>
        <v>1.2487260273972602</v>
      </c>
      <c r="H61" s="35">
        <f t="shared" si="22"/>
        <v>1.2487260273972602</v>
      </c>
      <c r="I61" s="35">
        <f t="shared" si="22"/>
        <v>1.2487260273972602</v>
      </c>
      <c r="J61" s="35">
        <f t="shared" si="22"/>
        <v>1.2487260273972602</v>
      </c>
      <c r="K61" s="35">
        <f t="shared" si="22"/>
        <v>1.2487260273972602</v>
      </c>
      <c r="L61" s="35">
        <f t="shared" si="22"/>
        <v>0</v>
      </c>
      <c r="M61" s="35">
        <f t="shared" si="22"/>
        <v>0</v>
      </c>
      <c r="N61" s="35">
        <f t="shared" si="22"/>
        <v>0</v>
      </c>
      <c r="O61" s="35">
        <f t="shared" si="22"/>
        <v>0</v>
      </c>
      <c r="P61" s="35">
        <f t="shared" si="22"/>
        <v>0</v>
      </c>
      <c r="Q61" s="35">
        <f t="shared" si="22"/>
        <v>0</v>
      </c>
      <c r="R61" s="36">
        <f t="shared" si="22"/>
        <v>0</v>
      </c>
    </row>
    <row r="62" spans="1:18" ht="13.5" thickBot="1" x14ac:dyDescent="0.25">
      <c r="C62" s="42"/>
    </row>
    <row r="63" spans="1:18" ht="18.75" x14ac:dyDescent="0.3">
      <c r="A63" s="3" t="s">
        <v>77</v>
      </c>
    </row>
    <row r="64" spans="1:18" x14ac:dyDescent="0.2">
      <c r="A64" s="7" t="s">
        <v>7</v>
      </c>
      <c r="B64" s="109">
        <f t="array" ref="B64:R66">TRANSPOSE('[1]T&amp;D Escalation'!$AK$43:$AM$59)</f>
        <v>1</v>
      </c>
      <c r="C64" s="109">
        <v>1.2479059344948196</v>
      </c>
      <c r="D64" s="109">
        <v>1.2433167682347006</v>
      </c>
      <c r="E64" s="109">
        <v>1.2433167682347006</v>
      </c>
      <c r="F64" s="109">
        <v>1.3087367970304427</v>
      </c>
      <c r="G64" s="109">
        <v>1.3087367970304427</v>
      </c>
      <c r="H64" s="109">
        <v>1.2195760671490088</v>
      </c>
      <c r="I64" s="109">
        <v>1.2195760671490088</v>
      </c>
      <c r="J64" s="109">
        <v>1.1519123530778144</v>
      </c>
      <c r="K64" s="109">
        <v>1.1519123530778144</v>
      </c>
      <c r="L64" s="109">
        <v>1.1166447518476037</v>
      </c>
      <c r="M64" s="109">
        <v>1.1166447518476037</v>
      </c>
      <c r="N64" s="109">
        <v>1.0860690379212676</v>
      </c>
      <c r="O64" s="109">
        <v>1.0860690379212676</v>
      </c>
      <c r="P64" s="109">
        <v>1.0572549588973634</v>
      </c>
      <c r="Q64" s="109">
        <v>1.0572549588973634</v>
      </c>
      <c r="R64" s="109">
        <v>1.0307761501418218</v>
      </c>
    </row>
    <row r="65" spans="1:18" x14ac:dyDescent="0.2">
      <c r="A65" s="7" t="s">
        <v>0</v>
      </c>
      <c r="B65" s="109">
        <v>1</v>
      </c>
      <c r="C65" s="109">
        <v>1.081148268128582</v>
      </c>
      <c r="D65" s="109">
        <v>1.0559242461998506</v>
      </c>
      <c r="E65" s="109">
        <v>1.0683070698350361</v>
      </c>
      <c r="F65" s="109">
        <v>1.0759037288051994</v>
      </c>
      <c r="G65" s="109">
        <v>1.084162987293332</v>
      </c>
      <c r="H65" s="109">
        <v>1.0929871778817908</v>
      </c>
      <c r="I65" s="109">
        <v>0.98663801595496625</v>
      </c>
      <c r="J65" s="109">
        <v>0.99544379215138779</v>
      </c>
      <c r="K65" s="109">
        <v>1.0046632804547775</v>
      </c>
      <c r="L65" s="109">
        <v>1.0143163143847846</v>
      </c>
      <c r="M65" s="109">
        <v>1.024347994201259</v>
      </c>
      <c r="N65" s="109">
        <v>0.9875024192504479</v>
      </c>
      <c r="O65" s="109">
        <v>0.99749976246354743</v>
      </c>
      <c r="P65" s="109">
        <v>1.0076167757434442</v>
      </c>
      <c r="Q65" s="109">
        <v>1.0177925762591307</v>
      </c>
      <c r="R65" s="109">
        <v>1.0279395667817586</v>
      </c>
    </row>
    <row r="66" spans="1:18" ht="13.5" thickBot="1" x14ac:dyDescent="0.25">
      <c r="A66" t="s">
        <v>76</v>
      </c>
      <c r="B66" s="109">
        <v>1</v>
      </c>
      <c r="C66" s="109">
        <v>2.5327246311761025</v>
      </c>
      <c r="D66" s="109">
        <v>2.8005220821866033</v>
      </c>
      <c r="E66" s="109">
        <v>2.4249063913726507</v>
      </c>
      <c r="F66" s="109">
        <v>1.0665477610706229</v>
      </c>
      <c r="G66" s="109">
        <v>0.79875031006012209</v>
      </c>
      <c r="H66" s="109">
        <v>0.79875031006012209</v>
      </c>
      <c r="I66" s="109">
        <v>0.79875031006012209</v>
      </c>
      <c r="J66" s="109">
        <v>0.79875031006012209</v>
      </c>
      <c r="K66" s="109">
        <v>0.79875031006012209</v>
      </c>
      <c r="L66" s="109">
        <v>0.79875031006012209</v>
      </c>
      <c r="M66" s="109">
        <v>0.79875031006012209</v>
      </c>
      <c r="N66" s="109">
        <v>0.79875031006012209</v>
      </c>
      <c r="O66" s="109">
        <v>1.6084501718618962</v>
      </c>
      <c r="P66" s="109">
        <v>1.6084501718618962</v>
      </c>
      <c r="Q66" s="109">
        <v>1.6084501718618962</v>
      </c>
      <c r="R66" s="109">
        <v>1.2239756204155396</v>
      </c>
    </row>
    <row r="67" spans="1:18" ht="13.5" thickBot="1" x14ac:dyDescent="0.25">
      <c r="A67" s="110" t="s">
        <v>78</v>
      </c>
      <c r="B67" s="111">
        <f>'[1]T&amp;D Escalation'!$BG$5</f>
        <v>36922.672129629631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">
      <c r="A71" t="s">
        <v>52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">
      <c r="A72" t="s">
        <v>57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">
      <c r="A73" t="s">
        <v>56</v>
      </c>
    </row>
    <row r="74" spans="1:18" x14ac:dyDescent="0.2">
      <c r="A74" t="s">
        <v>58</v>
      </c>
    </row>
  </sheetData>
  <pageMargins left="0.75" right="0.75" top="0.59" bottom="0.62" header="0.5" footer="0.5"/>
  <pageSetup scale="50" orientation="landscape" r:id="rId1"/>
  <headerFooter alignWithMargins="0">
    <oddFooter>&amp;L&amp;F &amp;A&amp;R&amp;D TJJ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CTC Derivation</vt:lpstr>
      <vt:lpstr>PG&amp;E</vt:lpstr>
      <vt:lpstr>SCE</vt:lpstr>
      <vt:lpstr>SDG&amp;E</vt:lpstr>
      <vt:lpstr>'PG&amp;E'!Print_Area</vt:lpstr>
      <vt:lpstr>SCE!Print_Area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Lee</dc:creator>
  <cp:lastModifiedBy>Felienne</cp:lastModifiedBy>
  <cp:lastPrinted>2001-02-05T21:49:39Z</cp:lastPrinted>
  <dcterms:created xsi:type="dcterms:W3CDTF">2000-10-31T20:34:06Z</dcterms:created>
  <dcterms:modified xsi:type="dcterms:W3CDTF">2014-09-03T19:19:21Z</dcterms:modified>
</cp:coreProperties>
</file>