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285" tabRatio="946"/>
  </bookViews>
  <sheets>
    <sheet name=" PG&amp;E Scenarios" sheetId="1" r:id="rId1"/>
    <sheet name="SCE Scenarios" sheetId="2" r:id="rId2"/>
    <sheet name=" ORA" sheetId="5" r:id="rId3"/>
    <sheet name="Utility" sheetId="6" r:id="rId4"/>
    <sheet name="UNDERCOLLECTIONS" sheetId="3" r:id="rId5"/>
  </sheets>
  <calcPr calcId="152511"/>
</workbook>
</file>

<file path=xl/calcChain.xml><?xml version="1.0" encoding="utf-8"?>
<calcChain xmlns="http://schemas.openxmlformats.org/spreadsheetml/2006/main">
  <c r="C3" i="5" l="1"/>
  <c r="C4" i="5"/>
  <c r="D5" i="5"/>
  <c r="C6" i="5"/>
  <c r="C7" i="5"/>
  <c r="B8" i="5"/>
  <c r="C8" i="5"/>
  <c r="C18" i="5"/>
  <c r="B19" i="5"/>
  <c r="B21" i="5" s="1"/>
  <c r="B23" i="5" s="1"/>
  <c r="B9" i="5" s="1"/>
  <c r="B20" i="5"/>
  <c r="C20" i="5"/>
  <c r="B22" i="5"/>
  <c r="C28" i="5"/>
  <c r="D29" i="5"/>
  <c r="D30" i="5"/>
  <c r="D31" i="5"/>
  <c r="B32" i="5"/>
  <c r="B44" i="5" s="1"/>
  <c r="B45" i="5" s="1"/>
  <c r="B33" i="5" s="1"/>
  <c r="C32" i="5"/>
  <c r="D32" i="5" s="1"/>
  <c r="B43" i="5"/>
  <c r="C3" i="1"/>
  <c r="C4" i="1"/>
  <c r="C5" i="1"/>
  <c r="D5" i="1" s="1"/>
  <c r="C6" i="1"/>
  <c r="C7" i="1"/>
  <c r="B8" i="1"/>
  <c r="C8" i="1"/>
  <c r="D8" i="1"/>
  <c r="B18" i="1"/>
  <c r="C18" i="1"/>
  <c r="B19" i="1"/>
  <c r="B20" i="1"/>
  <c r="C20" i="1"/>
  <c r="B21" i="1"/>
  <c r="B22" i="1"/>
  <c r="B9" i="1" s="1"/>
  <c r="C26" i="1"/>
  <c r="C31" i="1" s="1"/>
  <c r="C27" i="1"/>
  <c r="C28" i="1"/>
  <c r="D28" i="1" s="1"/>
  <c r="C29" i="1"/>
  <c r="C30" i="1"/>
  <c r="B31" i="1"/>
  <c r="B41" i="1"/>
  <c r="B43" i="1" s="1"/>
  <c r="B45" i="1" s="1"/>
  <c r="B32" i="1" s="1"/>
  <c r="B42" i="1"/>
  <c r="B44" i="1"/>
  <c r="C50" i="1"/>
  <c r="C51" i="1"/>
  <c r="C55" i="1" s="1"/>
  <c r="C52" i="1"/>
  <c r="D52" i="1" s="1"/>
  <c r="C53" i="1"/>
  <c r="C54" i="1"/>
  <c r="B55" i="1"/>
  <c r="B66" i="1"/>
  <c r="B68" i="1" s="1"/>
  <c r="B70" i="1" s="1"/>
  <c r="B56" i="1" s="1"/>
  <c r="C56" i="1" s="1"/>
  <c r="B67" i="1"/>
  <c r="B69" i="1"/>
  <c r="C3" i="2"/>
  <c r="D4" i="2"/>
  <c r="D5" i="2"/>
  <c r="C6" i="2"/>
  <c r="D6" i="2"/>
  <c r="C7" i="2"/>
  <c r="D7" i="2"/>
  <c r="B8" i="2"/>
  <c r="C8" i="2"/>
  <c r="D8" i="2"/>
  <c r="C18" i="2"/>
  <c r="B19" i="2"/>
  <c r="B21" i="2" s="1"/>
  <c r="B9" i="2" s="1"/>
  <c r="B20" i="2"/>
  <c r="C20" i="2" s="1"/>
  <c r="C26" i="2"/>
  <c r="D27" i="2"/>
  <c r="D28" i="2"/>
  <c r="C29" i="2"/>
  <c r="C30" i="2"/>
  <c r="C31" i="2" s="1"/>
  <c r="D30" i="2"/>
  <c r="B31" i="2"/>
  <c r="B42" i="2"/>
  <c r="B43" i="2"/>
  <c r="B44" i="2"/>
  <c r="B32" i="2" s="1"/>
  <c r="C50" i="2"/>
  <c r="D51" i="2"/>
  <c r="D52" i="2"/>
  <c r="C53" i="2"/>
  <c r="D53" i="2" s="1"/>
  <c r="C54" i="2"/>
  <c r="D54" i="2"/>
  <c r="B55" i="2"/>
  <c r="B57" i="2" s="1"/>
  <c r="C55" i="2"/>
  <c r="D55" i="2"/>
  <c r="B66" i="2"/>
  <c r="B68" i="2" s="1"/>
  <c r="B56" i="2" s="1"/>
  <c r="C56" i="2" s="1"/>
  <c r="B67" i="2"/>
  <c r="B3" i="3"/>
  <c r="B4" i="3"/>
  <c r="B6" i="3"/>
  <c r="C6" i="3"/>
  <c r="B8" i="3"/>
  <c r="C8" i="3" s="1"/>
  <c r="B18" i="3"/>
  <c r="C18" i="3" s="1"/>
  <c r="B19" i="3"/>
  <c r="C3" i="6"/>
  <c r="B4" i="6"/>
  <c r="D4" i="6" s="1"/>
  <c r="C4" i="6"/>
  <c r="D5" i="6"/>
  <c r="C6" i="6"/>
  <c r="D6" i="6" s="1"/>
  <c r="D7" i="6"/>
  <c r="C18" i="6"/>
  <c r="B19" i="6"/>
  <c r="C32" i="1" l="1"/>
  <c r="C33" i="1" s="1"/>
  <c r="D33" i="1" s="1"/>
  <c r="D35" i="1" s="1"/>
  <c r="D36" i="1" s="1"/>
  <c r="D38" i="1" s="1"/>
  <c r="B33" i="1"/>
  <c r="B34" i="5"/>
  <c r="C33" i="5"/>
  <c r="C34" i="5" s="1"/>
  <c r="D34" i="5" s="1"/>
  <c r="D36" i="5" s="1"/>
  <c r="D37" i="5" s="1"/>
  <c r="D39" i="5" s="1"/>
  <c r="B10" i="5"/>
  <c r="C9" i="5"/>
  <c r="C10" i="5" s="1"/>
  <c r="D10" i="5" s="1"/>
  <c r="D12" i="5" s="1"/>
  <c r="D13" i="5" s="1"/>
  <c r="D15" i="5" s="1"/>
  <c r="C9" i="2"/>
  <c r="C10" i="2" s="1"/>
  <c r="D10" i="2" s="1"/>
  <c r="D12" i="2" s="1"/>
  <c r="D13" i="2" s="1"/>
  <c r="D15" i="2" s="1"/>
  <c r="B10" i="2"/>
  <c r="C9" i="1"/>
  <c r="B10" i="1"/>
  <c r="C33" i="2"/>
  <c r="D31" i="2"/>
  <c r="C57" i="1"/>
  <c r="D55" i="1"/>
  <c r="C10" i="1"/>
  <c r="C57" i="2"/>
  <c r="D57" i="2" s="1"/>
  <c r="D59" i="2" s="1"/>
  <c r="D60" i="2" s="1"/>
  <c r="D62" i="2" s="1"/>
  <c r="C32" i="2"/>
  <c r="B33" i="2"/>
  <c r="D31" i="1"/>
  <c r="B57" i="1"/>
  <c r="D8" i="5"/>
  <c r="B8" i="6"/>
  <c r="B20" i="3"/>
  <c r="C20" i="3" s="1"/>
  <c r="D10" i="1" l="1"/>
  <c r="D12" i="1" s="1"/>
  <c r="D13" i="1" s="1"/>
  <c r="D15" i="1" s="1"/>
  <c r="B20" i="6"/>
  <c r="C8" i="6"/>
  <c r="D57" i="1"/>
  <c r="D59" i="1" s="1"/>
  <c r="D60" i="1" s="1"/>
  <c r="D62" i="1" s="1"/>
  <c r="D33" i="2"/>
  <c r="D35" i="2" s="1"/>
  <c r="D36" i="2" s="1"/>
  <c r="D38" i="2" s="1"/>
  <c r="D8" i="6" l="1"/>
  <c r="C20" i="6"/>
  <c r="B21" i="6"/>
  <c r="B9" i="6" s="1"/>
  <c r="C9" i="6" l="1"/>
  <c r="C10" i="6" s="1"/>
  <c r="B10" i="6"/>
  <c r="D10" i="6" l="1"/>
  <c r="D12" i="6" s="1"/>
  <c r="D13" i="6" s="1"/>
  <c r="D15" i="6" s="1"/>
</calcChain>
</file>

<file path=xl/sharedStrings.xml><?xml version="1.0" encoding="utf-8"?>
<sst xmlns="http://schemas.openxmlformats.org/spreadsheetml/2006/main" count="235" uniqueCount="51">
  <si>
    <t>QF</t>
  </si>
  <si>
    <t>Fossil</t>
  </si>
  <si>
    <t>Hydro</t>
  </si>
  <si>
    <t>Nuclear</t>
  </si>
  <si>
    <t>Other Purchases</t>
  </si>
  <si>
    <t>CDWR Purchases</t>
  </si>
  <si>
    <t>NET SHORT</t>
  </si>
  <si>
    <t>Retail Sales at Meter</t>
  </si>
  <si>
    <t>Retail Sales at Generation</t>
  </si>
  <si>
    <t>Utility Generation</t>
  </si>
  <si>
    <t>WAPA &amp; CCSF Sales @ Generation</t>
  </si>
  <si>
    <t>Net Short</t>
  </si>
  <si>
    <t>RESOURCE TYPE</t>
  </si>
  <si>
    <t>ELECTRICITY GENERATION (GWH)</t>
  </si>
  <si>
    <t>REVENUE REQUIREMENT ($ MILLIONS)</t>
  </si>
  <si>
    <t>AVERAGE COST ($/MWH)</t>
  </si>
  <si>
    <t>Fully Loaded Procurement Costs at Generation</t>
  </si>
  <si>
    <t>Fully Loaded Procurement Costs at Meter</t>
  </si>
  <si>
    <t>Generation Component in Retail Rates</t>
  </si>
  <si>
    <t>Necessary Rate Increase (Decrease)</t>
  </si>
  <si>
    <t>TOTAL SYSTEM LOAD</t>
  </si>
  <si>
    <t>TOTAL GENERATION</t>
  </si>
  <si>
    <t>SUBTOTAL UTILITY GENERATION</t>
  </si>
  <si>
    <t>Coal</t>
  </si>
  <si>
    <t>San Onofre Nuclear</t>
  </si>
  <si>
    <t>Palo Verde Nuclear</t>
  </si>
  <si>
    <t>Diablo Canyon Nuclear</t>
  </si>
  <si>
    <t>Ancillary Services Uplift</t>
  </si>
  <si>
    <t>NET SHORT CALCULATION</t>
  </si>
  <si>
    <t>DRY</t>
  </si>
  <si>
    <t>WET</t>
  </si>
  <si>
    <t>BASE CASE - NORMAL</t>
  </si>
  <si>
    <t>SCE</t>
  </si>
  <si>
    <t>ESTIMATED UNDERCOLLECTION MONTH ENDING JANUARY 2001 FOR PG&amp;E</t>
  </si>
  <si>
    <t>TCBA</t>
  </si>
  <si>
    <t>TRA</t>
  </si>
  <si>
    <t>Est Gen Memo</t>
  </si>
  <si>
    <t>Net Undercollection</t>
  </si>
  <si>
    <t>$/MWH</t>
  </si>
  <si>
    <t>Above Book Proceeds from Sale of Transmission</t>
  </si>
  <si>
    <t>REMAINING UNDERCOLLECTION</t>
  </si>
  <si>
    <t>ESTIMATED UNDERCOLLECTION MONTH ENDING JANUARY 2001 FOR SCE</t>
  </si>
  <si>
    <t>PXRMA</t>
  </si>
  <si>
    <t>HGMA</t>
  </si>
  <si>
    <t>UFCCMA</t>
  </si>
  <si>
    <t>10 Years of Sales for Amortization of Balance</t>
  </si>
  <si>
    <t>ORA (PG&amp;E)</t>
  </si>
  <si>
    <t>ORA (SCE)</t>
  </si>
  <si>
    <t>Footnote:</t>
  </si>
  <si>
    <t>PG&amp;E did not provide any detail to develop a similar comparison.</t>
  </si>
  <si>
    <t>Replaced ORA's assumption for DWR weighted-average portfolio cost, included an estimate for ancillary services, and assume no Direct Access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</si>
</sst>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2" fillId="0" borderId="0" xfId="1" applyNumberFormat="1" applyFont="1"/>
    <xf numFmtId="165" fontId="2" fillId="0" borderId="0" xfId="1" applyNumberFormat="1" applyFont="1" applyFill="1"/>
    <xf numFmtId="165" fontId="3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2" fillId="0" borderId="3" xfId="1" applyNumberFormat="1" applyFont="1" applyBorder="1"/>
    <xf numFmtId="164" fontId="3" fillId="0" borderId="2" xfId="1" applyNumberFormat="1" applyFont="1" applyBorder="1"/>
    <xf numFmtId="165" fontId="0" fillId="0" borderId="2" xfId="1" applyNumberFormat="1" applyFont="1" applyBorder="1"/>
    <xf numFmtId="164" fontId="0" fillId="0" borderId="0" xfId="1" applyNumberFormat="1" applyFont="1" applyAlignment="1">
      <alignment wrapText="1"/>
    </xf>
    <xf numFmtId="165" fontId="0" fillId="0" borderId="0" xfId="1" applyNumberFormat="1" applyFont="1" applyBorder="1"/>
    <xf numFmtId="165" fontId="0" fillId="0" borderId="4" xfId="1" applyNumberFormat="1" applyFont="1" applyBorder="1"/>
    <xf numFmtId="0" fontId="4" fillId="0" borderId="0" xfId="0" applyFont="1"/>
    <xf numFmtId="165" fontId="4" fillId="0" borderId="0" xfId="1" applyNumberFormat="1" applyFont="1"/>
    <xf numFmtId="164" fontId="4" fillId="0" borderId="0" xfId="1" applyNumberFormat="1" applyFont="1"/>
    <xf numFmtId="165" fontId="4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tabSelected="1" zoomScale="75" workbookViewId="0">
      <selection activeCell="A14" sqref="A14"/>
    </sheetView>
  </sheetViews>
  <sheetFormatPr defaultRowHeight="12.75" x14ac:dyDescent="0.2"/>
  <cols>
    <col min="1" max="1" width="41" style="3" bestFit="1" customWidth="1"/>
    <col min="2" max="2" width="18.85546875" style="3" bestFit="1" customWidth="1"/>
    <col min="3" max="3" width="23.5703125" style="3" bestFit="1" customWidth="1"/>
    <col min="4" max="4" width="15.7109375" style="2" bestFit="1" customWidth="1"/>
    <col min="5" max="16384" width="9.140625" style="3"/>
  </cols>
  <sheetData>
    <row r="1" spans="1:16" x14ac:dyDescent="0.2">
      <c r="A1" s="3" t="s">
        <v>31</v>
      </c>
    </row>
    <row r="2" spans="1:16" s="4" customFormat="1" ht="38.25" x14ac:dyDescent="0.2">
      <c r="A2" s="4" t="s">
        <v>12</v>
      </c>
      <c r="B2" s="4" t="s">
        <v>13</v>
      </c>
      <c r="C2" s="4" t="s">
        <v>14</v>
      </c>
      <c r="D2" s="17" t="s">
        <v>15</v>
      </c>
    </row>
    <row r="3" spans="1:16" x14ac:dyDescent="0.2">
      <c r="A3" s="3" t="s">
        <v>0</v>
      </c>
      <c r="B3" s="5">
        <v>21000</v>
      </c>
      <c r="C3" s="3">
        <f>D3*B3</f>
        <v>1680000</v>
      </c>
      <c r="D3" s="8">
        <v>80</v>
      </c>
    </row>
    <row r="4" spans="1:16" x14ac:dyDescent="0.2">
      <c r="A4" s="3" t="s">
        <v>1</v>
      </c>
      <c r="B4" s="5">
        <v>1500</v>
      </c>
      <c r="C4" s="3">
        <f>B4*D4</f>
        <v>169500</v>
      </c>
      <c r="D4" s="8">
        <v>113</v>
      </c>
    </row>
    <row r="5" spans="1:16" x14ac:dyDescent="0.2">
      <c r="A5" s="3" t="s">
        <v>2</v>
      </c>
      <c r="B5" s="5">
        <v>12700</v>
      </c>
      <c r="C5" s="5">
        <f>365600*12/11</f>
        <v>398836.36363636365</v>
      </c>
      <c r="D5" s="2">
        <f>C5/B5</f>
        <v>31.404438081603438</v>
      </c>
    </row>
    <row r="6" spans="1:16" x14ac:dyDescent="0.2">
      <c r="A6" s="3" t="s">
        <v>26</v>
      </c>
      <c r="B6" s="6">
        <v>17000</v>
      </c>
      <c r="C6" s="2">
        <f>PMT(6%,10,B6)/85</f>
        <v>-27.173591644076769</v>
      </c>
      <c r="D6" s="8">
        <v>35</v>
      </c>
    </row>
    <row r="7" spans="1:16" x14ac:dyDescent="0.2">
      <c r="A7" s="3" t="s">
        <v>4</v>
      </c>
      <c r="B7" s="16">
        <v>8300</v>
      </c>
      <c r="C7" s="16">
        <f>D7*B7</f>
        <v>348600</v>
      </c>
      <c r="D7" s="12">
        <v>42</v>
      </c>
    </row>
    <row r="8" spans="1:16" x14ac:dyDescent="0.2">
      <c r="A8" s="3" t="s">
        <v>22</v>
      </c>
      <c r="B8" s="3">
        <f>SUM(B3:B7)</f>
        <v>60500</v>
      </c>
      <c r="C8" s="2">
        <f>PMT(6%,10,B8)/85</f>
        <v>-96.70601732156733</v>
      </c>
      <c r="D8" s="2">
        <f>C8/B8</f>
        <v>-1.5984465672986335E-3</v>
      </c>
    </row>
    <row r="9" spans="1:16" x14ac:dyDescent="0.2">
      <c r="A9" s="3" t="s">
        <v>5</v>
      </c>
      <c r="B9" s="7">
        <f>B22</f>
        <v>33529.40800000001</v>
      </c>
      <c r="C9" s="3">
        <f>B9*D9</f>
        <v>2682352.6400000006</v>
      </c>
      <c r="D9" s="8">
        <v>80</v>
      </c>
    </row>
    <row r="10" spans="1:16" ht="13.5" thickBot="1" x14ac:dyDescent="0.25">
      <c r="A10" s="3" t="s">
        <v>21</v>
      </c>
      <c r="B10" s="10">
        <f>SUM(B8:B9)</f>
        <v>94029.40800000001</v>
      </c>
      <c r="C10" s="10">
        <f>SUM(C8:C9)</f>
        <v>2682255.9339826792</v>
      </c>
      <c r="D10" s="13">
        <f>C10/B10</f>
        <v>28.525713295809314</v>
      </c>
    </row>
    <row r="11" spans="1:16" ht="13.5" thickTop="1" x14ac:dyDescent="0.2">
      <c r="A11" s="3" t="s">
        <v>27</v>
      </c>
      <c r="D11" s="14">
        <v>10</v>
      </c>
    </row>
    <row r="12" spans="1:16" x14ac:dyDescent="0.2">
      <c r="A12" s="3" t="s">
        <v>16</v>
      </c>
      <c r="D12" s="2">
        <f>SUM(D10:D11)</f>
        <v>38.525713295809311</v>
      </c>
    </row>
    <row r="13" spans="1:16" x14ac:dyDescent="0.2">
      <c r="A13" s="3" t="s">
        <v>17</v>
      </c>
      <c r="D13" s="2">
        <f>D12/(1-0.072)</f>
        <v>41.514777258415201</v>
      </c>
    </row>
    <row r="14" spans="1:16" x14ac:dyDescent="0.2">
      <c r="A14" s="3" t="s">
        <v>18</v>
      </c>
      <c r="D14" s="2">
        <v>70</v>
      </c>
    </row>
    <row r="15" spans="1:16" ht="13.5" thickBot="1" x14ac:dyDescent="0.25">
      <c r="A15" s="3" t="s">
        <v>19</v>
      </c>
      <c r="D15" s="13">
        <f>D13-D14</f>
        <v>-28.485222741584799</v>
      </c>
    </row>
    <row r="16" spans="1:16" ht="13.5" thickTop="1" x14ac:dyDescent="0.2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3" t="s">
        <v>7</v>
      </c>
      <c r="B17" s="5">
        <v>82300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s="3" t="s">
        <v>8</v>
      </c>
      <c r="B18" s="3">
        <f>B17*1.072</f>
        <v>88225.600000000006</v>
      </c>
      <c r="C18" s="2">
        <f>PMT(6%,10,B18)/85</f>
        <v>-141.0239074678623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3" t="s">
        <v>10</v>
      </c>
      <c r="B19" s="11">
        <f>5414*1.072</f>
        <v>5803.808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">
      <c r="A20" s="3" t="s">
        <v>20</v>
      </c>
      <c r="B20" s="3">
        <f>SUM(B18:B19)</f>
        <v>94029.40800000001</v>
      </c>
      <c r="C20" s="2">
        <f>PMT(6%,10,B20)/85</f>
        <v>-150.30098444272267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">
      <c r="A21" s="3" t="s">
        <v>9</v>
      </c>
      <c r="B21" s="3">
        <f>B8</f>
        <v>60500</v>
      </c>
      <c r="G21" s="1"/>
      <c r="H21" s="1"/>
    </row>
    <row r="22" spans="1:16" ht="13.5" thickBot="1" x14ac:dyDescent="0.25">
      <c r="A22" s="3" t="s">
        <v>6</v>
      </c>
      <c r="B22" s="10">
        <f>B20-B21</f>
        <v>33529.40800000001</v>
      </c>
      <c r="G22" s="1"/>
      <c r="H22" s="1"/>
    </row>
    <row r="23" spans="1:16" ht="13.5" thickTop="1" x14ac:dyDescent="0.2">
      <c r="G23" s="1"/>
      <c r="H23" s="1"/>
    </row>
    <row r="24" spans="1:16" x14ac:dyDescent="0.2">
      <c r="A24" s="3" t="s">
        <v>29</v>
      </c>
      <c r="G24" s="1"/>
      <c r="H24" s="1"/>
    </row>
    <row r="25" spans="1:16" ht="38.25" x14ac:dyDescent="0.2">
      <c r="A25" s="4" t="s">
        <v>12</v>
      </c>
      <c r="B25" s="4" t="s">
        <v>13</v>
      </c>
      <c r="C25" s="4" t="s">
        <v>14</v>
      </c>
      <c r="D25" s="17" t="s">
        <v>15</v>
      </c>
    </row>
    <row r="26" spans="1:16" x14ac:dyDescent="0.2">
      <c r="A26" s="3" t="s">
        <v>0</v>
      </c>
      <c r="B26" s="5">
        <v>21000</v>
      </c>
      <c r="C26" s="3">
        <f>D26*B26</f>
        <v>1680000</v>
      </c>
      <c r="D26" s="8">
        <v>80</v>
      </c>
    </row>
    <row r="27" spans="1:16" x14ac:dyDescent="0.2">
      <c r="A27" s="3" t="s">
        <v>1</v>
      </c>
      <c r="B27" s="5">
        <v>1500</v>
      </c>
      <c r="C27" s="3">
        <f>B27*D27</f>
        <v>169500</v>
      </c>
      <c r="D27" s="8">
        <v>113</v>
      </c>
    </row>
    <row r="28" spans="1:16" x14ac:dyDescent="0.2">
      <c r="A28" s="3" t="s">
        <v>2</v>
      </c>
      <c r="B28" s="5">
        <v>7900</v>
      </c>
      <c r="C28" s="5">
        <f>365600*12/11</f>
        <v>398836.36363636365</v>
      </c>
      <c r="D28" s="2">
        <f>C28/B28</f>
        <v>50.485615650172612</v>
      </c>
    </row>
    <row r="29" spans="1:16" x14ac:dyDescent="0.2">
      <c r="A29" s="3" t="s">
        <v>26</v>
      </c>
      <c r="B29" s="6">
        <v>17000</v>
      </c>
      <c r="C29" s="3">
        <f>B29*D29</f>
        <v>0</v>
      </c>
      <c r="D29" s="8"/>
    </row>
    <row r="30" spans="1:16" x14ac:dyDescent="0.2">
      <c r="A30" s="3" t="s">
        <v>4</v>
      </c>
      <c r="B30" s="16">
        <v>8300</v>
      </c>
      <c r="C30" s="16">
        <f>D30*B30</f>
        <v>348600</v>
      </c>
      <c r="D30" s="12">
        <v>42</v>
      </c>
    </row>
    <row r="31" spans="1:16" x14ac:dyDescent="0.2">
      <c r="A31" s="3" t="s">
        <v>22</v>
      </c>
      <c r="B31" s="3">
        <f>SUM(B26:B30)</f>
        <v>55700</v>
      </c>
      <c r="C31" s="3">
        <f>SUM(C26:C30)</f>
        <v>2596936.3636363638</v>
      </c>
      <c r="D31" s="2">
        <f>C31/B31</f>
        <v>46.623633099396116</v>
      </c>
    </row>
    <row r="32" spans="1:16" x14ac:dyDescent="0.2">
      <c r="A32" s="3" t="s">
        <v>5</v>
      </c>
      <c r="B32" s="7">
        <f>B45</f>
        <v>38329.40800000001</v>
      </c>
      <c r="C32" s="3">
        <f>B32*D32</f>
        <v>3066352.6400000006</v>
      </c>
      <c r="D32" s="8">
        <v>80</v>
      </c>
    </row>
    <row r="33" spans="1:4" ht="13.5" thickBot="1" x14ac:dyDescent="0.25">
      <c r="A33" s="3" t="s">
        <v>21</v>
      </c>
      <c r="B33" s="10">
        <f>SUM(B31:B32)</f>
        <v>94029.40800000001</v>
      </c>
      <c r="C33" s="10">
        <f>SUM(C31:C32)</f>
        <v>5663289.0036363639</v>
      </c>
      <c r="D33" s="13">
        <f>C33/B33</f>
        <v>60.228912678428891</v>
      </c>
    </row>
    <row r="34" spans="1:4" ht="13.5" thickTop="1" x14ac:dyDescent="0.2">
      <c r="A34" s="3" t="s">
        <v>27</v>
      </c>
      <c r="D34" s="14">
        <v>10</v>
      </c>
    </row>
    <row r="35" spans="1:4" x14ac:dyDescent="0.2">
      <c r="A35" s="3" t="s">
        <v>16</v>
      </c>
      <c r="D35" s="2">
        <f>SUM(D33:D34)</f>
        <v>70.228912678428884</v>
      </c>
    </row>
    <row r="36" spans="1:4" x14ac:dyDescent="0.2">
      <c r="A36" s="3" t="s">
        <v>17</v>
      </c>
      <c r="D36" s="2">
        <f>D35/(1-0.072)</f>
        <v>75.677707627617323</v>
      </c>
    </row>
    <row r="37" spans="1:4" x14ac:dyDescent="0.2">
      <c r="A37" s="3" t="s">
        <v>18</v>
      </c>
      <c r="D37" s="2">
        <v>70</v>
      </c>
    </row>
    <row r="38" spans="1:4" ht="13.5" thickBot="1" x14ac:dyDescent="0.25">
      <c r="A38" s="3" t="s">
        <v>19</v>
      </c>
      <c r="D38" s="13">
        <f>D36-D37</f>
        <v>5.6777076276173233</v>
      </c>
    </row>
    <row r="39" spans="1:4" ht="13.5" thickTop="1" x14ac:dyDescent="0.2"/>
    <row r="40" spans="1:4" x14ac:dyDescent="0.2">
      <c r="A40" s="3" t="s">
        <v>7</v>
      </c>
      <c r="B40" s="5">
        <v>82300</v>
      </c>
    </row>
    <row r="41" spans="1:4" x14ac:dyDescent="0.2">
      <c r="A41" s="3" t="s">
        <v>8</v>
      </c>
      <c r="B41" s="3">
        <f>B40*1.072</f>
        <v>88225.600000000006</v>
      </c>
    </row>
    <row r="42" spans="1:4" x14ac:dyDescent="0.2">
      <c r="A42" s="3" t="s">
        <v>10</v>
      </c>
      <c r="B42" s="11">
        <f>5414*1.072</f>
        <v>5803.808</v>
      </c>
    </row>
    <row r="43" spans="1:4" x14ac:dyDescent="0.2">
      <c r="A43" s="3" t="s">
        <v>20</v>
      </c>
      <c r="B43" s="3">
        <f>SUM(B41:B42)</f>
        <v>94029.40800000001</v>
      </c>
    </row>
    <row r="44" spans="1:4" x14ac:dyDescent="0.2">
      <c r="A44" s="3" t="s">
        <v>9</v>
      </c>
      <c r="B44" s="3">
        <f>B31</f>
        <v>55700</v>
      </c>
    </row>
    <row r="45" spans="1:4" ht="13.5" thickBot="1" x14ac:dyDescent="0.25">
      <c r="A45" s="3" t="s">
        <v>6</v>
      </c>
      <c r="B45" s="10">
        <f>B43-B44</f>
        <v>38329.40800000001</v>
      </c>
    </row>
    <row r="46" spans="1:4" ht="13.5" thickTop="1" x14ac:dyDescent="0.2"/>
    <row r="48" spans="1:4" x14ac:dyDescent="0.2">
      <c r="A48" s="3" t="s">
        <v>30</v>
      </c>
    </row>
    <row r="49" spans="1:4" ht="38.25" x14ac:dyDescent="0.2">
      <c r="A49" s="4" t="s">
        <v>12</v>
      </c>
      <c r="B49" s="4" t="s">
        <v>13</v>
      </c>
      <c r="C49" s="4" t="s">
        <v>14</v>
      </c>
      <c r="D49" s="17" t="s">
        <v>15</v>
      </c>
    </row>
    <row r="50" spans="1:4" x14ac:dyDescent="0.2">
      <c r="A50" s="3" t="s">
        <v>0</v>
      </c>
      <c r="B50" s="5">
        <v>21000</v>
      </c>
      <c r="C50" s="3">
        <f>D50*B50</f>
        <v>1680000</v>
      </c>
      <c r="D50" s="8">
        <v>80</v>
      </c>
    </row>
    <row r="51" spans="1:4" x14ac:dyDescent="0.2">
      <c r="A51" s="3" t="s">
        <v>1</v>
      </c>
      <c r="B51" s="5">
        <v>1500</v>
      </c>
      <c r="C51" s="3">
        <f>B51*D51</f>
        <v>169500</v>
      </c>
      <c r="D51" s="8">
        <v>113</v>
      </c>
    </row>
    <row r="52" spans="1:4" x14ac:dyDescent="0.2">
      <c r="A52" s="3" t="s">
        <v>2</v>
      </c>
      <c r="B52" s="5">
        <v>15450</v>
      </c>
      <c r="C52" s="5">
        <f>365600*12/11</f>
        <v>398836.36363636365</v>
      </c>
      <c r="D52" s="2">
        <f>C52/B52</f>
        <v>25.814651368049429</v>
      </c>
    </row>
    <row r="53" spans="1:4" x14ac:dyDescent="0.2">
      <c r="A53" s="3" t="s">
        <v>26</v>
      </c>
      <c r="B53" s="6">
        <v>17000</v>
      </c>
      <c r="C53" s="3">
        <f>B53*D53</f>
        <v>595000</v>
      </c>
      <c r="D53" s="8">
        <v>35</v>
      </c>
    </row>
    <row r="54" spans="1:4" x14ac:dyDescent="0.2">
      <c r="A54" s="3" t="s">
        <v>4</v>
      </c>
      <c r="B54" s="16">
        <v>8300</v>
      </c>
      <c r="C54" s="16">
        <f>D54*B54</f>
        <v>348600</v>
      </c>
      <c r="D54" s="12">
        <v>42</v>
      </c>
    </row>
    <row r="55" spans="1:4" x14ac:dyDescent="0.2">
      <c r="A55" s="3" t="s">
        <v>22</v>
      </c>
      <c r="B55" s="3">
        <f>SUM(B50:B54)</f>
        <v>63250</v>
      </c>
      <c r="C55" s="3">
        <f>SUM(C50:C54)</f>
        <v>3191936.3636363638</v>
      </c>
      <c r="D55" s="2">
        <f>C55/B55</f>
        <v>50.465397053539348</v>
      </c>
    </row>
    <row r="56" spans="1:4" x14ac:dyDescent="0.2">
      <c r="A56" s="3" t="s">
        <v>5</v>
      </c>
      <c r="B56" s="7">
        <f>B70</f>
        <v>30779.40800000001</v>
      </c>
      <c r="C56" s="3">
        <f>B56*D56</f>
        <v>2462352.6400000006</v>
      </c>
      <c r="D56" s="8">
        <v>80</v>
      </c>
    </row>
    <row r="57" spans="1:4" ht="13.5" thickBot="1" x14ac:dyDescent="0.25">
      <c r="A57" s="3" t="s">
        <v>21</v>
      </c>
      <c r="B57" s="10">
        <f>SUM(B55:B56)</f>
        <v>94029.40800000001</v>
      </c>
      <c r="C57" s="10">
        <f>SUM(C55:C56)</f>
        <v>5654289.0036363639</v>
      </c>
      <c r="D57" s="13">
        <f>C57/B57</f>
        <v>60.133197942034933</v>
      </c>
    </row>
    <row r="58" spans="1:4" ht="13.5" thickTop="1" x14ac:dyDescent="0.2">
      <c r="A58" s="3" t="s">
        <v>27</v>
      </c>
      <c r="D58" s="14">
        <v>10</v>
      </c>
    </row>
    <row r="59" spans="1:4" x14ac:dyDescent="0.2">
      <c r="A59" s="3" t="s">
        <v>16</v>
      </c>
      <c r="D59" s="2">
        <f>SUM(D57:D58)</f>
        <v>70.13319794203494</v>
      </c>
    </row>
    <row r="60" spans="1:4" x14ac:dyDescent="0.2">
      <c r="A60" s="3" t="s">
        <v>17</v>
      </c>
      <c r="D60" s="2">
        <f>D59/(1-0.072)</f>
        <v>75.574566747882471</v>
      </c>
    </row>
    <row r="61" spans="1:4" x14ac:dyDescent="0.2">
      <c r="A61" s="3" t="s">
        <v>18</v>
      </c>
      <c r="D61" s="2">
        <v>70</v>
      </c>
    </row>
    <row r="62" spans="1:4" ht="13.5" thickBot="1" x14ac:dyDescent="0.25">
      <c r="A62" s="3" t="s">
        <v>19</v>
      </c>
      <c r="D62" s="13">
        <f>D60-D61</f>
        <v>5.5745667478824714</v>
      </c>
    </row>
    <row r="63" spans="1:4" ht="13.5" thickTop="1" x14ac:dyDescent="0.2"/>
    <row r="65" spans="1:5" x14ac:dyDescent="0.2">
      <c r="A65" s="3" t="s">
        <v>7</v>
      </c>
      <c r="B65" s="5">
        <v>82300</v>
      </c>
    </row>
    <row r="66" spans="1:5" x14ac:dyDescent="0.2">
      <c r="A66" s="3" t="s">
        <v>8</v>
      </c>
      <c r="B66" s="3">
        <f>B65*1.072</f>
        <v>88225.600000000006</v>
      </c>
    </row>
    <row r="67" spans="1:5" x14ac:dyDescent="0.2">
      <c r="A67" s="3" t="s">
        <v>10</v>
      </c>
      <c r="B67" s="11">
        <f>5414*1.072</f>
        <v>5803.808</v>
      </c>
    </row>
    <row r="68" spans="1:5" x14ac:dyDescent="0.2">
      <c r="A68" s="3" t="s">
        <v>20</v>
      </c>
      <c r="B68" s="3">
        <f>SUM(B66:B67)</f>
        <v>94029.40800000001</v>
      </c>
    </row>
    <row r="69" spans="1:5" x14ac:dyDescent="0.2">
      <c r="A69" s="3" t="s">
        <v>9</v>
      </c>
      <c r="B69" s="3">
        <f>B55</f>
        <v>63250</v>
      </c>
    </row>
    <row r="70" spans="1:5" ht="13.5" thickBot="1" x14ac:dyDescent="0.25">
      <c r="A70" s="3" t="s">
        <v>6</v>
      </c>
      <c r="B70" s="10">
        <f>B68-B69</f>
        <v>30779.40800000001</v>
      </c>
    </row>
    <row r="71" spans="1:5" ht="13.5" thickTop="1" x14ac:dyDescent="0.2"/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</sheetData>
  <pageMargins left="0.75" right="0.75" top="1" bottom="1" header="0.5" footer="0.5"/>
  <pageSetup scale="67" orientation="portrait" horizontalDpi="300" verticalDpi="300" r:id="rId1"/>
  <headerFooter alignWithMargins="0">
    <oddHeader>&amp;C&amp;16ESTIMATION OF RATE CHANGE TO IMPLEMENT DWR PURCHASES FOR PACIFIC GAS AND ELECTRIC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9"/>
  <sheetViews>
    <sheetView topLeftCell="A2" zoomScale="75" workbookViewId="0">
      <selection activeCell="E11" sqref="E11"/>
    </sheetView>
  </sheetViews>
  <sheetFormatPr defaultRowHeight="12.75" x14ac:dyDescent="0.2"/>
  <cols>
    <col min="1" max="1" width="41" style="3" bestFit="1" customWidth="1"/>
    <col min="2" max="2" width="13.140625" style="3" customWidth="1"/>
    <col min="3" max="3" width="23.5703125" style="3" bestFit="1" customWidth="1"/>
    <col min="4" max="4" width="13.140625" style="3" customWidth="1"/>
    <col min="5" max="5" width="9.140625" style="3"/>
    <col min="6" max="6" width="10.28515625" style="3" bestFit="1" customWidth="1"/>
    <col min="7" max="16384" width="9.140625" style="3"/>
  </cols>
  <sheetData>
    <row r="1" spans="1:4" x14ac:dyDescent="0.2">
      <c r="A1" s="3" t="s">
        <v>31</v>
      </c>
    </row>
    <row r="2" spans="1:4" s="4" customFormat="1" ht="51" x14ac:dyDescent="0.2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">
      <c r="A3" s="3" t="s">
        <v>0</v>
      </c>
      <c r="B3" s="5">
        <v>26000</v>
      </c>
      <c r="C3" s="3">
        <f>B3*D3</f>
        <v>2080000</v>
      </c>
      <c r="D3" s="8">
        <v>80</v>
      </c>
    </row>
    <row r="4" spans="1:4" x14ac:dyDescent="0.2">
      <c r="A4" s="3" t="s">
        <v>23</v>
      </c>
      <c r="B4" s="5">
        <v>10600</v>
      </c>
      <c r="C4" s="5">
        <v>313200</v>
      </c>
      <c r="D4" s="2">
        <f>C4/B4</f>
        <v>29.547169811320753</v>
      </c>
    </row>
    <row r="5" spans="1:4" x14ac:dyDescent="0.2">
      <c r="A5" s="3" t="s">
        <v>2</v>
      </c>
      <c r="B5" s="5">
        <v>4800</v>
      </c>
      <c r="C5" s="5">
        <v>118000</v>
      </c>
      <c r="D5" s="2">
        <f>C5/B5</f>
        <v>24.583333333333332</v>
      </c>
    </row>
    <row r="6" spans="1:4" x14ac:dyDescent="0.2">
      <c r="A6" s="3" t="s">
        <v>24</v>
      </c>
      <c r="B6" s="5">
        <v>11900</v>
      </c>
      <c r="C6" s="2">
        <f>PMT(6%,10,B6)/85</f>
        <v>-19.021514150853736</v>
      </c>
      <c r="D6" s="9">
        <f>C6/B6</f>
        <v>-1.5984465672986333E-3</v>
      </c>
    </row>
    <row r="7" spans="1:4" x14ac:dyDescent="0.2">
      <c r="A7" s="3" t="s">
        <v>25</v>
      </c>
      <c r="B7" s="11">
        <v>4800</v>
      </c>
      <c r="C7" s="11">
        <f>B7*5.3+42000+115000-24400</f>
        <v>158040</v>
      </c>
      <c r="D7" s="12">
        <f>C7/B7</f>
        <v>32.924999999999997</v>
      </c>
    </row>
    <row r="8" spans="1:4" x14ac:dyDescent="0.2">
      <c r="A8" s="3" t="s">
        <v>22</v>
      </c>
      <c r="B8" s="3">
        <f>SUM(B3:B7)</f>
        <v>58100</v>
      </c>
      <c r="C8" s="2">
        <f>PMT(6%,10,B8)/85</f>
        <v>-92.869745560050589</v>
      </c>
      <c r="D8" s="2">
        <f>C8/B8</f>
        <v>-1.5984465672986331E-3</v>
      </c>
    </row>
    <row r="9" spans="1:4" x14ac:dyDescent="0.2">
      <c r="A9" s="3" t="s">
        <v>5</v>
      </c>
      <c r="B9" s="3">
        <f>B21</f>
        <v>31948</v>
      </c>
      <c r="C9" s="3">
        <f>B9*D9</f>
        <v>2555840</v>
      </c>
      <c r="D9" s="8">
        <v>80</v>
      </c>
    </row>
    <row r="10" spans="1:4" ht="13.5" thickBot="1" x14ac:dyDescent="0.25">
      <c r="A10" s="3" t="s">
        <v>21</v>
      </c>
      <c r="B10" s="10">
        <f>SUM(B8:B9)</f>
        <v>90048</v>
      </c>
      <c r="C10" s="10">
        <f>SUM(C8:C9)</f>
        <v>2555747.13025444</v>
      </c>
      <c r="D10" s="13">
        <f>C10/B10</f>
        <v>28.382053241098525</v>
      </c>
    </row>
    <row r="11" spans="1:4" ht="13.5" thickTop="1" x14ac:dyDescent="0.2">
      <c r="A11" s="3" t="s">
        <v>27</v>
      </c>
      <c r="D11" s="14">
        <v>10</v>
      </c>
    </row>
    <row r="12" spans="1:4" x14ac:dyDescent="0.2">
      <c r="A12" s="3" t="s">
        <v>16</v>
      </c>
      <c r="D12" s="2">
        <f>SUM(D10:D11)</f>
        <v>38.382053241098525</v>
      </c>
    </row>
    <row r="13" spans="1:4" x14ac:dyDescent="0.2">
      <c r="A13" s="3" t="s">
        <v>17</v>
      </c>
      <c r="D13" s="2">
        <f>D12/(1-0.072)</f>
        <v>41.359971164976855</v>
      </c>
    </row>
    <row r="14" spans="1:4" x14ac:dyDescent="0.2">
      <c r="A14" s="3" t="s">
        <v>18</v>
      </c>
      <c r="D14" s="2">
        <v>75</v>
      </c>
    </row>
    <row r="15" spans="1:4" ht="13.5" thickBot="1" x14ac:dyDescent="0.25">
      <c r="A15" s="3" t="s">
        <v>19</v>
      </c>
      <c r="D15" s="13">
        <f>D13-D14</f>
        <v>-33.640028835023145</v>
      </c>
    </row>
    <row r="16" spans="1:4" ht="13.5" thickTop="1" x14ac:dyDescent="0.2"/>
    <row r="17" spans="1:4" x14ac:dyDescent="0.2">
      <c r="A17" s="3" t="s">
        <v>28</v>
      </c>
    </row>
    <row r="18" spans="1:4" x14ac:dyDescent="0.2">
      <c r="A18" s="3" t="s">
        <v>7</v>
      </c>
      <c r="B18" s="3">
        <v>84000</v>
      </c>
      <c r="C18" s="2">
        <f>PMT(6%,10,B18)/85</f>
        <v>-134.2695116530852</v>
      </c>
    </row>
    <row r="19" spans="1:4" x14ac:dyDescent="0.2">
      <c r="A19" s="3" t="s">
        <v>8</v>
      </c>
      <c r="B19" s="3">
        <f>B18*1.072</f>
        <v>90048</v>
      </c>
    </row>
    <row r="20" spans="1:4" x14ac:dyDescent="0.2">
      <c r="A20" s="3" t="s">
        <v>9</v>
      </c>
      <c r="B20" s="3">
        <f>B8</f>
        <v>58100</v>
      </c>
      <c r="C20" s="2">
        <f>PMT(6%,10,B20)/85</f>
        <v>-92.869745560050589</v>
      </c>
    </row>
    <row r="21" spans="1:4" ht="13.5" thickBot="1" x14ac:dyDescent="0.25">
      <c r="A21" s="3" t="s">
        <v>11</v>
      </c>
      <c r="B21" s="10">
        <f>B19-B20</f>
        <v>31948</v>
      </c>
    </row>
    <row r="22" spans="1:4" ht="13.5" thickTop="1" x14ac:dyDescent="0.2">
      <c r="B22" s="18"/>
    </row>
    <row r="24" spans="1:4" x14ac:dyDescent="0.2">
      <c r="A24" s="3" t="s">
        <v>29</v>
      </c>
    </row>
    <row r="25" spans="1:4" ht="51" x14ac:dyDescent="0.2">
      <c r="A25" s="4" t="s">
        <v>12</v>
      </c>
      <c r="B25" s="4" t="s">
        <v>13</v>
      </c>
      <c r="C25" s="4" t="s">
        <v>14</v>
      </c>
      <c r="D25" s="4" t="s">
        <v>15</v>
      </c>
    </row>
    <row r="26" spans="1:4" x14ac:dyDescent="0.2">
      <c r="A26" s="3" t="s">
        <v>0</v>
      </c>
      <c r="B26" s="5">
        <v>26000</v>
      </c>
      <c r="C26" s="3">
        <f>B26*D26</f>
        <v>2080000</v>
      </c>
      <c r="D26" s="8">
        <v>80</v>
      </c>
    </row>
    <row r="27" spans="1:4" x14ac:dyDescent="0.2">
      <c r="A27" s="3" t="s">
        <v>23</v>
      </c>
      <c r="B27" s="5">
        <v>10600</v>
      </c>
      <c r="C27" s="5">
        <v>313200</v>
      </c>
      <c r="D27" s="2">
        <f>C27/B27</f>
        <v>29.547169811320753</v>
      </c>
    </row>
    <row r="28" spans="1:4" x14ac:dyDescent="0.2">
      <c r="A28" s="3" t="s">
        <v>2</v>
      </c>
      <c r="B28" s="5">
        <v>3350</v>
      </c>
      <c r="C28" s="5">
        <v>118000</v>
      </c>
      <c r="D28" s="2">
        <f>C28/B28</f>
        <v>35.223880597014926</v>
      </c>
    </row>
    <row r="29" spans="1:4" x14ac:dyDescent="0.2">
      <c r="A29" s="3" t="s">
        <v>24</v>
      </c>
      <c r="B29" s="5">
        <v>11900</v>
      </c>
      <c r="C29" s="5">
        <f>B29*43.1+80000</f>
        <v>592890</v>
      </c>
      <c r="D29" s="9"/>
    </row>
    <row r="30" spans="1:4" x14ac:dyDescent="0.2">
      <c r="A30" s="3" t="s">
        <v>25</v>
      </c>
      <c r="B30" s="11">
        <v>4800</v>
      </c>
      <c r="C30" s="11">
        <f>B30*5.3+42000+115000-24400</f>
        <v>158040</v>
      </c>
      <c r="D30" s="12">
        <f>C30/B30</f>
        <v>32.924999999999997</v>
      </c>
    </row>
    <row r="31" spans="1:4" x14ac:dyDescent="0.2">
      <c r="A31" s="3" t="s">
        <v>22</v>
      </c>
      <c r="B31" s="3">
        <f>SUM(B26:B30)</f>
        <v>56650</v>
      </c>
      <c r="C31" s="3">
        <f>SUM(C26:C30)</f>
        <v>3262130</v>
      </c>
      <c r="D31" s="2">
        <f>C31/B31</f>
        <v>57.583936451897614</v>
      </c>
    </row>
    <row r="32" spans="1:4" x14ac:dyDescent="0.2">
      <c r="A32" s="3" t="s">
        <v>5</v>
      </c>
      <c r="B32" s="3">
        <f>B44</f>
        <v>33398</v>
      </c>
      <c r="C32" s="3">
        <f>B32*D32</f>
        <v>2671840</v>
      </c>
      <c r="D32" s="8">
        <v>80</v>
      </c>
    </row>
    <row r="33" spans="1:4" ht="13.5" thickBot="1" x14ac:dyDescent="0.25">
      <c r="A33" s="3" t="s">
        <v>21</v>
      </c>
      <c r="B33" s="10">
        <f>SUM(B31:B32)</f>
        <v>90048</v>
      </c>
      <c r="C33" s="10">
        <f>SUM(C31:C32)</f>
        <v>5933970</v>
      </c>
      <c r="D33" s="13">
        <f>C33/B33</f>
        <v>65.897854477611943</v>
      </c>
    </row>
    <row r="34" spans="1:4" ht="13.5" thickTop="1" x14ac:dyDescent="0.2">
      <c r="A34" s="3" t="s">
        <v>27</v>
      </c>
      <c r="D34" s="14">
        <v>10</v>
      </c>
    </row>
    <row r="35" spans="1:4" x14ac:dyDescent="0.2">
      <c r="A35" s="3" t="s">
        <v>16</v>
      </c>
      <c r="D35" s="2">
        <f>SUM(D33:D34)</f>
        <v>75.897854477611943</v>
      </c>
    </row>
    <row r="36" spans="1:4" x14ac:dyDescent="0.2">
      <c r="A36" s="3" t="s">
        <v>17</v>
      </c>
      <c r="D36" s="2">
        <f>D35/(1-0.072)</f>
        <v>81.786481118116313</v>
      </c>
    </row>
    <row r="37" spans="1:4" x14ac:dyDescent="0.2">
      <c r="A37" s="3" t="s">
        <v>18</v>
      </c>
      <c r="D37" s="2">
        <v>75</v>
      </c>
    </row>
    <row r="38" spans="1:4" ht="13.5" thickBot="1" x14ac:dyDescent="0.25">
      <c r="A38" s="3" t="s">
        <v>19</v>
      </c>
      <c r="D38" s="13">
        <f>D36-D37</f>
        <v>6.7864811181163134</v>
      </c>
    </row>
    <row r="39" spans="1:4" ht="13.5" thickTop="1" x14ac:dyDescent="0.2"/>
    <row r="40" spans="1:4" x14ac:dyDescent="0.2">
      <c r="A40" s="3" t="s">
        <v>28</v>
      </c>
    </row>
    <row r="41" spans="1:4" x14ac:dyDescent="0.2">
      <c r="A41" s="3" t="s">
        <v>7</v>
      </c>
      <c r="B41" s="3">
        <v>84000</v>
      </c>
    </row>
    <row r="42" spans="1:4" x14ac:dyDescent="0.2">
      <c r="A42" s="3" t="s">
        <v>8</v>
      </c>
      <c r="B42" s="3">
        <f>B41*1.072</f>
        <v>90048</v>
      </c>
    </row>
    <row r="43" spans="1:4" x14ac:dyDescent="0.2">
      <c r="A43" s="3" t="s">
        <v>9</v>
      </c>
      <c r="B43" s="3">
        <f>B31</f>
        <v>56650</v>
      </c>
    </row>
    <row r="44" spans="1:4" ht="13.5" thickBot="1" x14ac:dyDescent="0.25">
      <c r="A44" s="3" t="s">
        <v>11</v>
      </c>
      <c r="B44" s="10">
        <f>B42-B43</f>
        <v>33398</v>
      </c>
    </row>
    <row r="45" spans="1:4" ht="13.5" thickTop="1" x14ac:dyDescent="0.2">
      <c r="B45" s="18"/>
    </row>
    <row r="46" spans="1:4" x14ac:dyDescent="0.2">
      <c r="B46" s="18"/>
    </row>
    <row r="48" spans="1:4" x14ac:dyDescent="0.2">
      <c r="A48" s="3" t="s">
        <v>30</v>
      </c>
    </row>
    <row r="49" spans="1:4" ht="51" x14ac:dyDescent="0.2">
      <c r="A49" s="4" t="s">
        <v>12</v>
      </c>
      <c r="B49" s="4" t="s">
        <v>13</v>
      </c>
      <c r="C49" s="4" t="s">
        <v>14</v>
      </c>
      <c r="D49" s="4" t="s">
        <v>15</v>
      </c>
    </row>
    <row r="50" spans="1:4" x14ac:dyDescent="0.2">
      <c r="A50" s="3" t="s">
        <v>0</v>
      </c>
      <c r="B50" s="5">
        <v>26000</v>
      </c>
      <c r="C50" s="3">
        <f>B50*D50</f>
        <v>2080000</v>
      </c>
      <c r="D50" s="8">
        <v>80</v>
      </c>
    </row>
    <row r="51" spans="1:4" x14ac:dyDescent="0.2">
      <c r="A51" s="3" t="s">
        <v>23</v>
      </c>
      <c r="B51" s="5">
        <v>10600</v>
      </c>
      <c r="C51" s="5">
        <v>313200</v>
      </c>
      <c r="D51" s="2">
        <f>C51/B51</f>
        <v>29.547169811320753</v>
      </c>
    </row>
    <row r="52" spans="1:4" x14ac:dyDescent="0.2">
      <c r="A52" s="3" t="s">
        <v>2</v>
      </c>
      <c r="B52" s="5">
        <v>6200</v>
      </c>
      <c r="C52" s="5">
        <v>118000</v>
      </c>
      <c r="D52" s="2">
        <f>C52/B52</f>
        <v>19.032258064516128</v>
      </c>
    </row>
    <row r="53" spans="1:4" x14ac:dyDescent="0.2">
      <c r="A53" s="3" t="s">
        <v>24</v>
      </c>
      <c r="B53" s="5">
        <v>11900</v>
      </c>
      <c r="C53" s="5">
        <f>B53*43.1+80000</f>
        <v>592890</v>
      </c>
      <c r="D53" s="9">
        <f>C53/B53</f>
        <v>49.822689075630251</v>
      </c>
    </row>
    <row r="54" spans="1:4" x14ac:dyDescent="0.2">
      <c r="A54" s="3" t="s">
        <v>25</v>
      </c>
      <c r="B54" s="11">
        <v>4800</v>
      </c>
      <c r="C54" s="11">
        <f>B54*5.3+42000+115000-24400</f>
        <v>158040</v>
      </c>
      <c r="D54" s="12">
        <f>C54/B54</f>
        <v>32.924999999999997</v>
      </c>
    </row>
    <row r="55" spans="1:4" x14ac:dyDescent="0.2">
      <c r="A55" s="3" t="s">
        <v>22</v>
      </c>
      <c r="B55" s="3">
        <f>SUM(B50:B54)</f>
        <v>59500</v>
      </c>
      <c r="C55" s="3">
        <f>SUM(C50:C54)</f>
        <v>3262130</v>
      </c>
      <c r="D55" s="2">
        <f>C55/B55</f>
        <v>54.825714285714284</v>
      </c>
    </row>
    <row r="56" spans="1:4" x14ac:dyDescent="0.2">
      <c r="A56" s="3" t="s">
        <v>5</v>
      </c>
      <c r="B56" s="3">
        <f>B68</f>
        <v>30548</v>
      </c>
      <c r="C56" s="3">
        <f>B56*D56</f>
        <v>2443840</v>
      </c>
      <c r="D56" s="8">
        <v>80</v>
      </c>
    </row>
    <row r="57" spans="1:4" ht="13.5" thickBot="1" x14ac:dyDescent="0.25">
      <c r="A57" s="3" t="s">
        <v>21</v>
      </c>
      <c r="B57" s="10">
        <f>SUM(B55:B56)</f>
        <v>90048</v>
      </c>
      <c r="C57" s="10">
        <f>SUM(C55:C56)</f>
        <v>5705970</v>
      </c>
      <c r="D57" s="13">
        <f>C57/B57</f>
        <v>63.365871535181235</v>
      </c>
    </row>
    <row r="58" spans="1:4" ht="13.5" thickTop="1" x14ac:dyDescent="0.2">
      <c r="A58" s="3" t="s">
        <v>27</v>
      </c>
      <c r="D58" s="14">
        <v>10</v>
      </c>
    </row>
    <row r="59" spans="1:4" x14ac:dyDescent="0.2">
      <c r="A59" s="3" t="s">
        <v>16</v>
      </c>
      <c r="D59" s="2">
        <f>SUM(D57:D58)</f>
        <v>73.365871535181242</v>
      </c>
    </row>
    <row r="60" spans="1:4" x14ac:dyDescent="0.2">
      <c r="A60" s="3" t="s">
        <v>17</v>
      </c>
      <c r="D60" s="2">
        <f>D59/(1-0.072)</f>
        <v>79.058051223255646</v>
      </c>
    </row>
    <row r="61" spans="1:4" x14ac:dyDescent="0.2">
      <c r="A61" s="3" t="s">
        <v>18</v>
      </c>
      <c r="D61" s="2">
        <v>75</v>
      </c>
    </row>
    <row r="62" spans="1:4" ht="13.5" thickBot="1" x14ac:dyDescent="0.25">
      <c r="A62" s="3" t="s">
        <v>19</v>
      </c>
      <c r="D62" s="13">
        <f>D60-D61</f>
        <v>4.0580512232556458</v>
      </c>
    </row>
    <row r="63" spans="1:4" ht="13.5" thickTop="1" x14ac:dyDescent="0.2"/>
    <row r="64" spans="1:4" x14ac:dyDescent="0.2">
      <c r="A64" s="3" t="s">
        <v>28</v>
      </c>
    </row>
    <row r="65" spans="1:2" x14ac:dyDescent="0.2">
      <c r="A65" s="3" t="s">
        <v>7</v>
      </c>
      <c r="B65" s="3">
        <v>84000</v>
      </c>
    </row>
    <row r="66" spans="1:2" x14ac:dyDescent="0.2">
      <c r="A66" s="3" t="s">
        <v>8</v>
      </c>
      <c r="B66" s="3">
        <f>B65*1.072</f>
        <v>90048</v>
      </c>
    </row>
    <row r="67" spans="1:2" x14ac:dyDescent="0.2">
      <c r="A67" s="3" t="s">
        <v>9</v>
      </c>
      <c r="B67" s="3">
        <f>B55</f>
        <v>59500</v>
      </c>
    </row>
    <row r="68" spans="1:2" ht="13.5" thickBot="1" x14ac:dyDescent="0.25">
      <c r="A68" s="3" t="s">
        <v>11</v>
      </c>
      <c r="B68" s="10">
        <f>B66-B67</f>
        <v>30548</v>
      </c>
    </row>
    <row r="69" spans="1:2" ht="13.5" thickTop="1" x14ac:dyDescent="0.2"/>
  </sheetData>
  <pageMargins left="0.75" right="0.75" top="1" bottom="1" header="0.5" footer="0.5"/>
  <pageSetup scale="68" orientation="portrait" horizontalDpi="300" verticalDpi="300" r:id="rId1"/>
  <headerFooter alignWithMargins="0">
    <oddHeader>&amp;C&amp;16ESTIMATION OF RATE CHANGE TO IMPLEMENT DWR PURCHASES FOR SOUTHERN CALIFORNIA EDISON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opLeftCell="A27" zoomScale="75" workbookViewId="0">
      <selection activeCell="C43" sqref="C43"/>
    </sheetView>
  </sheetViews>
  <sheetFormatPr defaultRowHeight="12.75" x14ac:dyDescent="0.2"/>
  <cols>
    <col min="1" max="1" width="41" bestFit="1" customWidth="1"/>
    <col min="2" max="2" width="25.28515625" bestFit="1" customWidth="1"/>
    <col min="3" max="3" width="25.7109375" bestFit="1" customWidth="1"/>
    <col min="4" max="4" width="27.5703125" customWidth="1"/>
  </cols>
  <sheetData>
    <row r="1" spans="1:4" x14ac:dyDescent="0.2">
      <c r="A1" s="3" t="s">
        <v>46</v>
      </c>
      <c r="B1" s="3"/>
      <c r="C1" s="3"/>
      <c r="D1" s="2"/>
    </row>
    <row r="2" spans="1:4" ht="25.5" x14ac:dyDescent="0.2">
      <c r="A2" s="4" t="s">
        <v>12</v>
      </c>
      <c r="B2" s="4" t="s">
        <v>13</v>
      </c>
      <c r="C2" s="4" t="s">
        <v>14</v>
      </c>
      <c r="D2" s="17" t="s">
        <v>15</v>
      </c>
    </row>
    <row r="3" spans="1:4" x14ac:dyDescent="0.2">
      <c r="A3" s="3" t="s">
        <v>0</v>
      </c>
      <c r="B3" s="5">
        <v>22323</v>
      </c>
      <c r="C3" s="3">
        <f>D3*B3</f>
        <v>1785840</v>
      </c>
      <c r="D3" s="8">
        <v>80</v>
      </c>
    </row>
    <row r="4" spans="1:4" x14ac:dyDescent="0.2">
      <c r="A4" s="3" t="s">
        <v>1</v>
      </c>
      <c r="B4" s="5">
        <v>1526</v>
      </c>
      <c r="C4" s="3">
        <f>B4*D4</f>
        <v>172438</v>
      </c>
      <c r="D4" s="8">
        <v>113</v>
      </c>
    </row>
    <row r="5" spans="1:4" x14ac:dyDescent="0.2">
      <c r="A5" s="3" t="s">
        <v>2</v>
      </c>
      <c r="B5" s="5">
        <v>12409</v>
      </c>
      <c r="C5" s="5">
        <v>184000</v>
      </c>
      <c r="D5" s="2">
        <f>C5/B5</f>
        <v>14.827947457490531</v>
      </c>
    </row>
    <row r="6" spans="1:4" x14ac:dyDescent="0.2">
      <c r="A6" s="3" t="s">
        <v>26</v>
      </c>
      <c r="B6" s="6">
        <v>17208</v>
      </c>
      <c r="C6" s="2">
        <f>PMT(6%,10,B6)/85</f>
        <v>-27.506068530074881</v>
      </c>
      <c r="D6" s="8">
        <v>35</v>
      </c>
    </row>
    <row r="7" spans="1:4" x14ac:dyDescent="0.2">
      <c r="A7" s="3" t="s">
        <v>4</v>
      </c>
      <c r="B7" s="16">
        <v>8301</v>
      </c>
      <c r="C7" s="16">
        <f>D7*B7</f>
        <v>348642</v>
      </c>
      <c r="D7" s="12">
        <v>42</v>
      </c>
    </row>
    <row r="8" spans="1:4" x14ac:dyDescent="0.2">
      <c r="A8" s="3" t="s">
        <v>22</v>
      </c>
      <c r="B8" s="3">
        <f>SUM(B3:B7)</f>
        <v>61767</v>
      </c>
      <c r="C8" s="2">
        <f>PMT(6%,10,B8)/85</f>
        <v>-98.731249122334674</v>
      </c>
      <c r="D8" s="2">
        <f>C8/B8</f>
        <v>-1.5984465672986331E-3</v>
      </c>
    </row>
    <row r="9" spans="1:4" x14ac:dyDescent="0.2">
      <c r="A9" s="3" t="s">
        <v>5</v>
      </c>
      <c r="B9" s="7">
        <f>B23</f>
        <v>32262.40800000001</v>
      </c>
      <c r="C9" s="3">
        <f>B9*D9</f>
        <v>2580992.6400000006</v>
      </c>
      <c r="D9" s="8">
        <v>80</v>
      </c>
    </row>
    <row r="10" spans="1:4" ht="13.5" thickBot="1" x14ac:dyDescent="0.25">
      <c r="A10" s="3" t="s">
        <v>21</v>
      </c>
      <c r="B10" s="10">
        <f>SUM(B8:B9)</f>
        <v>94029.40800000001</v>
      </c>
      <c r="C10" s="10">
        <f>SUM(C8:C9)</f>
        <v>2580893.9087508782</v>
      </c>
      <c r="D10" s="13">
        <f>C10/B10</f>
        <v>27.447731126318246</v>
      </c>
    </row>
    <row r="11" spans="1:4" ht="13.5" thickTop="1" x14ac:dyDescent="0.2">
      <c r="A11" s="3" t="s">
        <v>27</v>
      </c>
      <c r="B11" s="3"/>
      <c r="C11" s="3"/>
      <c r="D11" s="14">
        <v>10</v>
      </c>
    </row>
    <row r="12" spans="1:4" x14ac:dyDescent="0.2">
      <c r="A12" s="3" t="s">
        <v>16</v>
      </c>
      <c r="B12" s="3"/>
      <c r="C12" s="3"/>
      <c r="D12" s="2">
        <f>SUM(D10:D11)</f>
        <v>37.447731126318246</v>
      </c>
    </row>
    <row r="13" spans="1:4" x14ac:dyDescent="0.2">
      <c r="A13" s="3" t="s">
        <v>17</v>
      </c>
      <c r="B13" s="3"/>
      <c r="C13" s="3"/>
      <c r="D13" s="2">
        <f>D12/(1-0.072)</f>
        <v>40.353158541291208</v>
      </c>
    </row>
    <row r="14" spans="1:4" x14ac:dyDescent="0.2">
      <c r="A14" s="3" t="s">
        <v>18</v>
      </c>
      <c r="B14" s="3"/>
      <c r="C14" s="3"/>
      <c r="D14" s="2">
        <v>70</v>
      </c>
    </row>
    <row r="15" spans="1:4" ht="13.5" thickBot="1" x14ac:dyDescent="0.25">
      <c r="A15" s="3" t="s">
        <v>19</v>
      </c>
      <c r="B15" s="3"/>
      <c r="C15" s="3"/>
      <c r="D15" s="13">
        <f>D13-D14</f>
        <v>-29.646841458708792</v>
      </c>
    </row>
    <row r="16" spans="1:4" ht="13.5" thickTop="1" x14ac:dyDescent="0.2">
      <c r="A16" s="3"/>
      <c r="B16" s="3"/>
      <c r="C16" s="3"/>
      <c r="D16" s="2"/>
    </row>
    <row r="17" spans="1:4" x14ac:dyDescent="0.2">
      <c r="A17" s="3"/>
      <c r="B17" s="3"/>
      <c r="C17" s="3"/>
      <c r="D17" s="2"/>
    </row>
    <row r="18" spans="1:4" x14ac:dyDescent="0.2">
      <c r="A18" s="3" t="s">
        <v>7</v>
      </c>
      <c r="B18" s="5">
        <v>82300</v>
      </c>
      <c r="C18" s="2">
        <f>PMT(6%,10,B18)/85</f>
        <v>-131.55215248867754</v>
      </c>
      <c r="D18" s="2"/>
    </row>
    <row r="19" spans="1:4" x14ac:dyDescent="0.2">
      <c r="A19" s="3" t="s">
        <v>8</v>
      </c>
      <c r="B19" s="3">
        <f>B18*1.072</f>
        <v>88225.600000000006</v>
      </c>
      <c r="C19" s="3"/>
      <c r="D19" s="2"/>
    </row>
    <row r="20" spans="1:4" x14ac:dyDescent="0.2">
      <c r="A20" s="3" t="s">
        <v>10</v>
      </c>
      <c r="B20" s="11">
        <f>5414*1.072</f>
        <v>5803.808</v>
      </c>
      <c r="C20" s="2">
        <f>PMT(6%,10,B20)/85</f>
        <v>-9.2770769748603463</v>
      </c>
      <c r="D20" s="2"/>
    </row>
    <row r="21" spans="1:4" x14ac:dyDescent="0.2">
      <c r="A21" s="3" t="s">
        <v>20</v>
      </c>
      <c r="B21" s="3">
        <f>SUM(B19:B20)</f>
        <v>94029.40800000001</v>
      </c>
      <c r="C21" s="3"/>
      <c r="D21" s="2"/>
    </row>
    <row r="22" spans="1:4" x14ac:dyDescent="0.2">
      <c r="A22" s="3" t="s">
        <v>9</v>
      </c>
      <c r="B22" s="3">
        <f>B8</f>
        <v>61767</v>
      </c>
      <c r="C22" s="3"/>
      <c r="D22" s="2"/>
    </row>
    <row r="23" spans="1:4" ht="13.5" thickBot="1" x14ac:dyDescent="0.25">
      <c r="A23" s="3" t="s">
        <v>6</v>
      </c>
      <c r="B23" s="10">
        <f>B21-B22</f>
        <v>32262.40800000001</v>
      </c>
      <c r="C23" s="3"/>
      <c r="D23" s="2"/>
    </row>
    <row r="24" spans="1:4" ht="13.5" thickTop="1" x14ac:dyDescent="0.2"/>
    <row r="26" spans="1:4" x14ac:dyDescent="0.2">
      <c r="A26" s="3" t="s">
        <v>47</v>
      </c>
      <c r="B26" s="3"/>
      <c r="C26" s="3"/>
      <c r="D26" s="3"/>
    </row>
    <row r="27" spans="1:4" ht="25.5" x14ac:dyDescent="0.2">
      <c r="A27" s="4" t="s">
        <v>12</v>
      </c>
      <c r="B27" s="4" t="s">
        <v>13</v>
      </c>
      <c r="C27" s="4" t="s">
        <v>14</v>
      </c>
      <c r="D27" s="4" t="s">
        <v>15</v>
      </c>
    </row>
    <row r="28" spans="1:4" x14ac:dyDescent="0.2">
      <c r="A28" s="3" t="s">
        <v>0</v>
      </c>
      <c r="B28" s="5">
        <v>26100</v>
      </c>
      <c r="C28" s="3">
        <f>B28*D28</f>
        <v>2093220</v>
      </c>
      <c r="D28" s="8">
        <v>80.2</v>
      </c>
    </row>
    <row r="29" spans="1:4" x14ac:dyDescent="0.2">
      <c r="A29" s="3" t="s">
        <v>23</v>
      </c>
      <c r="B29" s="5">
        <v>10562</v>
      </c>
      <c r="C29" s="5">
        <v>210290</v>
      </c>
      <c r="D29" s="2">
        <f>C29/B29</f>
        <v>19.910054913842075</v>
      </c>
    </row>
    <row r="30" spans="1:4" x14ac:dyDescent="0.2">
      <c r="A30" s="3" t="s">
        <v>2</v>
      </c>
      <c r="B30" s="5">
        <v>4790</v>
      </c>
      <c r="C30" s="5">
        <v>52100</v>
      </c>
      <c r="D30" s="2">
        <f>C30/B30</f>
        <v>10.876826722338205</v>
      </c>
    </row>
    <row r="31" spans="1:4" x14ac:dyDescent="0.2">
      <c r="A31" s="3" t="s">
        <v>3</v>
      </c>
      <c r="B31" s="11">
        <v>19355</v>
      </c>
      <c r="C31" s="11">
        <v>720110</v>
      </c>
      <c r="D31" s="15">
        <f>C31/B31</f>
        <v>37.205373288555926</v>
      </c>
    </row>
    <row r="32" spans="1:4" x14ac:dyDescent="0.2">
      <c r="A32" s="3" t="s">
        <v>22</v>
      </c>
      <c r="B32" s="3">
        <f>SUM(B28:B31)</f>
        <v>60807</v>
      </c>
      <c r="C32" s="3">
        <f>SUM(C28:C31)</f>
        <v>3075720</v>
      </c>
      <c r="D32" s="2">
        <f>C32/B32</f>
        <v>50.581676451724306</v>
      </c>
    </row>
    <row r="33" spans="1:4" x14ac:dyDescent="0.2">
      <c r="A33" s="3" t="s">
        <v>5</v>
      </c>
      <c r="B33" s="3">
        <f>B45</f>
        <v>29241</v>
      </c>
      <c r="C33" s="3">
        <f>B33*D33</f>
        <v>2339280</v>
      </c>
      <c r="D33" s="8">
        <v>80</v>
      </c>
    </row>
    <row r="34" spans="1:4" ht="13.5" thickBot="1" x14ac:dyDescent="0.25">
      <c r="A34" s="3" t="s">
        <v>21</v>
      </c>
      <c r="B34" s="10">
        <f>SUM(B32:B33)</f>
        <v>90048</v>
      </c>
      <c r="C34" s="10">
        <f>SUM(C32:C33)</f>
        <v>5415000</v>
      </c>
      <c r="D34" s="13">
        <f>C34/B34</f>
        <v>60.13459488272921</v>
      </c>
    </row>
    <row r="35" spans="1:4" ht="13.5" thickTop="1" x14ac:dyDescent="0.2">
      <c r="A35" s="3" t="s">
        <v>27</v>
      </c>
      <c r="B35" s="3"/>
      <c r="C35" s="3"/>
      <c r="D35" s="14">
        <v>10</v>
      </c>
    </row>
    <row r="36" spans="1:4" x14ac:dyDescent="0.2">
      <c r="A36" s="3" t="s">
        <v>16</v>
      </c>
      <c r="B36" s="3"/>
      <c r="C36" s="3"/>
      <c r="D36" s="2">
        <f>SUM(D34:D35)</f>
        <v>70.134594882729203</v>
      </c>
    </row>
    <row r="37" spans="1:4" x14ac:dyDescent="0.2">
      <c r="A37" s="3" t="s">
        <v>17</v>
      </c>
      <c r="B37" s="3"/>
      <c r="C37" s="3"/>
      <c r="D37" s="2">
        <f>D36/(1-0.072)</f>
        <v>75.576072071906466</v>
      </c>
    </row>
    <row r="38" spans="1:4" x14ac:dyDescent="0.2">
      <c r="A38" s="3" t="s">
        <v>18</v>
      </c>
      <c r="B38" s="3"/>
      <c r="C38" s="3"/>
      <c r="D38" s="2">
        <v>75</v>
      </c>
    </row>
    <row r="39" spans="1:4" ht="13.5" thickBot="1" x14ac:dyDescent="0.25">
      <c r="A39" s="3" t="s">
        <v>19</v>
      </c>
      <c r="B39" s="3"/>
      <c r="C39" s="3"/>
      <c r="D39" s="13">
        <f>D37-D38</f>
        <v>0.57607207190646648</v>
      </c>
    </row>
    <row r="40" spans="1:4" ht="13.5" thickTop="1" x14ac:dyDescent="0.2">
      <c r="A40" s="3"/>
      <c r="B40" s="3"/>
      <c r="C40" s="3"/>
      <c r="D40" s="3"/>
    </row>
    <row r="41" spans="1:4" x14ac:dyDescent="0.2">
      <c r="A41" s="3" t="s">
        <v>28</v>
      </c>
      <c r="B41" s="3"/>
      <c r="C41" s="3"/>
      <c r="D41" s="3"/>
    </row>
    <row r="42" spans="1:4" x14ac:dyDescent="0.2">
      <c r="A42" s="3" t="s">
        <v>7</v>
      </c>
      <c r="B42" s="3">
        <v>84000</v>
      </c>
      <c r="C42" s="3"/>
      <c r="D42" s="3"/>
    </row>
    <row r="43" spans="1:4" x14ac:dyDescent="0.2">
      <c r="A43" s="3" t="s">
        <v>8</v>
      </c>
      <c r="B43" s="3">
        <f>B42*1.072</f>
        <v>90048</v>
      </c>
      <c r="C43" s="3"/>
      <c r="D43" s="3"/>
    </row>
    <row r="44" spans="1:4" x14ac:dyDescent="0.2">
      <c r="A44" s="3" t="s">
        <v>9</v>
      </c>
      <c r="B44" s="3">
        <f>B32</f>
        <v>60807</v>
      </c>
      <c r="C44" s="3"/>
      <c r="D44" s="3"/>
    </row>
    <row r="45" spans="1:4" ht="13.5" thickBot="1" x14ac:dyDescent="0.25">
      <c r="A45" s="3" t="s">
        <v>11</v>
      </c>
      <c r="B45" s="10">
        <f>B43-B44</f>
        <v>29241</v>
      </c>
      <c r="C45" s="3"/>
      <c r="D45" s="3"/>
    </row>
    <row r="46" spans="1:4" ht="13.5" thickTop="1" x14ac:dyDescent="0.2"/>
    <row r="48" spans="1:4" x14ac:dyDescent="0.2">
      <c r="A48" t="s">
        <v>48</v>
      </c>
    </row>
    <row r="49" spans="1:1" x14ac:dyDescent="0.2">
      <c r="A49" t="s">
        <v>50</v>
      </c>
    </row>
  </sheetData>
  <pageMargins left="0.75" right="0.75" top="1" bottom="1" header="0.5" footer="0.5"/>
  <pageSetup scale="74" orientation="portrait" horizontalDpi="300" verticalDpi="300" r:id="rId1"/>
  <headerFooter alignWithMargins="0"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topLeftCell="A2" zoomScale="75" workbookViewId="0">
      <selection activeCell="E11" sqref="E11"/>
    </sheetView>
  </sheetViews>
  <sheetFormatPr defaultRowHeight="12.75" x14ac:dyDescent="0.2"/>
  <cols>
    <col min="1" max="1" width="41" bestFit="1" customWidth="1"/>
    <col min="2" max="2" width="13.140625" bestFit="1" customWidth="1"/>
    <col min="3" max="3" width="14.140625" customWidth="1"/>
    <col min="4" max="4" width="10.42578125" bestFit="1" customWidth="1"/>
  </cols>
  <sheetData>
    <row r="1" spans="1:4" x14ac:dyDescent="0.2">
      <c r="A1" s="3" t="s">
        <v>32</v>
      </c>
      <c r="B1" s="3"/>
      <c r="C1" s="3"/>
      <c r="D1" s="3"/>
    </row>
    <row r="2" spans="1:4" ht="51" x14ac:dyDescent="0.2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">
      <c r="A3" s="3" t="s">
        <v>0</v>
      </c>
      <c r="B3" s="5">
        <v>25494</v>
      </c>
      <c r="C3" s="3">
        <f>B3*D3+73721+840</f>
        <v>2114081</v>
      </c>
      <c r="D3" s="8">
        <v>80</v>
      </c>
    </row>
    <row r="4" spans="1:4" x14ac:dyDescent="0.2">
      <c r="A4" s="3" t="s">
        <v>23</v>
      </c>
      <c r="B4" s="5">
        <f>4951+5658</f>
        <v>10609</v>
      </c>
      <c r="C4" s="5">
        <f>145149+168057</f>
        <v>313206</v>
      </c>
      <c r="D4" s="2">
        <f>C4/B4</f>
        <v>29.522669431614666</v>
      </c>
    </row>
    <row r="5" spans="1:4" x14ac:dyDescent="0.2">
      <c r="A5" s="3" t="s">
        <v>2</v>
      </c>
      <c r="B5" s="5">
        <v>3166</v>
      </c>
      <c r="C5" s="5">
        <v>117770</v>
      </c>
      <c r="D5" s="2">
        <f>C5/B5</f>
        <v>37.198357548957674</v>
      </c>
    </row>
    <row r="6" spans="1:4" x14ac:dyDescent="0.2">
      <c r="A6" s="3" t="s">
        <v>24</v>
      </c>
      <c r="B6" s="5">
        <v>11777</v>
      </c>
      <c r="C6" s="2">
        <f>PMT(6%,10,B6)/85</f>
        <v>-18.824905223076001</v>
      </c>
      <c r="D6" s="9">
        <f>C6/B6</f>
        <v>-1.5984465672986331E-3</v>
      </c>
    </row>
    <row r="7" spans="1:4" x14ac:dyDescent="0.2">
      <c r="A7" s="3" t="s">
        <v>25</v>
      </c>
      <c r="B7" s="11">
        <v>4545</v>
      </c>
      <c r="C7" s="11">
        <v>157460</v>
      </c>
      <c r="D7" s="12">
        <f>C7/B7</f>
        <v>34.644664466446642</v>
      </c>
    </row>
    <row r="8" spans="1:4" x14ac:dyDescent="0.2">
      <c r="A8" s="3" t="s">
        <v>22</v>
      </c>
      <c r="B8" s="3">
        <f>SUM(B3:B7)</f>
        <v>55591</v>
      </c>
      <c r="C8" s="2">
        <f>PMT(6%,10,B8)/85</f>
        <v>-88.859243122698317</v>
      </c>
      <c r="D8" s="2">
        <f>C8/B8</f>
        <v>-1.5984465672986331E-3</v>
      </c>
    </row>
    <row r="9" spans="1:4" x14ac:dyDescent="0.2">
      <c r="A9" s="3" t="s">
        <v>5</v>
      </c>
      <c r="B9" s="3">
        <f>B21</f>
        <v>34457</v>
      </c>
      <c r="C9" s="3">
        <f>B9*D9</f>
        <v>2756560</v>
      </c>
      <c r="D9" s="8">
        <v>80</v>
      </c>
    </row>
    <row r="10" spans="1:4" ht="13.5" thickBot="1" x14ac:dyDescent="0.25">
      <c r="A10" s="3" t="s">
        <v>21</v>
      </c>
      <c r="B10" s="10">
        <f>SUM(B8:B9)</f>
        <v>90048</v>
      </c>
      <c r="C10" s="10">
        <f>SUM(C8:C9)</f>
        <v>2756471.1407568771</v>
      </c>
      <c r="D10" s="13">
        <f>C10/B10</f>
        <v>30.611131182889981</v>
      </c>
    </row>
    <row r="11" spans="1:4" ht="13.5" thickTop="1" x14ac:dyDescent="0.2">
      <c r="A11" s="3" t="s">
        <v>27</v>
      </c>
      <c r="B11" s="3"/>
      <c r="C11" s="3"/>
      <c r="D11" s="14">
        <v>10</v>
      </c>
    </row>
    <row r="12" spans="1:4" x14ac:dyDescent="0.2">
      <c r="A12" s="3" t="s">
        <v>16</v>
      </c>
      <c r="B12" s="3"/>
      <c r="C12" s="3"/>
      <c r="D12" s="2">
        <f>SUM(D10:D11)</f>
        <v>40.611131182889977</v>
      </c>
    </row>
    <row r="13" spans="1:4" x14ac:dyDescent="0.2">
      <c r="A13" s="3" t="s">
        <v>17</v>
      </c>
      <c r="B13" s="3"/>
      <c r="C13" s="3"/>
      <c r="D13" s="2">
        <f>D12/(1-0.072)</f>
        <v>43.761994809148682</v>
      </c>
    </row>
    <row r="14" spans="1:4" x14ac:dyDescent="0.2">
      <c r="A14" s="3" t="s">
        <v>18</v>
      </c>
      <c r="B14" s="3"/>
      <c r="C14" s="3"/>
      <c r="D14" s="2">
        <v>75</v>
      </c>
    </row>
    <row r="15" spans="1:4" ht="13.5" thickBot="1" x14ac:dyDescent="0.25">
      <c r="A15" s="3" t="s">
        <v>19</v>
      </c>
      <c r="B15" s="3"/>
      <c r="C15" s="3"/>
      <c r="D15" s="13">
        <f>D13-D14</f>
        <v>-31.238005190851318</v>
      </c>
    </row>
    <row r="16" spans="1:4" ht="13.5" thickTop="1" x14ac:dyDescent="0.2">
      <c r="A16" s="3"/>
      <c r="B16" s="3"/>
      <c r="C16" s="3"/>
      <c r="D16" s="3"/>
    </row>
    <row r="17" spans="1:4" x14ac:dyDescent="0.2">
      <c r="A17" s="3" t="s">
        <v>28</v>
      </c>
      <c r="B17" s="3"/>
      <c r="C17" s="3"/>
      <c r="D17" s="3"/>
    </row>
    <row r="18" spans="1:4" x14ac:dyDescent="0.2">
      <c r="A18" s="3" t="s">
        <v>7</v>
      </c>
      <c r="B18" s="3">
        <v>84000</v>
      </c>
      <c r="C18" s="2">
        <f>PMT(6%,10,B18)/85</f>
        <v>-134.2695116530852</v>
      </c>
      <c r="D18" s="3"/>
    </row>
    <row r="19" spans="1:4" x14ac:dyDescent="0.2">
      <c r="A19" s="3" t="s">
        <v>8</v>
      </c>
      <c r="B19" s="3">
        <f>B18*1.072</f>
        <v>90048</v>
      </c>
      <c r="C19" s="3"/>
      <c r="D19" s="3"/>
    </row>
    <row r="20" spans="1:4" x14ac:dyDescent="0.2">
      <c r="A20" s="3" t="s">
        <v>9</v>
      </c>
      <c r="B20" s="3">
        <f>B8</f>
        <v>55591</v>
      </c>
      <c r="C20" s="2">
        <f>PMT(6%,10,B20)/85</f>
        <v>-88.859243122698317</v>
      </c>
      <c r="D20" s="3"/>
    </row>
    <row r="21" spans="1:4" ht="13.5" thickBot="1" x14ac:dyDescent="0.25">
      <c r="A21" s="3" t="s">
        <v>11</v>
      </c>
      <c r="B21" s="10">
        <f>B19-B20</f>
        <v>34457</v>
      </c>
      <c r="C21" s="3"/>
      <c r="D21" s="3"/>
    </row>
    <row r="22" spans="1:4" ht="13.5" thickTop="1" x14ac:dyDescent="0.2"/>
    <row r="23" spans="1:4" x14ac:dyDescent="0.2">
      <c r="A23" t="s">
        <v>48</v>
      </c>
    </row>
    <row r="25" spans="1:4" x14ac:dyDescent="0.2">
      <c r="A25" t="s">
        <v>49</v>
      </c>
    </row>
  </sheetData>
  <pageMargins left="0.75" right="0.75" top="1" bottom="1" header="0.5" footer="0.5"/>
  <pageSetup orientation="portrait" horizontalDpi="300" verticalDpi="300" r:id="rId1"/>
  <headerFooter alignWithMargins="0">
    <oddFooter>&amp;L&amp;D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zoomScale="75" workbookViewId="0">
      <selection activeCell="E5" sqref="E5"/>
    </sheetView>
  </sheetViews>
  <sheetFormatPr defaultRowHeight="12.75" x14ac:dyDescent="0.2"/>
  <cols>
    <col min="1" max="1" width="56.140625" customWidth="1"/>
    <col min="2" max="2" width="9.140625" style="3" customWidth="1"/>
    <col min="3" max="3" width="8.85546875" style="2" customWidth="1"/>
    <col min="4" max="4" width="11.7109375" customWidth="1"/>
    <col min="5" max="9" width="42" customWidth="1"/>
  </cols>
  <sheetData>
    <row r="1" spans="1:4" s="20" customFormat="1" ht="15" x14ac:dyDescent="0.2">
      <c r="A1" s="20" t="s">
        <v>33</v>
      </c>
      <c r="B1" s="21"/>
      <c r="C1" s="22"/>
    </row>
    <row r="3" spans="1:4" x14ac:dyDescent="0.2">
      <c r="A3" t="s">
        <v>34</v>
      </c>
      <c r="B3" s="3">
        <f>-1872-200</f>
        <v>-2072</v>
      </c>
    </row>
    <row r="4" spans="1:4" x14ac:dyDescent="0.2">
      <c r="A4" t="s">
        <v>35</v>
      </c>
      <c r="B4" s="3">
        <f>6632+1000</f>
        <v>7632</v>
      </c>
    </row>
    <row r="5" spans="1:4" x14ac:dyDescent="0.2">
      <c r="A5" t="s">
        <v>36</v>
      </c>
      <c r="B5" s="16">
        <v>-150</v>
      </c>
    </row>
    <row r="6" spans="1:4" x14ac:dyDescent="0.2">
      <c r="A6" t="s">
        <v>37</v>
      </c>
      <c r="B6" s="18">
        <f>SUM(B3:B5)</f>
        <v>5410</v>
      </c>
      <c r="C6" s="2">
        <f>PMT(6%,10,B6)/85</f>
        <v>-8.6475959290856075</v>
      </c>
      <c r="D6" t="s">
        <v>38</v>
      </c>
    </row>
    <row r="7" spans="1:4" x14ac:dyDescent="0.2">
      <c r="A7" t="s">
        <v>39</v>
      </c>
      <c r="B7" s="3">
        <v>-2500</v>
      </c>
    </row>
    <row r="8" spans="1:4" ht="13.5" thickBot="1" x14ac:dyDescent="0.25">
      <c r="A8" t="s">
        <v>40</v>
      </c>
      <c r="B8" s="10">
        <f>SUM(B6:B7)</f>
        <v>2910</v>
      </c>
      <c r="C8" s="2">
        <f>PMT(6%,10,B8)/85</f>
        <v>-4.6514795108390228</v>
      </c>
      <c r="D8" t="s">
        <v>38</v>
      </c>
    </row>
    <row r="9" spans="1:4" ht="13.5" thickTop="1" x14ac:dyDescent="0.2">
      <c r="B9" s="18"/>
    </row>
    <row r="10" spans="1:4" x14ac:dyDescent="0.2">
      <c r="B10" s="18"/>
    </row>
    <row r="11" spans="1:4" s="20" customFormat="1" ht="15" x14ac:dyDescent="0.2">
      <c r="A11" s="20" t="s">
        <v>41</v>
      </c>
      <c r="B11" s="23"/>
      <c r="C11" s="22"/>
    </row>
    <row r="12" spans="1:4" x14ac:dyDescent="0.2">
      <c r="B12" s="18"/>
    </row>
    <row r="13" spans="1:4" x14ac:dyDescent="0.2">
      <c r="A13" t="s">
        <v>34</v>
      </c>
      <c r="B13" s="18">
        <v>-603</v>
      </c>
    </row>
    <row r="14" spans="1:4" x14ac:dyDescent="0.2">
      <c r="A14" t="s">
        <v>35</v>
      </c>
      <c r="B14" s="18">
        <v>5465</v>
      </c>
    </row>
    <row r="15" spans="1:4" x14ac:dyDescent="0.2">
      <c r="A15" t="s">
        <v>42</v>
      </c>
      <c r="B15" s="18">
        <v>-1064</v>
      </c>
    </row>
    <row r="16" spans="1:4" x14ac:dyDescent="0.2">
      <c r="A16" t="s">
        <v>43</v>
      </c>
      <c r="B16" s="18">
        <v>-695</v>
      </c>
    </row>
    <row r="17" spans="1:4" x14ac:dyDescent="0.2">
      <c r="A17" t="s">
        <v>44</v>
      </c>
      <c r="B17" s="16">
        <v>88</v>
      </c>
    </row>
    <row r="18" spans="1:4" x14ac:dyDescent="0.2">
      <c r="A18" t="s">
        <v>37</v>
      </c>
      <c r="B18" s="18">
        <f>SUM(B13:B17)</f>
        <v>3191</v>
      </c>
      <c r="C18" s="2">
        <f>PMT(6%,10,B18)/85</f>
        <v>-5.1006429962499391</v>
      </c>
      <c r="D18" t="s">
        <v>38</v>
      </c>
    </row>
    <row r="19" spans="1:4" ht="13.5" thickBot="1" x14ac:dyDescent="0.25">
      <c r="A19" t="s">
        <v>39</v>
      </c>
      <c r="B19" s="19">
        <f>-(1200*2.3-1200)</f>
        <v>-1560</v>
      </c>
    </row>
    <row r="20" spans="1:4" ht="13.5" thickTop="1" x14ac:dyDescent="0.2">
      <c r="A20" t="s">
        <v>40</v>
      </c>
      <c r="B20" s="3">
        <f>SUM(B18:B19)</f>
        <v>1631</v>
      </c>
      <c r="C20" s="2">
        <f>PMT(6%,10,B20)/85</f>
        <v>-2.6070663512640708</v>
      </c>
      <c r="D20" t="s">
        <v>38</v>
      </c>
    </row>
    <row r="22" spans="1:4" x14ac:dyDescent="0.2">
      <c r="A22" t="s">
        <v>45</v>
      </c>
      <c r="B22" s="3">
        <v>800</v>
      </c>
    </row>
  </sheetData>
  <pageMargins left="0.75" right="0.75" top="1" bottom="1" header="0.5" footer="0.5"/>
  <pageSetup orientation="portrait" horizontalDpi="300" verticalDpi="300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PG&amp;E Scenarios</vt:lpstr>
      <vt:lpstr>SCE Scenarios</vt:lpstr>
      <vt:lpstr> ORA</vt:lpstr>
      <vt:lpstr>Utility</vt:lpstr>
      <vt:lpstr>UNDERCOLLECTIONS</vt:lpstr>
    </vt:vector>
  </TitlesOfParts>
  <Company>MRW &amp; Associates,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Comnes</dc:creator>
  <cp:lastModifiedBy>Felienne</cp:lastModifiedBy>
  <cp:lastPrinted>2001-03-06T01:36:25Z</cp:lastPrinted>
  <dcterms:created xsi:type="dcterms:W3CDTF">2001-03-05T16:43:38Z</dcterms:created>
  <dcterms:modified xsi:type="dcterms:W3CDTF">2014-09-04T08:31:33Z</dcterms:modified>
</cp:coreProperties>
</file>