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210" windowWidth="12120" windowHeight="9120"/>
  </bookViews>
  <sheets>
    <sheet name="Rate Increase Model" sheetId="1" r:id="rId1"/>
    <sheet name="ISO Charges" sheetId="2" r:id="rId2"/>
    <sheet name="SDG&amp;E URG" sheetId="3" r:id="rId3"/>
    <sheet name="DWR Billing Determinants" sheetId="4" r:id="rId4"/>
  </sheets>
  <definedNames>
    <definedName name="_xlnm.Print_Area" localSheetId="3">'DWR Billing Determinants'!$A$1:$L$18</definedName>
    <definedName name="_xlnm.Print_Area" localSheetId="1">'ISO Charges'!$A$1:$O$29</definedName>
    <definedName name="_xlnm.Print_Area" localSheetId="0">'Rate Increase Model'!$B$1:$J$61</definedName>
    <definedName name="_xlnm.Print_Area" localSheetId="2">'SDG&amp;E URG'!$A$1:$T$38</definedName>
    <definedName name="_xlnm.Print_Titles" localSheetId="0">'Rate Increase Model'!$A:$A</definedName>
  </definedNames>
  <calcPr calcId="152511" fullCalcOnLoad="1"/>
</workbook>
</file>

<file path=xl/calcChain.xml><?xml version="1.0" encoding="utf-8"?>
<calcChain xmlns="http://schemas.openxmlformats.org/spreadsheetml/2006/main">
  <c r="D7" i="4" l="1"/>
  <c r="D15" i="4" s="1"/>
  <c r="D39" i="1" s="1"/>
  <c r="D8" i="4"/>
  <c r="D9" i="4"/>
  <c r="D10" i="4"/>
  <c r="E10" i="4"/>
  <c r="D11" i="4"/>
  <c r="E11" i="4"/>
  <c r="G11" i="4"/>
  <c r="D12" i="4"/>
  <c r="E12" i="4"/>
  <c r="G12" i="4"/>
  <c r="H12" i="4"/>
  <c r="J12" i="4" s="1"/>
  <c r="K12" i="4" s="1"/>
  <c r="L12" i="4" s="1"/>
  <c r="D13" i="4"/>
  <c r="H13" i="4"/>
  <c r="J13" i="4"/>
  <c r="D14" i="4"/>
  <c r="H14" i="4"/>
  <c r="J14" i="4"/>
  <c r="B15" i="4"/>
  <c r="C15" i="4"/>
  <c r="B16" i="4"/>
  <c r="B17" i="4"/>
  <c r="B17" i="2"/>
  <c r="B18" i="2"/>
  <c r="B19" i="2"/>
  <c r="D23" i="2"/>
  <c r="E23" i="2"/>
  <c r="F23" i="2"/>
  <c r="G23" i="2"/>
  <c r="B23" i="2" s="1"/>
  <c r="H23" i="2"/>
  <c r="H25" i="2" s="1"/>
  <c r="I23" i="2"/>
  <c r="I25" i="2" s="1"/>
  <c r="J23" i="2"/>
  <c r="K23" i="2"/>
  <c r="K25" i="2" s="1"/>
  <c r="L23" i="2"/>
  <c r="M23" i="2"/>
  <c r="N23" i="2"/>
  <c r="O23" i="2"/>
  <c r="D24" i="2"/>
  <c r="B24" i="2" s="1"/>
  <c r="E24" i="2"/>
  <c r="F24" i="2"/>
  <c r="G24" i="2"/>
  <c r="H24" i="2"/>
  <c r="I24" i="2"/>
  <c r="J24" i="2"/>
  <c r="J25" i="2" s="1"/>
  <c r="K24" i="2"/>
  <c r="L24" i="2"/>
  <c r="L25" i="2" s="1"/>
  <c r="M24" i="2"/>
  <c r="N24" i="2"/>
  <c r="O24" i="2"/>
  <c r="E25" i="2"/>
  <c r="F25" i="2"/>
  <c r="G25" i="2"/>
  <c r="M25" i="2"/>
  <c r="N25" i="2"/>
  <c r="O25" i="2"/>
  <c r="F11" i="1"/>
  <c r="H10" i="4" s="1"/>
  <c r="F12" i="1"/>
  <c r="E8" i="4" s="1"/>
  <c r="G8" i="4" s="1"/>
  <c r="D14" i="1"/>
  <c r="E14" i="1"/>
  <c r="E19" i="1"/>
  <c r="E22" i="1" s="1"/>
  <c r="D20" i="1"/>
  <c r="E20" i="1"/>
  <c r="G19" i="1" s="1"/>
  <c r="D31" i="1"/>
  <c r="D33" i="1" s="1"/>
  <c r="D52" i="1"/>
  <c r="G56" i="1"/>
  <c r="D60" i="1"/>
  <c r="I32" i="3"/>
  <c r="I33" i="3" s="1"/>
  <c r="I34" i="3" s="1"/>
  <c r="D53" i="1" l="1"/>
  <c r="D55" i="1" s="1"/>
  <c r="D43" i="1"/>
  <c r="J10" i="4"/>
  <c r="K10" i="4" s="1"/>
  <c r="L10" i="4" s="1"/>
  <c r="H16" i="4"/>
  <c r="G18" i="1"/>
  <c r="D19" i="1"/>
  <c r="D58" i="1"/>
  <c r="G17" i="1"/>
  <c r="J32" i="3"/>
  <c r="H11" i="4"/>
  <c r="J11" i="4" s="1"/>
  <c r="K11" i="4" s="1"/>
  <c r="L11" i="4" s="1"/>
  <c r="G10" i="4"/>
  <c r="E9" i="4"/>
  <c r="G9" i="4" s="1"/>
  <c r="D25" i="2"/>
  <c r="B25" i="2" s="1"/>
  <c r="E13" i="4"/>
  <c r="G13" i="4" s="1"/>
  <c r="K13" i="4" s="1"/>
  <c r="L13" i="4" s="1"/>
  <c r="H7" i="4"/>
  <c r="E14" i="4"/>
  <c r="G14" i="4" s="1"/>
  <c r="K14" i="4" s="1"/>
  <c r="L14" i="4" s="1"/>
  <c r="H8" i="4"/>
  <c r="J8" i="4" s="1"/>
  <c r="K8" i="4" s="1"/>
  <c r="L8" i="4" s="1"/>
  <c r="H9" i="4"/>
  <c r="J9" i="4" s="1"/>
  <c r="E7" i="4"/>
  <c r="E16" i="4" l="1"/>
  <c r="H15" i="4"/>
  <c r="J7" i="4"/>
  <c r="I58" i="1"/>
  <c r="E17" i="1"/>
  <c r="F17" i="1" s="1"/>
  <c r="G7" i="4"/>
  <c r="G15" i="4" s="1"/>
  <c r="G53" i="1" s="1"/>
  <c r="E15" i="4"/>
  <c r="G58" i="1"/>
  <c r="E18" i="1"/>
  <c r="K9" i="4"/>
  <c r="L9" i="4" s="1"/>
  <c r="D40" i="1"/>
  <c r="D17" i="1"/>
  <c r="K32" i="3"/>
  <c r="J33" i="3"/>
  <c r="J34" i="3" s="1"/>
  <c r="L32" i="3" l="1"/>
  <c r="K33" i="3"/>
  <c r="K34" i="3" s="1"/>
  <c r="D44" i="1"/>
  <c r="D41" i="1"/>
  <c r="D45" i="1" s="1"/>
  <c r="J15" i="4"/>
  <c r="I53" i="1" s="1"/>
  <c r="K7" i="4"/>
  <c r="F18" i="1"/>
  <c r="G52" i="1"/>
  <c r="L7" i="4" l="1"/>
  <c r="K15" i="4"/>
  <c r="L15" i="4" s="1"/>
  <c r="L33" i="3"/>
  <c r="L34" i="3" s="1"/>
  <c r="M32" i="3"/>
  <c r="G55" i="1"/>
  <c r="I52" i="1"/>
  <c r="D57" i="1" l="1"/>
  <c r="I55" i="1"/>
  <c r="I59" i="1" s="1"/>
  <c r="I61" i="1" s="1"/>
  <c r="M33" i="3"/>
  <c r="M34" i="3" s="1"/>
  <c r="N32" i="3"/>
  <c r="O32" i="3" l="1"/>
  <c r="N33" i="3"/>
  <c r="N34" i="3" s="1"/>
  <c r="G57" i="1"/>
  <c r="G59" i="1" s="1"/>
  <c r="G61" i="1" s="1"/>
  <c r="D59" i="1"/>
  <c r="D61" i="1" s="1"/>
  <c r="O33" i="3" l="1"/>
  <c r="O34" i="3" s="1"/>
  <c r="P32" i="3"/>
  <c r="P33" i="3" l="1"/>
  <c r="P34" i="3" s="1"/>
  <c r="Q32" i="3"/>
  <c r="Q33" i="3" l="1"/>
  <c r="Q34" i="3" s="1"/>
  <c r="R32" i="3"/>
  <c r="S32" i="3" l="1"/>
  <c r="R33" i="3"/>
  <c r="R34" i="3" s="1"/>
  <c r="T32" i="3" l="1"/>
  <c r="T33" i="3" s="1"/>
  <c r="T34" i="3" s="1"/>
  <c r="S33" i="3"/>
  <c r="S34" i="3" s="1"/>
  <c r="I35" i="3" l="1"/>
</calcChain>
</file>

<file path=xl/sharedStrings.xml><?xml version="1.0" encoding="utf-8"?>
<sst xmlns="http://schemas.openxmlformats.org/spreadsheetml/2006/main" count="175" uniqueCount="112">
  <si>
    <t>Total</t>
  </si>
  <si>
    <t xml:space="preserve"> </t>
  </si>
  <si>
    <t>URG</t>
  </si>
  <si>
    <t>DWR</t>
  </si>
  <si>
    <t>Total Bundled Sales</t>
  </si>
  <si>
    <t>CPUC Rate Proceeding</t>
  </si>
  <si>
    <t>SDG&amp;E A. 01-01-044</t>
  </si>
  <si>
    <t>Revenues</t>
  </si>
  <si>
    <t>Bundled Revenues</t>
  </si>
  <si>
    <t>($000s)</t>
  </si>
  <si>
    <t>&lt;============</t>
  </si>
  <si>
    <t>SDG&amp;E - URG</t>
  </si>
  <si>
    <t>Capped AB 265 Customers</t>
  </si>
  <si>
    <t xml:space="preserve">DWR Rev. Requirement </t>
  </si>
  <si>
    <t>Billing Determinants</t>
  </si>
  <si>
    <t>Customer Revenue Allocation</t>
  </si>
  <si>
    <t>FORECAST OF ISO CHARGES FOR JULY 01 - JUNE 02</t>
  </si>
  <si>
    <t>ASSUMPTIONS</t>
  </si>
  <si>
    <t>Market price forecast based on Natsource 03/09/01 on and off peak market price assessment.</t>
  </si>
  <si>
    <t xml:space="preserve">ISO ancillary services and other real time charges are proportional to market energy prices. </t>
  </si>
  <si>
    <t>FORECAST DATA</t>
  </si>
  <si>
    <t>MARKET PRICE in $/MWh</t>
  </si>
  <si>
    <t>TOTAL</t>
  </si>
  <si>
    <t xml:space="preserve">ON PEAK SP15 </t>
  </si>
  <si>
    <t>OFF PEAK SP15</t>
  </si>
  <si>
    <t>ISO CHARGES</t>
  </si>
  <si>
    <t>AS SHARE (%)</t>
  </si>
  <si>
    <t>Other RT (%)</t>
  </si>
  <si>
    <t>ADMIN ($/MWh)</t>
  </si>
  <si>
    <t>SDGE BUNDLED LOAD REQUIREMENTS in MWh</t>
  </si>
  <si>
    <t>LOAD (MWh)</t>
  </si>
  <si>
    <t>ON PEAK LOAD</t>
  </si>
  <si>
    <t>OFF PEAK LOAD</t>
  </si>
  <si>
    <t>ISO CHARGES in K$</t>
  </si>
  <si>
    <t>AS and Other RT</t>
  </si>
  <si>
    <t>Admin Fees</t>
  </si>
  <si>
    <t xml:space="preserve">NOTE:  </t>
  </si>
  <si>
    <t>Admin Fees are ISO Grid Mgmt Charge.</t>
  </si>
  <si>
    <t>SDG&amp;E RETAINED GENERATION SUPPLY AND COST (04/26/2001)</t>
  </si>
  <si>
    <t>ASSUMPTIONS:</t>
  </si>
  <si>
    <t>SONGS 3 return to service mid June 2001</t>
  </si>
  <si>
    <t>PGE 2 week maintenance outage in May-June 2001 instead of 4 week.</t>
  </si>
  <si>
    <t>Market Price Forecast:  Natsource 03/09/01</t>
  </si>
  <si>
    <t>Intermediate term contracts priced at 85% of market</t>
  </si>
  <si>
    <t>APR-DEC 2001</t>
  </si>
  <si>
    <t>SDG&amp;E RETAINED GENERATION SUPPLY in MWh</t>
  </si>
  <si>
    <t>SONGS</t>
  </si>
  <si>
    <t>PNM</t>
  </si>
  <si>
    <t>PGE</t>
  </si>
  <si>
    <t>QF</t>
  </si>
  <si>
    <t>BILATERAL</t>
  </si>
  <si>
    <t>INTERMEDIATE TERM CONTRACTS</t>
  </si>
  <si>
    <t>URG Sales Jul-01 to Jun-02</t>
  </si>
  <si>
    <t>SDG&amp;E RETAINED GENERATION COST in K$</t>
  </si>
  <si>
    <t xml:space="preserve">TOTAL </t>
  </si>
  <si>
    <t>URG Costs Jul-01 to Jun-02</t>
  </si>
  <si>
    <t>SDG&amp;E Revenues Subject to Rate Increase</t>
  </si>
  <si>
    <t>DWR Revenues Subject to Rate Increase</t>
  </si>
  <si>
    <t>Total Rate Increase</t>
  </si>
  <si>
    <t>Total URG Revenue Requirement</t>
  </si>
  <si>
    <t>URG Commodity Revenues @ 6.5 c/kWh</t>
  </si>
  <si>
    <t>Revenues at Current Commodity Rate</t>
  </si>
  <si>
    <t>Total Commodity Revenue Requirement</t>
  </si>
  <si>
    <t>GWh</t>
  </si>
  <si>
    <t>Current Rate</t>
  </si>
  <si>
    <t>Q3,2001</t>
  </si>
  <si>
    <t>Q4,2001</t>
  </si>
  <si>
    <t>Q1,2001</t>
  </si>
  <si>
    <t>Q2,2001</t>
  </si>
  <si>
    <t>Q2,2002</t>
  </si>
  <si>
    <t>Q1,2002</t>
  </si>
  <si>
    <t>Q3,2002</t>
  </si>
  <si>
    <t>Q4,2002</t>
  </si>
  <si>
    <t xml:space="preserve">Period </t>
  </si>
  <si>
    <t>DWR Billing Determinants</t>
  </si>
  <si>
    <t>Update July 22, 2001</t>
  </si>
  <si>
    <t>SDG&amp;E Ancillary Charges</t>
  </si>
  <si>
    <t>Revised with DWR Revenue Requirement</t>
  </si>
  <si>
    <t>Commodity Revenue Requirement</t>
  </si>
  <si>
    <t>Original Filing Determinants (July-01 to June-02)</t>
  </si>
  <si>
    <t xml:space="preserve">System </t>
  </si>
  <si>
    <t>AB 265 Customers</t>
  </si>
  <si>
    <t>DWR Rate Increase (C/kWh)</t>
  </si>
  <si>
    <t>CTC Rate (C/kWh)</t>
  </si>
  <si>
    <t>Net DWR Rate Increase (C/kWh)</t>
  </si>
  <si>
    <t>Sales (GWh)</t>
  </si>
  <si>
    <t>Billing Determinants (GWh) Oct-01 to Dec-02</t>
  </si>
  <si>
    <t>Oct01-Dec02</t>
  </si>
  <si>
    <t>Jan01-Dec02</t>
  </si>
  <si>
    <t>Update Determinants (October-01 to December-02)</t>
  </si>
  <si>
    <t>DWR Revenue Requirement</t>
  </si>
  <si>
    <t>Billed Revenues</t>
  </si>
  <si>
    <t xml:space="preserve">Sales </t>
  </si>
  <si>
    <t>SB 43 Customers</t>
  </si>
  <si>
    <t>Sales</t>
  </si>
  <si>
    <t>System</t>
  </si>
  <si>
    <t>Retroactive Rate Increase Adjustment  Mar-27 to Sept- 30</t>
  </si>
  <si>
    <t>Mar27-Dec02</t>
  </si>
  <si>
    <t>NA</t>
  </si>
  <si>
    <t>DWR Commodity Revenues @6.5 c/kWh</t>
  </si>
  <si>
    <t>Capped ABX1 43 Customers</t>
  </si>
  <si>
    <t>ABX1 43 Customers</t>
  </si>
  <si>
    <t>DWR Revenue Requirement Reduction</t>
  </si>
  <si>
    <t>Update August 7, 2001</t>
  </si>
  <si>
    <t xml:space="preserve">DWR Revenue Requirements Update Letter August 7, 2001 </t>
  </si>
  <si>
    <t>Exhibit 14:  Scenario 6</t>
  </si>
  <si>
    <t>SDG&amp;E Grid Mgmnt Charges (GMC)</t>
  </si>
  <si>
    <t>Retained Generation Costs Jul-01 to Dec-02</t>
  </si>
  <si>
    <t>SDG&amp;E Other ISO Charges</t>
  </si>
  <si>
    <t>SDG&amp;E Ancillary Charges Jul 01 to Dec 02</t>
  </si>
  <si>
    <t>SDG&amp;E ISO Charges Jul 01 to Dec 02</t>
  </si>
  <si>
    <t>SDG&amp;E Grid Mgmnt Charges (GMC) Jul 01 to Dec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</si>
</sst>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  <numFmt numFmtId="178" formatCode="0.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u val="singleAccounting"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175" fontId="4" fillId="0" borderId="0" xfId="0" applyNumberFormat="1" applyFont="1"/>
    <xf numFmtId="2" fontId="4" fillId="0" borderId="0" xfId="0" applyNumberFormat="1" applyFont="1" applyBorder="1"/>
    <xf numFmtId="175" fontId="3" fillId="0" borderId="1" xfId="2" applyNumberFormat="1" applyFont="1" applyBorder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4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167" fontId="5" fillId="0" borderId="0" xfId="1" applyNumberFormat="1" applyFont="1" applyBorder="1"/>
    <xf numFmtId="0" fontId="6" fillId="0" borderId="0" xfId="0" applyFont="1" applyBorder="1" applyAlignment="1">
      <alignment horizontal="center"/>
    </xf>
    <xf numFmtId="175" fontId="5" fillId="0" borderId="0" xfId="0" applyNumberFormat="1" applyFont="1" applyBorder="1" applyAlignment="1">
      <alignment horizontal="center"/>
    </xf>
    <xf numFmtId="175" fontId="0" fillId="0" borderId="0" xfId="0" applyNumberFormat="1"/>
    <xf numFmtId="167" fontId="8" fillId="0" borderId="0" xfId="1" applyNumberFormat="1" applyFont="1" applyBorder="1"/>
    <xf numFmtId="175" fontId="8" fillId="0" borderId="0" xfId="2" applyNumberFormat="1" applyFont="1" applyBorder="1"/>
    <xf numFmtId="2" fontId="8" fillId="0" borderId="0" xfId="0" applyNumberFormat="1" applyFont="1" applyBorder="1"/>
    <xf numFmtId="167" fontId="0" fillId="0" borderId="0" xfId="1" applyNumberFormat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9" fontId="0" fillId="0" borderId="0" xfId="0" applyNumberForma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67" fontId="8" fillId="0" borderId="0" xfId="1" applyNumberFormat="1" applyFont="1"/>
    <xf numFmtId="44" fontId="5" fillId="0" borderId="0" xfId="2" applyFont="1"/>
    <xf numFmtId="0" fontId="9" fillId="0" borderId="0" xfId="0" applyFont="1" applyBorder="1" applyAlignment="1">
      <alignment horizontal="right"/>
    </xf>
    <xf numFmtId="43" fontId="0" fillId="0" borderId="0" xfId="0" applyNumberFormat="1" applyBorder="1"/>
    <xf numFmtId="175" fontId="3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Border="1"/>
    <xf numFmtId="44" fontId="0" fillId="0" borderId="0" xfId="0" applyNumberFormat="1"/>
    <xf numFmtId="168" fontId="0" fillId="0" borderId="0" xfId="3" applyNumberFormat="1" applyFont="1" applyBorder="1"/>
    <xf numFmtId="175" fontId="0" fillId="0" borderId="0" xfId="2" applyNumberFormat="1" applyFont="1"/>
    <xf numFmtId="0" fontId="2" fillId="0" borderId="0" xfId="0" applyFont="1" applyAlignment="1">
      <alignment horizontal="center" wrapText="1"/>
    </xf>
    <xf numFmtId="17" fontId="0" fillId="0" borderId="0" xfId="0" applyNumberFormat="1"/>
    <xf numFmtId="167" fontId="2" fillId="0" borderId="2" xfId="0" applyNumberFormat="1" applyFont="1" applyBorder="1"/>
    <xf numFmtId="178" fontId="0" fillId="0" borderId="0" xfId="0" applyNumberFormat="1"/>
    <xf numFmtId="175" fontId="2" fillId="0" borderId="2" xfId="0" applyNumberFormat="1" applyFont="1" applyBorder="1"/>
    <xf numFmtId="167" fontId="3" fillId="0" borderId="0" xfId="1" applyNumberFormat="1" applyFont="1" applyBorder="1"/>
    <xf numFmtId="0" fontId="9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9" fillId="0" borderId="0" xfId="0" applyFont="1" applyBorder="1"/>
    <xf numFmtId="43" fontId="0" fillId="0" borderId="0" xfId="1" applyFont="1" applyBorder="1"/>
    <xf numFmtId="175" fontId="3" fillId="0" borderId="0" xfId="2" applyNumberFormat="1" applyFont="1" applyBorder="1" applyAlignment="1">
      <alignment horizontal="center"/>
    </xf>
    <xf numFmtId="0" fontId="10" fillId="0" borderId="0" xfId="0" applyFont="1" applyBorder="1"/>
    <xf numFmtId="43" fontId="4" fillId="0" borderId="0" xfId="0" applyNumberFormat="1" applyFont="1"/>
    <xf numFmtId="43" fontId="0" fillId="0" borderId="0" xfId="0" applyNumberForma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67" fontId="3" fillId="0" borderId="0" xfId="1" applyNumberFormat="1" applyFont="1"/>
    <xf numFmtId="175" fontId="2" fillId="0" borderId="2" xfId="2" applyNumberFormat="1" applyFont="1" applyBorder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9" fontId="11" fillId="0" borderId="0" xfId="3" applyFont="1" applyAlignment="1">
      <alignment horizontal="center"/>
    </xf>
    <xf numFmtId="43" fontId="0" fillId="0" borderId="0" xfId="1" applyNumberFormat="1" applyFon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5" fontId="2" fillId="0" borderId="0" xfId="0" applyNumberFormat="1" applyFont="1" applyBorder="1"/>
    <xf numFmtId="0" fontId="5" fillId="0" borderId="0" xfId="0" applyFont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/>
    <xf numFmtId="175" fontId="3" fillId="0" borderId="3" xfId="2" applyNumberFormat="1" applyFont="1" applyBorder="1"/>
    <xf numFmtId="167" fontId="3" fillId="0" borderId="0" xfId="0" applyNumberFormat="1" applyFont="1" applyBorder="1"/>
    <xf numFmtId="0" fontId="2" fillId="0" borderId="4" xfId="0" applyFont="1" applyBorder="1"/>
    <xf numFmtId="2" fontId="2" fillId="0" borderId="5" xfId="0" applyNumberFormat="1" applyFont="1" applyBorder="1"/>
    <xf numFmtId="0" fontId="2" fillId="0" borderId="5" xfId="0" applyFont="1" applyBorder="1"/>
    <xf numFmtId="43" fontId="2" fillId="0" borderId="6" xfId="0" applyNumberFormat="1" applyFont="1" applyBorder="1"/>
    <xf numFmtId="9" fontId="0" fillId="0" borderId="0" xfId="3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7" fontId="0" fillId="0" borderId="7" xfId="1" applyNumberFormat="1" applyFont="1" applyBorder="1"/>
    <xf numFmtId="175" fontId="0" fillId="0" borderId="8" xfId="2" applyNumberFormat="1" applyFont="1" applyBorder="1"/>
    <xf numFmtId="167" fontId="0" fillId="0" borderId="9" xfId="0" applyNumberFormat="1" applyBorder="1"/>
    <xf numFmtId="2" fontId="0" fillId="0" borderId="1" xfId="0" applyNumberFormat="1" applyBorder="1"/>
    <xf numFmtId="175" fontId="0" fillId="0" borderId="10" xfId="2" applyNumberFormat="1" applyFont="1" applyBorder="1"/>
    <xf numFmtId="1" fontId="0" fillId="0" borderId="0" xfId="0" applyNumberFormat="1" applyBorder="1"/>
    <xf numFmtId="0" fontId="0" fillId="0" borderId="9" xfId="0" applyBorder="1"/>
    <xf numFmtId="1" fontId="0" fillId="0" borderId="1" xfId="0" applyNumberFormat="1" applyBorder="1"/>
    <xf numFmtId="175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0" xfId="1" applyNumberFormat="1" applyFont="1" applyBorder="1" applyAlignment="1">
      <alignment horizontal="center"/>
    </xf>
    <xf numFmtId="167" fontId="0" fillId="0" borderId="9" xfId="1" applyNumberFormat="1" applyFont="1" applyBorder="1"/>
    <xf numFmtId="166" fontId="0" fillId="0" borderId="0" xfId="1" applyNumberFormat="1" applyFont="1" applyBorder="1"/>
    <xf numFmtId="38" fontId="3" fillId="0" borderId="0" xfId="2" applyNumberFormat="1" applyFont="1" applyBorder="1"/>
    <xf numFmtId="175" fontId="3" fillId="0" borderId="0" xfId="2" applyNumberFormat="1" applyFont="1" applyBorder="1" applyAlignment="1">
      <alignment horizontal="right"/>
    </xf>
    <xf numFmtId="167" fontId="10" fillId="0" borderId="0" xfId="1" applyNumberFormat="1" applyFont="1" applyBorder="1"/>
    <xf numFmtId="43" fontId="10" fillId="0" borderId="0" xfId="0" applyNumberFormat="1" applyFont="1"/>
    <xf numFmtId="9" fontId="0" fillId="0" borderId="0" xfId="3" applyNumberFormat="1" applyFont="1"/>
    <xf numFmtId="43" fontId="10" fillId="0" borderId="0" xfId="1" applyNumberFormat="1" applyFont="1"/>
    <xf numFmtId="175" fontId="12" fillId="0" borderId="0" xfId="0" applyNumberFormat="1" applyFont="1" applyBorder="1" applyAlignment="1">
      <alignment horizontal="center"/>
    </xf>
    <xf numFmtId="167" fontId="10" fillId="0" borderId="0" xfId="0" applyNumberFormat="1" applyFont="1" applyBorder="1"/>
    <xf numFmtId="43" fontId="9" fillId="0" borderId="0" xfId="0" applyNumberFormat="1" applyFont="1" applyBorder="1"/>
    <xf numFmtId="175" fontId="8" fillId="0" borderId="1" xfId="2" applyNumberFormat="1" applyFont="1" applyBorder="1"/>
    <xf numFmtId="40" fontId="3" fillId="0" borderId="0" xfId="0" applyNumberFormat="1" applyFont="1" applyBorder="1"/>
    <xf numFmtId="40" fontId="0" fillId="0" borderId="0" xfId="0" applyNumberFormat="1" applyBorder="1"/>
    <xf numFmtId="38" fontId="3" fillId="0" borderId="0" xfId="0" applyNumberFormat="1" applyFont="1" applyBorder="1"/>
    <xf numFmtId="38" fontId="0" fillId="0" borderId="0" xfId="2" applyNumberFormat="1" applyFont="1" applyBorder="1"/>
    <xf numFmtId="38" fontId="0" fillId="0" borderId="0" xfId="0" applyNumberFormat="1" applyBorder="1"/>
    <xf numFmtId="44" fontId="11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43" fontId="2" fillId="0" borderId="0" xfId="1" applyFont="1" applyBorder="1"/>
    <xf numFmtId="43" fontId="2" fillId="0" borderId="0" xfId="0" applyNumberFormat="1" applyFont="1" applyBorder="1"/>
    <xf numFmtId="9" fontId="11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44" fontId="0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1"/>
  <sheetViews>
    <sheetView tabSelected="1" topLeftCell="B1" zoomScale="75" zoomScaleNormal="75" workbookViewId="0">
      <selection activeCell="D19" sqref="D19"/>
    </sheetView>
  </sheetViews>
  <sheetFormatPr defaultRowHeight="12.75" x14ac:dyDescent="0.2"/>
  <cols>
    <col min="1" max="1" width="31.7109375" hidden="1" customWidth="1"/>
    <col min="2" max="2" width="50.140625" bestFit="1" customWidth="1"/>
    <col min="3" max="3" width="11.5703125" customWidth="1"/>
    <col min="4" max="4" width="13.28515625" bestFit="1" customWidth="1"/>
    <col min="5" max="5" width="11.5703125" customWidth="1"/>
    <col min="6" max="6" width="4.85546875" customWidth="1"/>
    <col min="7" max="7" width="13.42578125" customWidth="1"/>
    <col min="8" max="8" width="11.28515625" bestFit="1" customWidth="1"/>
    <col min="9" max="9" width="14.85546875" customWidth="1"/>
    <col min="10" max="10" width="13.42578125" bestFit="1" customWidth="1"/>
    <col min="11" max="11" width="11.7109375" bestFit="1" customWidth="1"/>
    <col min="12" max="12" width="11.7109375" customWidth="1"/>
    <col min="13" max="14" width="14" bestFit="1" customWidth="1"/>
    <col min="15" max="15" width="11.5703125" bestFit="1" customWidth="1"/>
    <col min="16" max="16" width="14.28515625" bestFit="1" customWidth="1"/>
    <col min="17" max="17" width="11.5703125" bestFit="1" customWidth="1"/>
    <col min="18" max="18" width="13.7109375" customWidth="1"/>
    <col min="19" max="19" width="14" bestFit="1" customWidth="1"/>
    <col min="20" max="23" width="11.5703125" bestFit="1" customWidth="1"/>
    <col min="24" max="24" width="12.85546875" customWidth="1"/>
    <col min="25" max="25" width="8.140625" bestFit="1" customWidth="1"/>
    <col min="26" max="26" width="12.7109375" customWidth="1"/>
    <col min="27" max="28" width="8.42578125" bestFit="1" customWidth="1"/>
  </cols>
  <sheetData>
    <row r="1" spans="2:27" x14ac:dyDescent="0.2">
      <c r="B1" s="2"/>
      <c r="C1" s="3"/>
      <c r="D1" s="1"/>
      <c r="E1" s="1"/>
      <c r="F1" s="1"/>
      <c r="G1" s="1"/>
      <c r="H1" s="1"/>
      <c r="I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75" x14ac:dyDescent="0.25">
      <c r="B2" s="127" t="s">
        <v>5</v>
      </c>
      <c r="C2" s="127"/>
      <c r="D2" s="127"/>
      <c r="E2" s="127"/>
      <c r="F2" s="127"/>
      <c r="G2" s="1"/>
      <c r="H2" s="1"/>
      <c r="J2" s="123" t="s">
        <v>105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75" x14ac:dyDescent="0.25">
      <c r="B3" s="127" t="s">
        <v>6</v>
      </c>
      <c r="C3" s="127"/>
      <c r="D3" s="127"/>
      <c r="E3" s="127"/>
      <c r="F3" s="127"/>
      <c r="G3" s="1"/>
      <c r="H3" s="1"/>
      <c r="J3" s="124" t="s">
        <v>77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75" x14ac:dyDescent="0.25">
      <c r="B4" s="74"/>
      <c r="C4" s="74"/>
      <c r="D4" s="74"/>
      <c r="E4" s="74"/>
      <c r="F4" s="74"/>
      <c r="G4" s="1"/>
      <c r="H4" s="1"/>
      <c r="J4" s="124" t="s">
        <v>103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75" x14ac:dyDescent="0.25">
      <c r="B5" s="74"/>
      <c r="C5" s="74"/>
      <c r="D5" s="74"/>
      <c r="E5" s="74"/>
      <c r="F5" s="74"/>
      <c r="G5" s="1"/>
      <c r="H5" s="1"/>
      <c r="I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75" thickBot="1" x14ac:dyDescent="0.25">
      <c r="B6" s="14"/>
      <c r="C6" s="14"/>
      <c r="D6" s="14"/>
      <c r="E6" s="14"/>
      <c r="F6" s="14"/>
      <c r="G6" s="1"/>
      <c r="H6" s="1"/>
      <c r="R6" s="1"/>
      <c r="S6" s="1"/>
      <c r="T6" s="3"/>
      <c r="U6" s="1"/>
      <c r="V6" s="1"/>
      <c r="W6" s="1"/>
      <c r="X6" s="1"/>
      <c r="Y6" s="1"/>
      <c r="Z6" s="1"/>
      <c r="AA6" s="1"/>
    </row>
    <row r="7" spans="2:27" ht="13.5" thickBot="1" x14ac:dyDescent="0.25">
      <c r="B7" s="77" t="s">
        <v>14</v>
      </c>
      <c r="C7" s="15"/>
      <c r="D7" s="24"/>
      <c r="E7" s="24"/>
      <c r="F7" s="24"/>
      <c r="G7" s="25"/>
      <c r="H7" s="25"/>
      <c r="S7" s="40"/>
      <c r="U7" s="1"/>
      <c r="V7" s="1"/>
      <c r="W7" s="1"/>
      <c r="X7" s="1"/>
      <c r="Y7" s="1"/>
      <c r="Z7" s="1"/>
      <c r="AA7" s="1"/>
    </row>
    <row r="8" spans="2:27" x14ac:dyDescent="0.2">
      <c r="B8" s="80"/>
      <c r="C8" s="15"/>
      <c r="D8" s="24"/>
      <c r="E8" s="24"/>
      <c r="F8" s="24"/>
      <c r="G8" s="25"/>
      <c r="H8" s="25"/>
      <c r="S8" s="40"/>
      <c r="U8" s="1"/>
      <c r="V8" s="1"/>
      <c r="W8" s="1"/>
      <c r="X8" s="1"/>
      <c r="Y8" s="1"/>
      <c r="Z8" s="1"/>
      <c r="AA8" s="1"/>
    </row>
    <row r="9" spans="2:27" x14ac:dyDescent="0.2">
      <c r="B9" s="81" t="s">
        <v>79</v>
      </c>
      <c r="C9" s="15"/>
      <c r="D9" s="24"/>
      <c r="E9" s="24"/>
      <c r="F9" s="24"/>
      <c r="G9" s="25"/>
      <c r="H9" s="25"/>
      <c r="S9" s="40"/>
      <c r="U9" s="1"/>
      <c r="V9" s="1"/>
      <c r="W9" s="1"/>
      <c r="X9" s="1"/>
      <c r="Y9" s="1"/>
      <c r="Z9" s="1"/>
      <c r="AA9" s="1"/>
    </row>
    <row r="10" spans="2:27" x14ac:dyDescent="0.2">
      <c r="B10" s="13" t="s">
        <v>85</v>
      </c>
      <c r="C10" s="11"/>
      <c r="D10" s="28" t="s">
        <v>2</v>
      </c>
      <c r="E10" s="28" t="s">
        <v>3</v>
      </c>
      <c r="F10" s="82"/>
      <c r="G10" s="28" t="s">
        <v>0</v>
      </c>
      <c r="H10" s="25"/>
      <c r="S10" s="40"/>
      <c r="U10" s="1"/>
      <c r="V10" s="1"/>
      <c r="W10" s="1"/>
      <c r="X10" s="1"/>
      <c r="Y10" s="1"/>
      <c r="Z10" s="1"/>
      <c r="AA10" s="1"/>
    </row>
    <row r="11" spans="2:27" x14ac:dyDescent="0.2">
      <c r="B11" s="13" t="s">
        <v>12</v>
      </c>
      <c r="C11" s="15">
        <v>0.7</v>
      </c>
      <c r="D11" s="23">
        <v>6987.2093493864159</v>
      </c>
      <c r="E11" s="23">
        <v>4772.2730788701929</v>
      </c>
      <c r="F11" s="3">
        <f>+E11/E13</f>
        <v>0.48636854325796269</v>
      </c>
      <c r="G11" s="23">
        <v>11759.482428256608</v>
      </c>
      <c r="H11" s="25"/>
      <c r="S11" s="40"/>
      <c r="U11" s="1"/>
      <c r="V11" s="1"/>
      <c r="W11" s="1"/>
      <c r="X11" s="1"/>
      <c r="Y11" s="1"/>
      <c r="Z11" s="1"/>
      <c r="AA11" s="1"/>
    </row>
    <row r="12" spans="2:27" ht="15" x14ac:dyDescent="0.35">
      <c r="B12" s="13" t="s">
        <v>100</v>
      </c>
      <c r="C12" s="15">
        <v>0.3</v>
      </c>
      <c r="D12" s="27">
        <v>0</v>
      </c>
      <c r="E12" s="27">
        <v>5039.7781835385467</v>
      </c>
      <c r="F12" s="3">
        <f>+E12/E13</f>
        <v>0.51363145674203725</v>
      </c>
      <c r="G12" s="27">
        <v>5039.7781835385467</v>
      </c>
      <c r="H12" s="25"/>
      <c r="S12" s="40"/>
      <c r="U12" s="1"/>
      <c r="V12" s="1"/>
      <c r="W12" s="1"/>
      <c r="X12" s="1"/>
      <c r="Y12" s="1"/>
      <c r="Z12" s="1"/>
      <c r="AA12" s="1"/>
    </row>
    <row r="13" spans="2:27" x14ac:dyDescent="0.2">
      <c r="B13" s="13" t="s">
        <v>4</v>
      </c>
      <c r="C13" s="11"/>
      <c r="D13" s="31">
        <v>6987.2093493864159</v>
      </c>
      <c r="E13" s="23">
        <v>9812.0512624087405</v>
      </c>
      <c r="F13" t="s">
        <v>1</v>
      </c>
      <c r="G13" s="43">
        <v>16799.260611795158</v>
      </c>
      <c r="H13" s="25"/>
      <c r="S13" s="40"/>
      <c r="U13" s="1"/>
      <c r="V13" s="1"/>
      <c r="W13" s="1"/>
      <c r="X13" s="1"/>
      <c r="Y13" s="1"/>
      <c r="Z13" s="1"/>
      <c r="AA13" s="1"/>
    </row>
    <row r="14" spans="2:27" x14ac:dyDescent="0.2">
      <c r="B14" s="13"/>
      <c r="C14" s="11"/>
      <c r="D14" s="15">
        <f>+D13/G13</f>
        <v>0.41592362371475627</v>
      </c>
      <c r="E14" s="15">
        <f>+E13/G13</f>
        <v>0.58407637628524356</v>
      </c>
      <c r="F14" s="13"/>
      <c r="G14" s="4"/>
      <c r="H14" s="4"/>
    </row>
    <row r="15" spans="2:27" x14ac:dyDescent="0.2">
      <c r="B15" s="13" t="s">
        <v>89</v>
      </c>
      <c r="C15" s="11"/>
      <c r="F15" s="13"/>
      <c r="G15" s="4"/>
      <c r="H15" s="4"/>
    </row>
    <row r="16" spans="2:27" x14ac:dyDescent="0.2">
      <c r="B16" s="13" t="s">
        <v>85</v>
      </c>
      <c r="C16" s="11"/>
      <c r="D16" s="28" t="s">
        <v>2</v>
      </c>
      <c r="E16" s="28" t="s">
        <v>3</v>
      </c>
      <c r="F16" s="82"/>
      <c r="G16" s="28" t="s">
        <v>0</v>
      </c>
      <c r="H16" s="4"/>
    </row>
    <row r="17" spans="2:26" x14ac:dyDescent="0.2">
      <c r="B17" s="13" t="s">
        <v>12</v>
      </c>
      <c r="C17" s="15">
        <v>0.7</v>
      </c>
      <c r="D17" s="23">
        <f>+D19</f>
        <v>9380.5572655428587</v>
      </c>
      <c r="E17" s="23">
        <f>+G17-D17</f>
        <v>6406.9328203371406</v>
      </c>
      <c r="F17" s="3">
        <f>+E17/E19</f>
        <v>0.48636854325796253</v>
      </c>
      <c r="G17" s="23">
        <f>+G19*$C$11</f>
        <v>15787.490085879999</v>
      </c>
      <c r="H17" s="4"/>
    </row>
    <row r="18" spans="2:26" ht="15" x14ac:dyDescent="0.35">
      <c r="B18" s="13" t="s">
        <v>100</v>
      </c>
      <c r="C18" s="15">
        <v>0.3</v>
      </c>
      <c r="D18" s="27">
        <v>0</v>
      </c>
      <c r="E18" s="27">
        <f>+G18</f>
        <v>6766.0671796628576</v>
      </c>
      <c r="F18" s="112">
        <f>+E18/E19</f>
        <v>0.51363145674203736</v>
      </c>
      <c r="G18" s="27">
        <f>+G19*$C$12</f>
        <v>6766.0671796628576</v>
      </c>
      <c r="H18" s="4" t="s">
        <v>1</v>
      </c>
    </row>
    <row r="19" spans="2:26" x14ac:dyDescent="0.2">
      <c r="B19" s="13" t="s">
        <v>4</v>
      </c>
      <c r="C19" s="11"/>
      <c r="D19" s="31">
        <f>+G19-E19</f>
        <v>9380.5572655428587</v>
      </c>
      <c r="E19" s="23">
        <f>+'DWR Billing Determinants'!B16</f>
        <v>13173</v>
      </c>
      <c r="G19" s="43">
        <f>+E19/E20</f>
        <v>22553.557265542859</v>
      </c>
      <c r="H19" s="4"/>
      <c r="V19" s="36"/>
      <c r="W19" s="36"/>
    </row>
    <row r="20" spans="2:26" x14ac:dyDescent="0.2">
      <c r="C20" s="11"/>
      <c r="D20" s="15">
        <f>+D14</f>
        <v>0.41592362371475627</v>
      </c>
      <c r="E20" s="15">
        <f>+E14</f>
        <v>0.58407637628524356</v>
      </c>
      <c r="F20" s="13"/>
      <c r="G20" s="4"/>
      <c r="H20" s="4"/>
      <c r="V20" s="43"/>
      <c r="W20" s="43"/>
    </row>
    <row r="21" spans="2:26" x14ac:dyDescent="0.2">
      <c r="D21" s="41"/>
      <c r="G21" s="41"/>
      <c r="H21" s="4"/>
      <c r="I21" s="4"/>
      <c r="K21" t="s">
        <v>1</v>
      </c>
      <c r="T21" s="41"/>
      <c r="V21" s="34"/>
    </row>
    <row r="22" spans="2:26" ht="13.5" thickBot="1" x14ac:dyDescent="0.25">
      <c r="E22" s="41">
        <f>E21/E19</f>
        <v>0</v>
      </c>
      <c r="H22" s="4"/>
      <c r="I22" s="4"/>
      <c r="T22" s="41"/>
      <c r="V22" s="34"/>
    </row>
    <row r="23" spans="2:26" ht="13.5" thickBot="1" x14ac:dyDescent="0.25">
      <c r="B23" s="77" t="s">
        <v>78</v>
      </c>
      <c r="D23" s="17" t="s">
        <v>9</v>
      </c>
      <c r="E23" s="15" t="s">
        <v>1</v>
      </c>
      <c r="F23" s="15" t="s">
        <v>1</v>
      </c>
      <c r="G23" s="13"/>
      <c r="H23" s="4"/>
      <c r="I23" s="4"/>
      <c r="J23" s="4"/>
      <c r="K23" s="4"/>
      <c r="L23" s="4"/>
      <c r="V23" s="34"/>
    </row>
    <row r="24" spans="2:26" x14ac:dyDescent="0.2">
      <c r="B24" s="11" t="s">
        <v>1</v>
      </c>
      <c r="E24" s="18" t="s">
        <v>1</v>
      </c>
      <c r="F24" s="13"/>
      <c r="G24" s="13" t="s">
        <v>1</v>
      </c>
      <c r="H24" s="4"/>
      <c r="I24" s="4"/>
      <c r="J24" s="4"/>
      <c r="K24" s="4"/>
      <c r="L24" s="4"/>
      <c r="V24" s="34"/>
    </row>
    <row r="25" spans="2:26" x14ac:dyDescent="0.2">
      <c r="B25" s="11" t="s">
        <v>13</v>
      </c>
      <c r="D25" s="32">
        <v>2068441</v>
      </c>
      <c r="E25" s="12" t="s">
        <v>1</v>
      </c>
      <c r="F25" s="13" t="s">
        <v>10</v>
      </c>
      <c r="G25" s="16" t="s">
        <v>104</v>
      </c>
      <c r="H25" s="4"/>
      <c r="I25" s="4"/>
      <c r="J25" s="4"/>
      <c r="K25" s="4"/>
      <c r="L25" s="4"/>
      <c r="V25" s="34"/>
      <c r="Z25" s="41"/>
    </row>
    <row r="26" spans="2:26" x14ac:dyDescent="0.2">
      <c r="E26" s="16" t="s">
        <v>1</v>
      </c>
      <c r="F26" s="16" t="s">
        <v>1</v>
      </c>
      <c r="G26" s="13" t="s">
        <v>1</v>
      </c>
      <c r="H26" s="4"/>
      <c r="I26" s="4"/>
      <c r="J26" s="4"/>
      <c r="K26" s="4"/>
      <c r="L26" s="4"/>
      <c r="W26" s="42"/>
      <c r="X26" s="42"/>
    </row>
    <row r="27" spans="2:26" x14ac:dyDescent="0.2">
      <c r="B27" s="11" t="s">
        <v>11</v>
      </c>
      <c r="D27" s="32">
        <v>670175.31362006976</v>
      </c>
      <c r="E27" s="16" t="s">
        <v>1</v>
      </c>
      <c r="F27" s="13" t="s">
        <v>10</v>
      </c>
      <c r="G27" s="16" t="s">
        <v>107</v>
      </c>
      <c r="H27" s="4"/>
      <c r="I27" s="4"/>
      <c r="J27" s="4"/>
      <c r="K27" s="4"/>
      <c r="L27" s="4"/>
      <c r="W27" s="42"/>
      <c r="X27" s="42"/>
    </row>
    <row r="28" spans="2:26" x14ac:dyDescent="0.2">
      <c r="B28" s="11" t="s">
        <v>76</v>
      </c>
      <c r="D28" s="32">
        <v>213045.1524139957</v>
      </c>
      <c r="E28" s="16"/>
      <c r="F28" s="13" t="s">
        <v>10</v>
      </c>
      <c r="G28" s="16" t="s">
        <v>109</v>
      </c>
      <c r="H28" s="4"/>
      <c r="I28" s="4"/>
      <c r="J28" s="4"/>
      <c r="K28" s="4"/>
      <c r="L28" s="4"/>
      <c r="W28" s="42"/>
      <c r="X28" s="42"/>
    </row>
    <row r="29" spans="2:26" x14ac:dyDescent="0.2">
      <c r="B29" s="11" t="s">
        <v>108</v>
      </c>
      <c r="D29" s="32">
        <v>73149.208368045482</v>
      </c>
      <c r="E29" s="16"/>
      <c r="F29" s="13" t="s">
        <v>10</v>
      </c>
      <c r="G29" s="16" t="s">
        <v>110</v>
      </c>
      <c r="H29" s="4"/>
      <c r="I29" s="4"/>
      <c r="J29" s="4"/>
      <c r="K29" s="4"/>
      <c r="L29" s="4"/>
      <c r="W29" s="42"/>
      <c r="X29" s="42"/>
    </row>
    <row r="30" spans="2:26" x14ac:dyDescent="0.2">
      <c r="B30" s="11" t="s">
        <v>106</v>
      </c>
      <c r="D30" s="117">
        <v>30621.482345745604</v>
      </c>
      <c r="E30" s="16" t="s">
        <v>1</v>
      </c>
      <c r="F30" s="13" t="s">
        <v>10</v>
      </c>
      <c r="G30" s="16" t="s">
        <v>111</v>
      </c>
      <c r="H30" s="4"/>
      <c r="I30" s="4"/>
      <c r="J30" s="4"/>
      <c r="K30" s="4"/>
      <c r="L30" s="4"/>
      <c r="W30" s="42"/>
      <c r="X30" s="42"/>
    </row>
    <row r="31" spans="2:26" x14ac:dyDescent="0.2">
      <c r="B31" s="11" t="s">
        <v>59</v>
      </c>
      <c r="D31" s="6">
        <f>SUM(D27:D30)</f>
        <v>986991.15674785653</v>
      </c>
      <c r="E31" s="16"/>
      <c r="F31" s="13"/>
      <c r="G31" s="16"/>
      <c r="I31" s="4"/>
      <c r="J31" s="4"/>
      <c r="K31" s="4"/>
      <c r="L31" s="4"/>
    </row>
    <row r="32" spans="2:26" ht="13.5" thickBot="1" x14ac:dyDescent="0.25">
      <c r="B32" s="11"/>
      <c r="D32" s="83"/>
      <c r="E32" s="16"/>
      <c r="F32" s="16"/>
      <c r="G32" s="13"/>
      <c r="I32" s="4"/>
      <c r="J32" s="4"/>
      <c r="K32" s="4"/>
      <c r="L32" s="4"/>
      <c r="W32" s="39"/>
      <c r="X32" s="39"/>
    </row>
    <row r="33" spans="2:24" ht="13.5" thickTop="1" x14ac:dyDescent="0.2">
      <c r="B33" s="11" t="s">
        <v>62</v>
      </c>
      <c r="D33" s="6">
        <f>+D31+D25</f>
        <v>3055432.1567478566</v>
      </c>
      <c r="H33" s="4"/>
      <c r="I33" s="4"/>
      <c r="J33" s="4"/>
      <c r="K33" s="4"/>
      <c r="L33" s="4"/>
      <c r="N33" s="34"/>
      <c r="O33" s="34"/>
      <c r="P33" s="34"/>
      <c r="Q33" s="34"/>
      <c r="W33" s="39"/>
      <c r="X33" s="39"/>
    </row>
    <row r="34" spans="2:24" x14ac:dyDescent="0.2">
      <c r="H34" s="4"/>
      <c r="I34" s="4"/>
      <c r="J34" s="4"/>
      <c r="K34" s="4"/>
      <c r="L34" s="4"/>
      <c r="N34" s="34"/>
      <c r="O34" s="34"/>
      <c r="P34" s="34"/>
      <c r="Q34" s="34"/>
      <c r="W34" s="39"/>
      <c r="X34" s="39"/>
    </row>
    <row r="35" spans="2:24" x14ac:dyDescent="0.2">
      <c r="H35" s="4"/>
      <c r="I35" s="4"/>
      <c r="J35" s="4"/>
      <c r="K35" s="4"/>
      <c r="L35" s="4"/>
      <c r="M35" s="4"/>
      <c r="N35" s="4"/>
      <c r="O35" s="4"/>
      <c r="P35" s="23"/>
      <c r="Q35" s="4"/>
      <c r="R35" s="4"/>
      <c r="W35" s="39"/>
      <c r="X35" s="39"/>
    </row>
    <row r="36" spans="2:24" ht="13.5" thickBot="1" x14ac:dyDescent="0.25">
      <c r="H36" s="4"/>
      <c r="I36" s="4"/>
      <c r="J36" s="4"/>
      <c r="K36" s="4"/>
      <c r="L36" s="4"/>
      <c r="M36" s="4"/>
      <c r="N36" s="23"/>
      <c r="O36" s="23"/>
      <c r="P36" s="23"/>
      <c r="Q36" s="23"/>
      <c r="R36" s="4"/>
      <c r="W36" s="41"/>
      <c r="X36" s="41"/>
    </row>
    <row r="37" spans="2:24" ht="13.5" thickBot="1" x14ac:dyDescent="0.25">
      <c r="B37" s="77" t="s">
        <v>8</v>
      </c>
      <c r="D37" s="18" t="s">
        <v>1</v>
      </c>
      <c r="E37" s="47" t="s">
        <v>1</v>
      </c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24" ht="15" x14ac:dyDescent="0.35">
      <c r="B38" s="11" t="s">
        <v>61</v>
      </c>
      <c r="D38" s="28"/>
      <c r="E38" s="29"/>
      <c r="F38" s="13"/>
      <c r="G38" s="13"/>
      <c r="H38" s="4"/>
      <c r="I38" s="4"/>
      <c r="J38" s="4"/>
      <c r="K38" s="4"/>
      <c r="L38" s="4"/>
      <c r="M38" s="4"/>
      <c r="N38" s="48"/>
      <c r="O38" s="23"/>
      <c r="P38" s="23"/>
      <c r="Q38" s="23"/>
      <c r="R38" s="4"/>
    </row>
    <row r="39" spans="2:24" x14ac:dyDescent="0.2">
      <c r="B39" s="11" t="s">
        <v>99</v>
      </c>
      <c r="D39" s="6">
        <f>+'DWR Billing Determinants'!D15</f>
        <v>1211015</v>
      </c>
      <c r="E39" s="2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24" x14ac:dyDescent="0.2">
      <c r="B40" s="11" t="s">
        <v>60</v>
      </c>
      <c r="D40" s="9">
        <f>+E40*D19*10</f>
        <v>609736.22226028575</v>
      </c>
      <c r="E40" s="33">
        <v>6.5</v>
      </c>
      <c r="G40" s="10"/>
      <c r="H40" s="4"/>
      <c r="I40" s="4"/>
      <c r="J40" s="4"/>
      <c r="K40" s="4"/>
      <c r="L40" s="4"/>
      <c r="M40" s="4"/>
      <c r="N40" s="23"/>
      <c r="O40" s="23"/>
      <c r="P40" s="23"/>
      <c r="Q40" s="4"/>
      <c r="R40" s="4"/>
    </row>
    <row r="41" spans="2:24" x14ac:dyDescent="0.2">
      <c r="B41" s="11"/>
      <c r="D41" s="6">
        <f>SUM(D39:D40)</f>
        <v>1820751.2222602856</v>
      </c>
      <c r="E41" s="33"/>
      <c r="F41" s="16"/>
      <c r="G41" s="10"/>
      <c r="H41" s="4"/>
      <c r="I41" s="4"/>
      <c r="J41" s="4"/>
      <c r="K41" s="4"/>
      <c r="L41" s="4"/>
      <c r="M41" s="4"/>
      <c r="N41" s="25"/>
      <c r="O41" s="4"/>
      <c r="P41" s="4"/>
      <c r="Q41" s="4"/>
      <c r="R41" s="4"/>
    </row>
    <row r="42" spans="2:24" x14ac:dyDescent="0.2">
      <c r="G42" s="10"/>
      <c r="H42" s="4"/>
      <c r="I42" s="4"/>
      <c r="J42" s="4"/>
      <c r="K42" s="4"/>
      <c r="L42" s="4"/>
      <c r="M42" s="4"/>
      <c r="N42" s="25"/>
      <c r="O42" s="4"/>
      <c r="P42" s="4"/>
      <c r="Q42" s="4"/>
      <c r="R42" s="4"/>
    </row>
    <row r="43" spans="2:24" x14ac:dyDescent="0.2">
      <c r="B43" s="11" t="s">
        <v>57</v>
      </c>
      <c r="D43" s="6">
        <f>+D25-D39</f>
        <v>857426</v>
      </c>
      <c r="E43" s="33"/>
      <c r="F43" s="13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4" ht="13.5" thickBot="1" x14ac:dyDescent="0.25">
      <c r="B44" s="11" t="s">
        <v>56</v>
      </c>
      <c r="D44" s="83">
        <f>+D31-D40</f>
        <v>377254.93448757078</v>
      </c>
      <c r="E44" s="33"/>
      <c r="F44" s="13"/>
      <c r="H44" s="4"/>
      <c r="I44" s="4"/>
      <c r="J44" s="4"/>
      <c r="K44" s="4"/>
      <c r="L44" s="4"/>
      <c r="M44" s="4"/>
      <c r="N44" s="23"/>
      <c r="O44" s="48"/>
      <c r="P44" s="23"/>
      <c r="Q44" s="75"/>
      <c r="R44" s="4"/>
    </row>
    <row r="45" spans="2:24" ht="13.5" thickTop="1" x14ac:dyDescent="0.2">
      <c r="B45" s="11" t="s">
        <v>58</v>
      </c>
      <c r="D45" s="6">
        <f>+D33-D41</f>
        <v>1234680.934487571</v>
      </c>
      <c r="E45" s="33"/>
      <c r="F45" s="16" t="s">
        <v>1</v>
      </c>
      <c r="G45" s="10"/>
      <c r="H45" s="4"/>
      <c r="I45" s="4"/>
      <c r="J45" s="4"/>
      <c r="K45" s="4"/>
      <c r="L45" s="4"/>
      <c r="M45" s="4"/>
      <c r="N45" s="12"/>
      <c r="O45" s="84"/>
      <c r="P45" s="60"/>
      <c r="Q45" s="60"/>
      <c r="R45" s="4"/>
    </row>
    <row r="46" spans="2:24" x14ac:dyDescent="0.2">
      <c r="B46" s="11"/>
      <c r="D46" s="6"/>
      <c r="E46" s="33"/>
      <c r="F46" s="16"/>
      <c r="G46" s="10"/>
      <c r="H46" s="4"/>
      <c r="I46" s="4"/>
      <c r="J46" s="4"/>
      <c r="K46" s="4"/>
      <c r="L46" s="4"/>
      <c r="M46" s="4"/>
      <c r="N46" s="23"/>
      <c r="O46" s="23"/>
      <c r="P46" s="23"/>
      <c r="Q46" s="23"/>
      <c r="R46" s="4"/>
    </row>
    <row r="47" spans="2:24" ht="13.5" thickBot="1" x14ac:dyDescent="0.25">
      <c r="B47" s="11"/>
      <c r="D47" s="6"/>
      <c r="E47" s="33"/>
      <c r="F47" s="13"/>
      <c r="G47" s="10"/>
      <c r="H47" s="4"/>
      <c r="I47" s="4"/>
      <c r="J47" s="4"/>
      <c r="K47" s="4"/>
      <c r="L47" s="4"/>
    </row>
    <row r="48" spans="2:24" ht="13.5" thickBot="1" x14ac:dyDescent="0.25">
      <c r="B48" s="76" t="s">
        <v>15</v>
      </c>
      <c r="C48" s="4"/>
      <c r="D48" s="4"/>
      <c r="E48" s="10"/>
      <c r="F48" s="10"/>
      <c r="G48" s="4"/>
      <c r="H48" s="4"/>
      <c r="I48" s="4"/>
      <c r="J48" s="4"/>
      <c r="K48" s="4"/>
      <c r="L48" s="4"/>
    </row>
    <row r="49" spans="2:18" ht="15" x14ac:dyDescent="0.2">
      <c r="B49" s="19"/>
      <c r="C49" s="19"/>
      <c r="D49" s="19"/>
      <c r="E49" s="19"/>
      <c r="F49" s="10"/>
      <c r="G49" s="4"/>
      <c r="H49" s="4"/>
      <c r="I49" s="4"/>
      <c r="J49" s="4"/>
      <c r="K49" s="4"/>
      <c r="L49" s="4"/>
    </row>
    <row r="50" spans="2:18" ht="15" x14ac:dyDescent="0.35">
      <c r="B50" s="21" t="s">
        <v>1</v>
      </c>
      <c r="C50" s="6"/>
      <c r="D50" s="4" t="s">
        <v>80</v>
      </c>
      <c r="E50" s="78" t="s">
        <v>1</v>
      </c>
      <c r="F50" s="79"/>
      <c r="G50" s="82" t="s">
        <v>101</v>
      </c>
      <c r="H50" s="4"/>
      <c r="I50" s="4" t="s">
        <v>81</v>
      </c>
      <c r="K50" s="4"/>
      <c r="L50" s="4"/>
    </row>
    <row r="51" spans="2:18" x14ac:dyDescent="0.2">
      <c r="B51" s="4"/>
      <c r="C51" s="6" t="s">
        <v>1</v>
      </c>
      <c r="D51" s="11" t="s">
        <v>1</v>
      </c>
      <c r="E51" s="10"/>
      <c r="F51" s="10"/>
      <c r="G51" s="4"/>
      <c r="H51" s="4"/>
      <c r="I51" s="4"/>
      <c r="K51" s="4"/>
      <c r="L51" s="4"/>
    </row>
    <row r="52" spans="2:18" x14ac:dyDescent="0.2">
      <c r="B52" s="4" t="s">
        <v>90</v>
      </c>
      <c r="C52" s="6"/>
      <c r="D52" s="6">
        <f>+D25</f>
        <v>2068441</v>
      </c>
      <c r="E52" s="10"/>
      <c r="F52" s="10"/>
      <c r="G52" s="5">
        <f>+D52*(E18/E19)</f>
        <v>1062416.3640149564</v>
      </c>
      <c r="H52" s="4"/>
      <c r="I52" s="20">
        <f>+D52-G52</f>
        <v>1006024.6359850436</v>
      </c>
      <c r="K52" s="4"/>
      <c r="L52" s="4"/>
    </row>
    <row r="53" spans="2:18" x14ac:dyDescent="0.2">
      <c r="B53" s="4" t="s">
        <v>91</v>
      </c>
      <c r="C53" s="6"/>
      <c r="D53" s="108">
        <f>-D39</f>
        <v>-1211015</v>
      </c>
      <c r="E53" s="120"/>
      <c r="F53" s="120"/>
      <c r="G53" s="121">
        <f>-'DWR Billing Determinants'!G15</f>
        <v>-622015.39858645818</v>
      </c>
      <c r="H53" s="122"/>
      <c r="I53" s="121">
        <f>-'DWR Billing Determinants'!J15</f>
        <v>-588999.60141354171</v>
      </c>
      <c r="K53" s="4"/>
      <c r="L53" s="4"/>
    </row>
    <row r="54" spans="2:18" x14ac:dyDescent="0.2">
      <c r="B54" s="4"/>
      <c r="C54" s="6"/>
      <c r="D54" s="6"/>
      <c r="E54" s="10"/>
      <c r="F54" s="10"/>
      <c r="G54" s="4"/>
      <c r="H54" s="4"/>
      <c r="I54" s="4"/>
      <c r="K54" s="4"/>
      <c r="L54" s="4"/>
    </row>
    <row r="55" spans="2:18" x14ac:dyDescent="0.2">
      <c r="B55" s="11" t="s">
        <v>57</v>
      </c>
      <c r="D55" s="6">
        <f>+D52+D53</f>
        <v>857426</v>
      </c>
      <c r="E55" s="11"/>
      <c r="F55" s="4"/>
      <c r="G55" s="6">
        <f>SUM(G52:G53)</f>
        <v>440400.96542849822</v>
      </c>
      <c r="H55" s="46"/>
      <c r="I55" s="6">
        <f>+D55-G55</f>
        <v>417025.03457150178</v>
      </c>
      <c r="K55" s="4"/>
      <c r="L55" s="4"/>
      <c r="O55" s="41"/>
      <c r="Q55" s="34"/>
    </row>
    <row r="56" spans="2:18" x14ac:dyDescent="0.2">
      <c r="B56" s="4" t="s">
        <v>102</v>
      </c>
      <c r="C56" s="6"/>
      <c r="D56" s="108">
        <v>-94000</v>
      </c>
      <c r="E56" s="11"/>
      <c r="F56" s="4"/>
      <c r="G56" s="108">
        <f>D56</f>
        <v>-94000</v>
      </c>
      <c r="H56" s="46"/>
      <c r="I56" s="109" t="s">
        <v>98</v>
      </c>
      <c r="K56" s="4"/>
      <c r="L56" s="4"/>
      <c r="O56" s="41"/>
      <c r="Q56" s="34"/>
    </row>
    <row r="57" spans="2:18" ht="15" x14ac:dyDescent="0.35">
      <c r="B57" s="11" t="s">
        <v>96</v>
      </c>
      <c r="C57" s="6"/>
      <c r="D57" s="108">
        <f>-((G55+G56)/('DWR Billing Determinants'!B17*'Rate Increase Model'!F18*10))*('DWR Billing Determinants'!B17-'DWR Billing Determinants'!B16)*'Rate Increase Model'!F18*10</f>
        <v>-87696.04356287577</v>
      </c>
      <c r="E57" s="114"/>
      <c r="F57" s="10"/>
      <c r="G57" s="108">
        <f>D57</f>
        <v>-87696.04356287577</v>
      </c>
      <c r="H57" s="114"/>
      <c r="I57" s="109" t="s">
        <v>98</v>
      </c>
      <c r="K57" s="114"/>
      <c r="O57" s="41"/>
      <c r="Q57" s="34"/>
    </row>
    <row r="58" spans="2:18" x14ac:dyDescent="0.2">
      <c r="B58" s="11" t="s">
        <v>86</v>
      </c>
      <c r="C58" s="60" t="s">
        <v>1</v>
      </c>
      <c r="D58" s="60">
        <f>+G19</f>
        <v>22553.557265542859</v>
      </c>
      <c r="E58" s="110"/>
      <c r="F58" s="4"/>
      <c r="G58" s="48">
        <f>+G18</f>
        <v>6766.0671796628576</v>
      </c>
      <c r="H58" s="115"/>
      <c r="I58" s="60">
        <f>+G17</f>
        <v>15787.490085879999</v>
      </c>
      <c r="K58" s="110"/>
      <c r="L58" s="4"/>
      <c r="O58" s="41"/>
      <c r="Q58" s="34"/>
    </row>
    <row r="59" spans="2:18" x14ac:dyDescent="0.2">
      <c r="B59" s="11" t="s">
        <v>82</v>
      </c>
      <c r="C59" s="12" t="s">
        <v>1</v>
      </c>
      <c r="D59" s="16">
        <f>(D55+D57+D56)/(D58*10)</f>
        <v>2.9961125355134062</v>
      </c>
      <c r="E59" s="113"/>
      <c r="G59" s="16">
        <f>(G55+G57+G56)/(G58*10)</f>
        <v>3.8235641916655236</v>
      </c>
      <c r="H59" s="111"/>
      <c r="I59" s="41">
        <f>+I55/(I58*10)</f>
        <v>2.6414903971624994</v>
      </c>
      <c r="K59" s="111"/>
      <c r="L59" s="4"/>
      <c r="M59" s="4"/>
      <c r="O59" s="41"/>
      <c r="Q59" s="34"/>
    </row>
    <row r="60" spans="2:18" ht="13.5" thickBot="1" x14ac:dyDescent="0.25">
      <c r="B60" s="11" t="s">
        <v>83</v>
      </c>
      <c r="C60" t="s">
        <v>1</v>
      </c>
      <c r="D60" s="118">
        <f>+G60*C12</f>
        <v>-0.19800000000000001</v>
      </c>
      <c r="E60" s="118"/>
      <c r="F60" s="119"/>
      <c r="G60" s="118">
        <v>-0.66</v>
      </c>
      <c r="H60" s="119"/>
      <c r="I60" s="118">
        <v>0</v>
      </c>
      <c r="K60" s="66"/>
      <c r="L60" s="4"/>
      <c r="Q60" s="34"/>
    </row>
    <row r="61" spans="2:18" ht="13.5" thickBot="1" x14ac:dyDescent="0.25">
      <c r="B61" s="85" t="s">
        <v>84</v>
      </c>
      <c r="C61" s="86" t="s">
        <v>1</v>
      </c>
      <c r="D61" s="86">
        <f>+D59+D60</f>
        <v>2.7981125355134062</v>
      </c>
      <c r="E61" s="86" t="s">
        <v>1</v>
      </c>
      <c r="F61" s="87"/>
      <c r="G61" s="86">
        <f>+G59+G60</f>
        <v>3.1635641916655235</v>
      </c>
      <c r="H61" s="87"/>
      <c r="I61" s="88">
        <f>+I59-I60</f>
        <v>2.6414903971624994</v>
      </c>
      <c r="K61" s="116"/>
      <c r="L61" s="4"/>
    </row>
    <row r="62" spans="2:18" x14ac:dyDescent="0.2">
      <c r="C62" s="2"/>
      <c r="D62" s="13"/>
      <c r="E62" s="11"/>
      <c r="F62" s="4"/>
      <c r="G62" s="89" t="s">
        <v>1</v>
      </c>
      <c r="H62" s="4"/>
      <c r="I62" s="15" t="s">
        <v>1</v>
      </c>
      <c r="K62" s="4"/>
      <c r="L62" s="4"/>
      <c r="Q62" s="35"/>
    </row>
    <row r="63" spans="2:18" x14ac:dyDescent="0.2">
      <c r="C63" s="2"/>
      <c r="K63" s="4"/>
      <c r="L63" s="4"/>
      <c r="Q63" s="30"/>
      <c r="R63" s="39"/>
    </row>
    <row r="64" spans="2:18" x14ac:dyDescent="0.2">
      <c r="C64" s="54"/>
      <c r="D64" s="30"/>
      <c r="F64" s="4"/>
      <c r="G64" s="5"/>
      <c r="H64" s="4"/>
      <c r="I64" s="6"/>
      <c r="K64" s="4"/>
      <c r="L64" s="4"/>
      <c r="Q64" s="30"/>
      <c r="R64" s="39"/>
    </row>
    <row r="65" spans="2:18" x14ac:dyDescent="0.2">
      <c r="B65" s="11"/>
      <c r="C65" s="40"/>
      <c r="D65" s="40"/>
      <c r="E65" s="10"/>
      <c r="F65" s="10"/>
      <c r="G65" s="48"/>
      <c r="H65" s="4"/>
      <c r="I65" s="48"/>
      <c r="K65" s="4"/>
      <c r="L65" s="4"/>
      <c r="Q65" s="30"/>
      <c r="R65" s="39"/>
    </row>
    <row r="66" spans="2:18" x14ac:dyDescent="0.2">
      <c r="B66" s="4"/>
      <c r="C66" s="12"/>
      <c r="D66" s="16"/>
      <c r="E66" s="11"/>
      <c r="F66" s="4"/>
      <c r="G66" s="16"/>
      <c r="H66" s="4"/>
      <c r="I66" s="16"/>
      <c r="J66" s="4"/>
      <c r="K66" s="4"/>
      <c r="L66" s="4"/>
      <c r="Q66" s="30"/>
      <c r="R66" s="39"/>
    </row>
    <row r="67" spans="2:18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Q67" s="30"/>
      <c r="R67" s="39"/>
    </row>
    <row r="68" spans="2:18" x14ac:dyDescent="0.2">
      <c r="B68" s="22"/>
      <c r="C68" s="125"/>
      <c r="D68" s="126"/>
      <c r="E68" s="21"/>
      <c r="F68" s="22"/>
      <c r="G68" s="21"/>
      <c r="H68" s="22"/>
      <c r="I68" s="126"/>
      <c r="J68" s="4"/>
      <c r="K68" s="4"/>
      <c r="L68" s="4"/>
      <c r="Q68" s="30"/>
      <c r="R68" s="39"/>
    </row>
    <row r="69" spans="2:18" x14ac:dyDescent="0.2">
      <c r="G69" s="41" t="s">
        <v>1</v>
      </c>
      <c r="J69" s="41" t="s">
        <v>1</v>
      </c>
      <c r="K69" s="4"/>
      <c r="L69" s="4"/>
      <c r="Q69" s="30"/>
      <c r="R69" s="39"/>
    </row>
    <row r="70" spans="2:18" x14ac:dyDescent="0.2">
      <c r="K70" s="4"/>
      <c r="L70" s="4"/>
    </row>
    <row r="71" spans="2:18" x14ac:dyDescent="0.2">
      <c r="K71" s="4"/>
      <c r="L71" s="4"/>
    </row>
    <row r="72" spans="2:18" x14ac:dyDescent="0.2">
      <c r="K72" s="4"/>
      <c r="L72" s="4"/>
    </row>
    <row r="73" spans="2:18" x14ac:dyDescent="0.2">
      <c r="K73" s="4"/>
      <c r="L73" s="4"/>
    </row>
    <row r="74" spans="2:18" x14ac:dyDescent="0.2">
      <c r="K74" s="4"/>
      <c r="L74" s="4"/>
    </row>
    <row r="75" spans="2:18" x14ac:dyDescent="0.2">
      <c r="B75" s="21"/>
      <c r="C75" s="21"/>
      <c r="D75" s="22"/>
      <c r="E75" s="21"/>
      <c r="F75" s="4"/>
      <c r="G75" s="4"/>
      <c r="H75" s="4"/>
      <c r="I75" s="21"/>
      <c r="J75" s="22"/>
      <c r="K75" s="4"/>
      <c r="L75" s="4"/>
    </row>
    <row r="76" spans="2:18" x14ac:dyDescent="0.2">
      <c r="B76" s="21"/>
      <c r="C76" s="21"/>
      <c r="D76" s="22"/>
      <c r="E76" s="21"/>
      <c r="F76" s="4"/>
      <c r="G76" s="4"/>
      <c r="H76" s="4"/>
      <c r="I76" s="21" t="s">
        <v>1</v>
      </c>
      <c r="J76" s="22"/>
      <c r="K76" s="4"/>
      <c r="L76" s="4"/>
    </row>
    <row r="77" spans="2:18" x14ac:dyDescent="0.2">
      <c r="B77" s="11"/>
      <c r="C77" s="11"/>
      <c r="D77" s="4"/>
      <c r="F77" s="4"/>
      <c r="G77" s="4"/>
      <c r="H77" s="4"/>
      <c r="I77" s="11" t="s">
        <v>1</v>
      </c>
      <c r="J77" s="4"/>
      <c r="K77" s="4"/>
      <c r="L77" s="4"/>
    </row>
    <row r="78" spans="2:18" x14ac:dyDescent="0.2">
      <c r="B78" s="4"/>
      <c r="C78" s="4"/>
      <c r="D78" s="4"/>
      <c r="E78" s="10"/>
      <c r="F78" s="4"/>
      <c r="G78" s="4"/>
      <c r="H78" s="4"/>
      <c r="I78" s="4"/>
      <c r="J78" s="4"/>
      <c r="K78" s="4"/>
      <c r="L78" s="4"/>
    </row>
    <row r="79" spans="2:18" x14ac:dyDescent="0.2">
      <c r="B79" s="45"/>
      <c r="C79" s="38"/>
      <c r="D79" s="37"/>
      <c r="E79" s="10"/>
      <c r="F79" s="4"/>
      <c r="G79" s="4"/>
      <c r="H79" s="4"/>
      <c r="I79" s="38"/>
      <c r="J79" s="37"/>
      <c r="K79" s="4"/>
      <c r="L79" s="4"/>
      <c r="M79" s="4"/>
      <c r="N79" s="4"/>
    </row>
    <row r="80" spans="2:18" x14ac:dyDescent="0.2">
      <c r="B80" s="61"/>
      <c r="C80" s="38"/>
      <c r="D80" s="37"/>
      <c r="E80" s="10"/>
      <c r="F80" s="4"/>
      <c r="G80" s="63"/>
      <c r="H80" s="4"/>
      <c r="I80" s="38"/>
      <c r="J80" s="66"/>
      <c r="K80" s="4"/>
      <c r="L80" s="4"/>
      <c r="M80" s="4"/>
      <c r="N80" s="4"/>
    </row>
    <row r="81" spans="2:14" x14ac:dyDescent="0.2">
      <c r="B81" s="11"/>
      <c r="C81" s="60"/>
      <c r="D81" s="15"/>
      <c r="E81" s="10"/>
      <c r="F81" s="4"/>
      <c r="G81" s="23"/>
      <c r="H81" s="4"/>
      <c r="I81" s="23"/>
      <c r="J81" s="4"/>
      <c r="K81" s="4"/>
      <c r="L81" s="4"/>
      <c r="M81" s="4"/>
      <c r="N81" s="4"/>
    </row>
    <row r="82" spans="2:14" x14ac:dyDescent="0.2">
      <c r="B82" s="11"/>
      <c r="C82" s="60"/>
      <c r="D82" s="15"/>
      <c r="E82" s="15"/>
      <c r="F82" s="4"/>
      <c r="G82" s="48"/>
      <c r="H82" s="46"/>
      <c r="I82" s="64"/>
      <c r="J82" s="4"/>
      <c r="K82" s="4"/>
      <c r="L82" s="4"/>
      <c r="M82" s="4"/>
      <c r="N82" s="4"/>
    </row>
    <row r="83" spans="2:14" x14ac:dyDescent="0.2">
      <c r="B83" s="11"/>
      <c r="C83" s="60"/>
      <c r="D83" s="15"/>
      <c r="E83" s="15"/>
      <c r="F83" s="4"/>
      <c r="G83" s="48"/>
      <c r="H83" s="4"/>
      <c r="I83" s="48"/>
      <c r="J83" s="4"/>
      <c r="K83" s="4"/>
      <c r="L83" s="4"/>
      <c r="M83" s="4"/>
      <c r="N83" s="4"/>
    </row>
    <row r="84" spans="2:14" x14ac:dyDescent="0.2">
      <c r="B84" s="11"/>
      <c r="C84" s="60"/>
      <c r="D84" s="15"/>
      <c r="E84" s="15"/>
      <c r="F84" s="4"/>
      <c r="G84" s="64"/>
      <c r="H84" s="4"/>
      <c r="I84" s="48"/>
      <c r="J84" s="4"/>
      <c r="K84" s="4"/>
      <c r="L84" s="4"/>
      <c r="M84" s="4"/>
      <c r="N84" s="4"/>
    </row>
    <row r="85" spans="2:14" x14ac:dyDescent="0.2">
      <c r="B85" s="11"/>
      <c r="C85" s="60"/>
      <c r="D85" s="15"/>
      <c r="E85" s="15"/>
      <c r="F85" s="4"/>
      <c r="G85" s="64"/>
      <c r="H85" s="4"/>
      <c r="I85" s="48"/>
      <c r="J85" s="4"/>
      <c r="K85" s="4"/>
      <c r="L85" s="4"/>
      <c r="M85" s="4"/>
      <c r="N85" s="4"/>
    </row>
    <row r="86" spans="2:14" x14ac:dyDescent="0.2">
      <c r="B86" s="11"/>
      <c r="C86" s="60"/>
      <c r="D86" s="15"/>
      <c r="E86" s="15"/>
      <c r="F86" s="4"/>
      <c r="G86" s="64"/>
      <c r="H86" s="4"/>
      <c r="I86" s="48"/>
      <c r="J86" s="4"/>
      <c r="K86" s="4"/>
      <c r="L86" s="4"/>
      <c r="M86" s="4"/>
      <c r="N86" s="4"/>
    </row>
    <row r="87" spans="2:14" x14ac:dyDescent="0.2">
      <c r="B87" s="11"/>
      <c r="C87" s="60"/>
      <c r="D87" s="15"/>
      <c r="E87" s="10"/>
      <c r="F87" s="4"/>
      <c r="G87" s="4"/>
      <c r="H87" s="4"/>
      <c r="I87" s="4"/>
      <c r="J87" s="4"/>
      <c r="K87" s="4"/>
      <c r="L87" s="4"/>
      <c r="M87" s="4"/>
      <c r="N87" s="4"/>
    </row>
    <row r="88" spans="2:14" x14ac:dyDescent="0.2">
      <c r="B88" s="11"/>
      <c r="C88" s="60"/>
      <c r="D88" s="15"/>
      <c r="E88" s="15"/>
      <c r="F88" s="4"/>
      <c r="G88" s="48"/>
      <c r="H88" s="4"/>
      <c r="I88" s="23"/>
      <c r="J88" s="4"/>
      <c r="K88" s="4"/>
      <c r="L88" s="4"/>
      <c r="M88" s="4"/>
      <c r="N88" s="4"/>
    </row>
    <row r="89" spans="2:14" x14ac:dyDescent="0.2">
      <c r="B89" s="11"/>
      <c r="C89" s="60"/>
      <c r="D89" s="15"/>
      <c r="E89" s="15"/>
      <c r="F89" s="4"/>
      <c r="G89" s="48"/>
      <c r="H89" s="4"/>
      <c r="I89" s="4"/>
      <c r="J89" s="4"/>
      <c r="K89" s="4"/>
      <c r="L89" s="4"/>
      <c r="M89" s="4"/>
      <c r="N89" s="4"/>
    </row>
    <row r="90" spans="2:14" x14ac:dyDescent="0.2">
      <c r="B90" s="11"/>
      <c r="C90" s="60"/>
      <c r="D90" s="15"/>
      <c r="E90" s="10"/>
      <c r="F90" s="10"/>
      <c r="G90" s="64"/>
      <c r="H90" s="4"/>
      <c r="I90" s="48"/>
      <c r="J90" s="4"/>
      <c r="K90" s="4"/>
      <c r="L90" s="4"/>
      <c r="M90" s="4"/>
      <c r="N90" s="4"/>
    </row>
    <row r="91" spans="2:14" x14ac:dyDescent="0.2">
      <c r="B91" s="11"/>
      <c r="C91" s="60"/>
      <c r="D91" s="15"/>
      <c r="E91" s="10"/>
      <c r="F91" s="10"/>
      <c r="G91" s="48"/>
      <c r="H91" s="4"/>
      <c r="I91" s="48"/>
      <c r="J91" s="4"/>
      <c r="K91" s="4"/>
      <c r="L91" s="4"/>
      <c r="M91" s="4"/>
      <c r="N91" s="4"/>
    </row>
    <row r="92" spans="2:14" ht="15.75" x14ac:dyDescent="0.25">
      <c r="B92" s="11"/>
      <c r="C92" s="128"/>
      <c r="D92" s="129"/>
      <c r="E92" s="129"/>
      <c r="F92" s="10"/>
      <c r="G92" s="4"/>
      <c r="H92" s="4"/>
      <c r="I92" s="4"/>
    </row>
    <row r="93" spans="2:14" x14ac:dyDescent="0.2">
      <c r="B93" s="4"/>
      <c r="C93" s="4"/>
      <c r="D93" s="4"/>
      <c r="E93" s="10"/>
      <c r="F93" s="10"/>
      <c r="G93" s="4"/>
      <c r="H93" s="4"/>
      <c r="I93" s="4"/>
    </row>
    <row r="94" spans="2:14" ht="15" x14ac:dyDescent="0.2">
      <c r="B94" s="62"/>
      <c r="C94" s="65"/>
      <c r="D94" s="19"/>
      <c r="E94" s="10"/>
      <c r="F94" s="10"/>
      <c r="G94" s="5"/>
      <c r="H94" s="4"/>
      <c r="I94" s="20"/>
    </row>
    <row r="95" spans="2:14" x14ac:dyDescent="0.2">
      <c r="B95" s="11"/>
      <c r="C95" s="6"/>
      <c r="D95" s="16"/>
      <c r="E95" s="10"/>
      <c r="F95" s="10"/>
      <c r="G95" s="5"/>
      <c r="H95" s="4"/>
      <c r="I95" s="20"/>
    </row>
    <row r="96" spans="2:14" x14ac:dyDescent="0.2">
      <c r="B96" s="11"/>
      <c r="C96" s="6"/>
      <c r="D96" s="16"/>
      <c r="E96" s="10"/>
      <c r="F96" s="10"/>
      <c r="G96" s="25"/>
      <c r="H96" s="4"/>
      <c r="I96" s="20"/>
    </row>
    <row r="97" spans="2:12" x14ac:dyDescent="0.2">
      <c r="B97" s="11"/>
      <c r="C97" s="6"/>
      <c r="D97" s="16"/>
      <c r="E97" s="10"/>
      <c r="F97" s="10"/>
      <c r="G97" s="30"/>
      <c r="H97" s="4"/>
      <c r="I97" s="20"/>
    </row>
    <row r="98" spans="2:12" x14ac:dyDescent="0.2">
      <c r="B98" s="11"/>
      <c r="C98" s="6"/>
      <c r="D98" s="16"/>
      <c r="E98" s="10"/>
      <c r="F98" s="10"/>
      <c r="H98" s="4"/>
      <c r="I98" s="4"/>
    </row>
    <row r="99" spans="2:12" x14ac:dyDescent="0.2">
      <c r="B99" s="11"/>
      <c r="C99" s="11"/>
      <c r="D99" s="13"/>
      <c r="E99" s="10"/>
      <c r="F99" s="10"/>
    </row>
    <row r="100" spans="2:12" x14ac:dyDescent="0.2">
      <c r="B100" s="11"/>
      <c r="C100" s="6"/>
      <c r="D100" s="16"/>
      <c r="E100" s="10"/>
      <c r="F100" s="10"/>
    </row>
    <row r="101" spans="2:12" x14ac:dyDescent="0.2">
      <c r="B101" s="11"/>
      <c r="C101" s="6"/>
      <c r="D101" s="17"/>
      <c r="E101" s="10"/>
      <c r="F101" s="10"/>
    </row>
    <row r="102" spans="2:12" x14ac:dyDescent="0.2">
      <c r="B102" s="11"/>
      <c r="C102" s="6"/>
      <c r="D102" s="17"/>
      <c r="E102" s="10"/>
      <c r="F102" s="10"/>
    </row>
    <row r="103" spans="2:12" x14ac:dyDescent="0.2">
      <c r="B103" s="11"/>
      <c r="C103" s="6"/>
      <c r="D103" s="17"/>
      <c r="E103" s="10"/>
      <c r="F103" s="10"/>
    </row>
    <row r="104" spans="2:12" x14ac:dyDescent="0.2">
      <c r="B104" s="11"/>
      <c r="C104" s="4"/>
      <c r="D104" s="68"/>
      <c r="E104" s="10"/>
      <c r="F104" s="10"/>
    </row>
    <row r="105" spans="2:12" x14ac:dyDescent="0.2">
      <c r="B105" s="11"/>
      <c r="C105" s="20"/>
      <c r="D105" s="17"/>
      <c r="E105" s="10"/>
      <c r="F105" s="10"/>
      <c r="G105" s="4"/>
      <c r="H105" s="4"/>
      <c r="I105" s="4"/>
    </row>
    <row r="106" spans="2:12" x14ac:dyDescent="0.2">
      <c r="B106" s="11"/>
      <c r="C106" s="5"/>
      <c r="D106" s="17"/>
      <c r="E106" s="10"/>
      <c r="F106" s="10"/>
      <c r="G106" s="4"/>
      <c r="H106" s="4"/>
      <c r="I106" s="4"/>
    </row>
    <row r="107" spans="2:12" x14ac:dyDescent="0.2">
      <c r="B107" s="11"/>
      <c r="C107" s="48"/>
      <c r="D107" s="17"/>
      <c r="E107" s="10"/>
      <c r="F107" s="10"/>
      <c r="G107" s="4"/>
      <c r="H107" s="4"/>
      <c r="I107" s="4"/>
    </row>
    <row r="108" spans="2:12" ht="15" x14ac:dyDescent="0.2">
      <c r="B108" s="11"/>
      <c r="C108" s="20"/>
      <c r="D108" s="17"/>
      <c r="E108" s="26"/>
      <c r="F108" s="26"/>
      <c r="G108" s="4"/>
      <c r="H108" s="4"/>
      <c r="I108" s="4"/>
    </row>
    <row r="109" spans="2:12" ht="15" x14ac:dyDescent="0.2">
      <c r="B109" s="11"/>
      <c r="C109" s="8"/>
      <c r="D109" s="17"/>
      <c r="E109" s="26"/>
      <c r="F109" s="7"/>
    </row>
    <row r="110" spans="2:12" ht="15" x14ac:dyDescent="0.2">
      <c r="B110" s="11"/>
      <c r="C110" s="8"/>
      <c r="D110" s="69"/>
      <c r="E110" s="7"/>
      <c r="F110" s="7"/>
    </row>
    <row r="111" spans="2:12" ht="15" x14ac:dyDescent="0.2">
      <c r="B111" s="11"/>
      <c r="C111" s="8"/>
      <c r="D111" s="67"/>
      <c r="E111" s="70"/>
      <c r="F111" s="7"/>
      <c r="G111" s="30"/>
      <c r="J111" s="40"/>
      <c r="K111" s="30"/>
      <c r="L111" s="30"/>
    </row>
  </sheetData>
  <mergeCells count="3">
    <mergeCell ref="B2:F2"/>
    <mergeCell ref="B3:F3"/>
    <mergeCell ref="C92:E92"/>
  </mergeCells>
  <printOptions horizontalCentered="1"/>
  <pageMargins left="0" right="0" top="0.47" bottom="0.5" header="0" footer="0.25"/>
  <pageSetup scale="68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G8" sqref="G8"/>
    </sheetView>
  </sheetViews>
  <sheetFormatPr defaultRowHeight="12.75" x14ac:dyDescent="0.2"/>
  <cols>
    <col min="2" max="2" width="11.28515625" bestFit="1" customWidth="1"/>
    <col min="4" max="15" width="10.28515625" bestFit="1" customWidth="1"/>
  </cols>
  <sheetData>
    <row r="1" spans="1:15" x14ac:dyDescent="0.2">
      <c r="A1" t="s">
        <v>16</v>
      </c>
    </row>
    <row r="3" spans="1:15" x14ac:dyDescent="0.2">
      <c r="A3" t="s">
        <v>17</v>
      </c>
    </row>
    <row r="4" spans="1:15" x14ac:dyDescent="0.2">
      <c r="A4" t="s">
        <v>18</v>
      </c>
    </row>
    <row r="5" spans="1:15" x14ac:dyDescent="0.2">
      <c r="A5" t="s">
        <v>19</v>
      </c>
    </row>
    <row r="7" spans="1:15" x14ac:dyDescent="0.2">
      <c r="A7" s="49" t="s">
        <v>20</v>
      </c>
      <c r="B7" s="49"/>
      <c r="C7" s="49"/>
    </row>
    <row r="8" spans="1:15" x14ac:dyDescent="0.2">
      <c r="A8" s="49" t="s">
        <v>21</v>
      </c>
      <c r="B8" s="49"/>
      <c r="C8" s="49"/>
    </row>
    <row r="9" spans="1:15" x14ac:dyDescent="0.2">
      <c r="B9" s="50" t="s">
        <v>22</v>
      </c>
      <c r="D9" s="51">
        <v>37073</v>
      </c>
      <c r="E9" s="51">
        <v>37104</v>
      </c>
      <c r="F9" s="51">
        <v>37135</v>
      </c>
      <c r="G9" s="51">
        <v>37165</v>
      </c>
      <c r="H9" s="51">
        <v>37196</v>
      </c>
      <c r="I9" s="51">
        <v>37226</v>
      </c>
      <c r="J9" s="51">
        <v>37257</v>
      </c>
      <c r="K9" s="51">
        <v>37288</v>
      </c>
      <c r="L9" s="51">
        <v>37316</v>
      </c>
      <c r="M9" s="51">
        <v>37347</v>
      </c>
      <c r="N9" s="51">
        <v>37377</v>
      </c>
      <c r="O9" s="51">
        <v>37408</v>
      </c>
    </row>
    <row r="10" spans="1:15" x14ac:dyDescent="0.2">
      <c r="A10" t="s">
        <v>23</v>
      </c>
      <c r="D10" s="52">
        <v>360</v>
      </c>
      <c r="E10" s="52">
        <v>500</v>
      </c>
      <c r="F10" s="52">
        <v>285</v>
      </c>
      <c r="G10" s="52">
        <v>212</v>
      </c>
      <c r="H10" s="52">
        <v>192</v>
      </c>
      <c r="I10" s="52">
        <v>164</v>
      </c>
      <c r="J10" s="52">
        <v>159</v>
      </c>
      <c r="K10" s="52">
        <v>120</v>
      </c>
      <c r="L10" s="52">
        <v>110</v>
      </c>
      <c r="M10" s="52">
        <v>100.51943652876484</v>
      </c>
      <c r="N10" s="52">
        <v>100.94706290344911</v>
      </c>
      <c r="O10" s="52">
        <v>143.53350056778604</v>
      </c>
    </row>
    <row r="11" spans="1:15" x14ac:dyDescent="0.2">
      <c r="A11" t="s">
        <v>24</v>
      </c>
      <c r="D11" s="52">
        <v>160</v>
      </c>
      <c r="E11" s="52">
        <v>195</v>
      </c>
      <c r="F11" s="52">
        <v>155</v>
      </c>
      <c r="G11" s="52">
        <v>119</v>
      </c>
      <c r="H11" s="52">
        <v>111</v>
      </c>
      <c r="I11" s="52">
        <v>120</v>
      </c>
      <c r="J11" s="52">
        <v>71</v>
      </c>
      <c r="K11" s="52">
        <v>74</v>
      </c>
      <c r="L11" s="52">
        <v>72</v>
      </c>
      <c r="M11" s="52">
        <v>62.975386326204998</v>
      </c>
      <c r="N11" s="52">
        <v>68.647633139097891</v>
      </c>
      <c r="O11" s="52">
        <v>78.376980534697111</v>
      </c>
    </row>
    <row r="12" spans="1:15" x14ac:dyDescent="0.2">
      <c r="A12" s="49" t="s">
        <v>25</v>
      </c>
      <c r="B12" s="49"/>
      <c r="C12" s="49"/>
    </row>
    <row r="13" spans="1:15" x14ac:dyDescent="0.2">
      <c r="A13" t="s">
        <v>26</v>
      </c>
      <c r="D13" s="53">
        <v>4.7664002115683141E-2</v>
      </c>
      <c r="E13" s="53">
        <v>4.7664002115683141E-2</v>
      </c>
      <c r="F13" s="53">
        <v>4.7664002115683141E-2</v>
      </c>
      <c r="G13" s="53">
        <v>4.7664002115683141E-2</v>
      </c>
      <c r="H13" s="53">
        <v>4.7664002115683141E-2</v>
      </c>
      <c r="I13" s="53">
        <v>4.7664002115683141E-2</v>
      </c>
      <c r="J13" s="53">
        <v>4.7664002115683141E-2</v>
      </c>
      <c r="K13" s="53">
        <v>4.7664002115683141E-2</v>
      </c>
      <c r="L13" s="53">
        <v>4.7664002115683141E-2</v>
      </c>
      <c r="M13" s="53">
        <v>4.7664002115683141E-2</v>
      </c>
      <c r="N13" s="53">
        <v>4.7664002115683141E-2</v>
      </c>
      <c r="O13" s="53">
        <v>4.7664002115683141E-2</v>
      </c>
    </row>
    <row r="14" spans="1:15" x14ac:dyDescent="0.2">
      <c r="A14" t="s">
        <v>27</v>
      </c>
      <c r="D14" s="53">
        <v>1.6365469868283286E-2</v>
      </c>
      <c r="E14" s="53">
        <v>1.6365469868283286E-2</v>
      </c>
      <c r="F14" s="53">
        <v>1.6365469868283286E-2</v>
      </c>
      <c r="G14" s="53">
        <v>1.6365469868283286E-2</v>
      </c>
      <c r="H14" s="53">
        <v>1.6365469868283286E-2</v>
      </c>
      <c r="I14" s="53">
        <v>1.6365469868283286E-2</v>
      </c>
      <c r="J14" s="53">
        <v>1.6365469868283286E-2</v>
      </c>
      <c r="K14" s="53">
        <v>1.6365469868283286E-2</v>
      </c>
      <c r="L14" s="53">
        <v>1.6365469868283286E-2</v>
      </c>
      <c r="M14" s="53">
        <v>1.6365469868283286E-2</v>
      </c>
      <c r="N14" s="53">
        <v>1.6365469868283286E-2</v>
      </c>
      <c r="O14" s="53">
        <v>1.6365469868283286E-2</v>
      </c>
    </row>
    <row r="15" spans="1:15" x14ac:dyDescent="0.2">
      <c r="A15" t="s">
        <v>28</v>
      </c>
      <c r="D15" s="25">
        <v>1.1399999999999999</v>
      </c>
      <c r="E15" s="25">
        <v>1.1399999999999999</v>
      </c>
      <c r="F15" s="25">
        <v>1.1399999999999999</v>
      </c>
      <c r="G15" s="25">
        <v>1.1399999999999999</v>
      </c>
      <c r="H15" s="25">
        <v>1.1399999999999999</v>
      </c>
      <c r="I15" s="25">
        <v>1.1399999999999999</v>
      </c>
      <c r="J15" s="25">
        <v>1.1399999999999999</v>
      </c>
      <c r="K15" s="25">
        <v>1.1399999999999999</v>
      </c>
      <c r="L15" s="25">
        <v>1.1399999999999999</v>
      </c>
      <c r="M15" s="25">
        <v>1.1399999999999999</v>
      </c>
      <c r="N15" s="25">
        <v>1.1399999999999999</v>
      </c>
      <c r="O15" s="25">
        <v>1.1399999999999999</v>
      </c>
    </row>
    <row r="16" spans="1:15" x14ac:dyDescent="0.2">
      <c r="A16" s="49" t="s">
        <v>29</v>
      </c>
      <c r="B16" s="49"/>
      <c r="C16" s="49"/>
    </row>
    <row r="17" spans="1:15" x14ac:dyDescent="0.2">
      <c r="A17" t="s">
        <v>30</v>
      </c>
      <c r="B17" s="40">
        <f>SUM(D17:O17)</f>
        <v>17476449.372505985</v>
      </c>
      <c r="D17" s="34">
        <v>1578120.2550362707</v>
      </c>
      <c r="E17" s="34">
        <v>1671462.7916871579</v>
      </c>
      <c r="F17" s="34">
        <v>1568277.9904825741</v>
      </c>
      <c r="G17" s="34">
        <v>1474650.8591078741</v>
      </c>
      <c r="H17" s="34">
        <v>1375096.8152313707</v>
      </c>
      <c r="I17" s="34">
        <v>1454844.2338988804</v>
      </c>
      <c r="J17" s="34">
        <v>1445449.1769859567</v>
      </c>
      <c r="K17" s="34">
        <v>1291595.6101929462</v>
      </c>
      <c r="L17" s="34">
        <v>1414096.3614227141</v>
      </c>
      <c r="M17" s="34">
        <v>1356654.2394226724</v>
      </c>
      <c r="N17" s="34">
        <v>1410521.7010019061</v>
      </c>
      <c r="O17" s="34">
        <v>1435679.3380356645</v>
      </c>
    </row>
    <row r="18" spans="1:15" x14ac:dyDescent="0.2">
      <c r="A18" t="s">
        <v>31</v>
      </c>
      <c r="B18" s="40">
        <f>SUM(D18:O18)</f>
        <v>12949102.726382367</v>
      </c>
      <c r="D18" s="40">
        <v>1171603.3097500009</v>
      </c>
      <c r="E18" s="40">
        <v>1250233.1941093937</v>
      </c>
      <c r="F18" s="40">
        <v>1164339.9894604546</v>
      </c>
      <c r="G18" s="40">
        <v>1100105.5892286457</v>
      </c>
      <c r="H18" s="40">
        <v>1021946.0801033814</v>
      </c>
      <c r="I18" s="40">
        <v>1073268.7553472945</v>
      </c>
      <c r="J18" s="40">
        <v>1067756.6966413085</v>
      </c>
      <c r="K18" s="40">
        <v>953831.07031071791</v>
      </c>
      <c r="L18" s="40">
        <v>1046699.3739927959</v>
      </c>
      <c r="M18" s="40">
        <v>996409.41440265044</v>
      </c>
      <c r="N18" s="40">
        <v>1038782.8916843431</v>
      </c>
      <c r="O18" s="40">
        <v>1064126.3613513811</v>
      </c>
    </row>
    <row r="19" spans="1:15" x14ac:dyDescent="0.2">
      <c r="A19" t="s">
        <v>32</v>
      </c>
      <c r="B19" s="40">
        <f>SUM(D19:O19)</f>
        <v>4527346.6461236207</v>
      </c>
      <c r="D19" s="40">
        <v>406516.94528626994</v>
      </c>
      <c r="E19" s="40">
        <v>421229.59757776419</v>
      </c>
      <c r="F19" s="40">
        <v>403938.0010221196</v>
      </c>
      <c r="G19" s="40">
        <v>374545.26987922896</v>
      </c>
      <c r="H19" s="40">
        <v>353150.73512798909</v>
      </c>
      <c r="I19" s="40">
        <v>381575.47855158569</v>
      </c>
      <c r="J19" s="40">
        <v>377692.48034464836</v>
      </c>
      <c r="K19" s="40">
        <v>337764.53988222801</v>
      </c>
      <c r="L19" s="40">
        <v>367396.9874299182</v>
      </c>
      <c r="M19" s="40">
        <v>360244.82502002199</v>
      </c>
      <c r="N19" s="40">
        <v>371738.80931756267</v>
      </c>
      <c r="O19" s="40">
        <v>371552.97668428364</v>
      </c>
    </row>
    <row r="20" spans="1:15" x14ac:dyDescent="0.2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x14ac:dyDescent="0.2">
      <c r="A21" s="49" t="s">
        <v>33</v>
      </c>
      <c r="B21" s="49"/>
      <c r="C21" s="49"/>
    </row>
    <row r="22" spans="1:15" x14ac:dyDescent="0.2">
      <c r="D22" s="51">
        <v>37073</v>
      </c>
      <c r="E22" s="51">
        <v>37104</v>
      </c>
      <c r="F22" s="51">
        <v>37135</v>
      </c>
      <c r="G22" s="51">
        <v>37165</v>
      </c>
      <c r="H22" s="51">
        <v>37196</v>
      </c>
      <c r="I22" s="51">
        <v>37226</v>
      </c>
      <c r="J22" s="51">
        <v>37257</v>
      </c>
      <c r="K22" s="51">
        <v>37288</v>
      </c>
      <c r="L22" s="51">
        <v>37316</v>
      </c>
      <c r="M22" s="51">
        <v>37347</v>
      </c>
      <c r="N22" s="51">
        <v>37377</v>
      </c>
      <c r="O22" s="51">
        <v>37408</v>
      </c>
    </row>
    <row r="23" spans="1:15" x14ac:dyDescent="0.2">
      <c r="A23" t="s">
        <v>34</v>
      </c>
      <c r="B23" s="54">
        <f>SUM(D23:O23)</f>
        <v>207215.61982028023</v>
      </c>
      <c r="D23" s="54">
        <f>(D10*D18+D11*D19)*(D13+D14)/1000</f>
        <v>31170.82132473998</v>
      </c>
      <c r="E23" s="54">
        <f t="shared" ref="E23:O23" si="0">(E10*E18+E11*E19)*(E13+E14)/1000</f>
        <v>45285.251837626114</v>
      </c>
      <c r="F23" s="54">
        <f t="shared" si="0"/>
        <v>25256.251522020739</v>
      </c>
      <c r="G23" s="54">
        <f t="shared" si="0"/>
        <v>17786.956528913786</v>
      </c>
      <c r="H23" s="54">
        <f t="shared" si="0"/>
        <v>15073.394353990338</v>
      </c>
      <c r="I23" s="54">
        <f t="shared" si="0"/>
        <v>14202.06556873376</v>
      </c>
      <c r="J23" s="54">
        <f t="shared" si="0"/>
        <v>12587.520657736219</v>
      </c>
      <c r="K23" s="54">
        <f t="shared" si="0"/>
        <v>8929.1854758915342</v>
      </c>
      <c r="L23" s="54">
        <f t="shared" si="0"/>
        <v>9065.9018348796708</v>
      </c>
      <c r="M23" s="54">
        <f t="shared" si="0"/>
        <v>7865.7049625141308</v>
      </c>
      <c r="N23" s="54">
        <f t="shared" si="0"/>
        <v>8348.2311530342649</v>
      </c>
      <c r="O23" s="54">
        <f t="shared" si="0"/>
        <v>11644.334600199682</v>
      </c>
    </row>
    <row r="24" spans="1:15" ht="13.5" thickBot="1" x14ac:dyDescent="0.25">
      <c r="A24" t="s">
        <v>35</v>
      </c>
      <c r="B24" s="54">
        <f>SUM(D24:O24)</f>
        <v>19923.15228465683</v>
      </c>
      <c r="D24" s="54">
        <f>D15*D17/1000</f>
        <v>1799.0570907413485</v>
      </c>
      <c r="E24" s="54">
        <f t="shared" ref="E24:O24" si="1">E15*E17/1000</f>
        <v>1905.4675825233599</v>
      </c>
      <c r="F24" s="54">
        <f t="shared" si="1"/>
        <v>1787.8369091501343</v>
      </c>
      <c r="G24" s="54">
        <f t="shared" si="1"/>
        <v>1681.1019793829764</v>
      </c>
      <c r="H24" s="54">
        <f t="shared" si="1"/>
        <v>1567.6103693637624</v>
      </c>
      <c r="I24" s="54">
        <f t="shared" si="1"/>
        <v>1658.5224266447237</v>
      </c>
      <c r="J24" s="54">
        <f t="shared" si="1"/>
        <v>1647.8120617639904</v>
      </c>
      <c r="K24" s="54">
        <f t="shared" si="1"/>
        <v>1472.4189956199584</v>
      </c>
      <c r="L24" s="54">
        <f t="shared" si="1"/>
        <v>1612.0698520218939</v>
      </c>
      <c r="M24" s="54">
        <f t="shared" si="1"/>
        <v>1546.5858329418465</v>
      </c>
      <c r="N24" s="54">
        <f t="shared" si="1"/>
        <v>1607.9947391421726</v>
      </c>
      <c r="O24" s="54">
        <f t="shared" si="1"/>
        <v>1636.6744453606575</v>
      </c>
    </row>
    <row r="25" spans="1:15" ht="13.5" thickBot="1" x14ac:dyDescent="0.25">
      <c r="A25" t="s">
        <v>22</v>
      </c>
      <c r="B25" s="71">
        <f>SUM(D25:O25)</f>
        <v>227138.77210493703</v>
      </c>
      <c r="D25" s="30">
        <f>SUM(D23:D24)</f>
        <v>32969.878415481326</v>
      </c>
      <c r="E25" s="30">
        <f t="shared" ref="E25:O25" si="2">SUM(E23:E24)</f>
        <v>47190.719420149471</v>
      </c>
      <c r="F25" s="30">
        <f t="shared" si="2"/>
        <v>27044.088431170872</v>
      </c>
      <c r="G25" s="30">
        <f t="shared" si="2"/>
        <v>19468.058508296763</v>
      </c>
      <c r="H25" s="30">
        <f t="shared" si="2"/>
        <v>16641.004723354101</v>
      </c>
      <c r="I25" s="30">
        <f t="shared" si="2"/>
        <v>15860.587995378484</v>
      </c>
      <c r="J25" s="30">
        <f t="shared" si="2"/>
        <v>14235.332719500209</v>
      </c>
      <c r="K25" s="30">
        <f t="shared" si="2"/>
        <v>10401.604471511493</v>
      </c>
      <c r="L25" s="30">
        <f t="shared" si="2"/>
        <v>10677.971686901565</v>
      </c>
      <c r="M25" s="30">
        <f t="shared" si="2"/>
        <v>9412.2907954559778</v>
      </c>
      <c r="N25" s="30">
        <f t="shared" si="2"/>
        <v>9956.2258921764369</v>
      </c>
      <c r="O25" s="30">
        <f t="shared" si="2"/>
        <v>13281.009045560339</v>
      </c>
    </row>
    <row r="28" spans="1:15" x14ac:dyDescent="0.2">
      <c r="A28" t="s">
        <v>36</v>
      </c>
    </row>
    <row r="29" spans="1:15" x14ac:dyDescent="0.2">
      <c r="A29" t="s">
        <v>37</v>
      </c>
    </row>
  </sheetData>
  <pageMargins left="0.75" right="0.75" top="1" bottom="1" header="0.5" footer="0.5"/>
  <pageSetup scale="79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workbookViewId="0">
      <selection activeCell="C22" sqref="C22"/>
    </sheetView>
  </sheetViews>
  <sheetFormatPr defaultRowHeight="12.75" x14ac:dyDescent="0.2"/>
  <cols>
    <col min="2" max="3" width="10.28515625" bestFit="1" customWidth="1"/>
    <col min="4" max="4" width="10.28515625" customWidth="1"/>
  </cols>
  <sheetData>
    <row r="1" spans="1:20" x14ac:dyDescent="0.2">
      <c r="A1" t="s">
        <v>38</v>
      </c>
    </row>
    <row r="3" spans="1:20" x14ac:dyDescent="0.2">
      <c r="A3" t="s">
        <v>39</v>
      </c>
    </row>
    <row r="4" spans="1:20" x14ac:dyDescent="0.2">
      <c r="A4" t="s">
        <v>40</v>
      </c>
    </row>
    <row r="5" spans="1:20" x14ac:dyDescent="0.2">
      <c r="A5" t="s">
        <v>41</v>
      </c>
    </row>
    <row r="6" spans="1:20" x14ac:dyDescent="0.2">
      <c r="A6" t="s">
        <v>42</v>
      </c>
    </row>
    <row r="7" spans="1:20" x14ac:dyDescent="0.2">
      <c r="A7" t="s">
        <v>43</v>
      </c>
      <c r="E7" s="3"/>
    </row>
    <row r="9" spans="1:20" ht="25.5" x14ac:dyDescent="0.2">
      <c r="B9" s="55" t="s">
        <v>44</v>
      </c>
      <c r="C9" s="55">
        <v>2002</v>
      </c>
      <c r="D9" s="55">
        <v>2003</v>
      </c>
      <c r="F9" s="56">
        <v>36982</v>
      </c>
      <c r="G9" s="56">
        <v>37012</v>
      </c>
      <c r="H9" s="56">
        <v>37043</v>
      </c>
      <c r="I9" s="56">
        <v>37073</v>
      </c>
      <c r="J9" s="56">
        <v>37104</v>
      </c>
      <c r="K9" s="56">
        <v>37135</v>
      </c>
      <c r="L9" s="56">
        <v>37165</v>
      </c>
      <c r="M9" s="56">
        <v>37196</v>
      </c>
      <c r="N9" s="56">
        <v>37226</v>
      </c>
      <c r="O9" s="56">
        <v>37257</v>
      </c>
      <c r="P9" s="56">
        <v>37288</v>
      </c>
      <c r="Q9" s="56">
        <v>37316</v>
      </c>
      <c r="R9" s="56">
        <v>37347</v>
      </c>
      <c r="S9" s="56">
        <v>37377</v>
      </c>
      <c r="T9" s="56">
        <v>37408</v>
      </c>
    </row>
    <row r="11" spans="1:20" x14ac:dyDescent="0.2">
      <c r="A11" s="49" t="s">
        <v>45</v>
      </c>
    </row>
    <row r="12" spans="1:20" x14ac:dyDescent="0.2">
      <c r="A12" t="s">
        <v>46</v>
      </c>
      <c r="B12" s="40">
        <v>2440791.8493150682</v>
      </c>
      <c r="C12" s="40">
        <v>3444816</v>
      </c>
      <c r="D12" s="40">
        <v>3691464</v>
      </c>
      <c r="F12" s="34">
        <v>150998.38356164383</v>
      </c>
      <c r="G12" s="34">
        <v>156031.66301369862</v>
      </c>
      <c r="H12" s="34">
        <v>272918.38356164383</v>
      </c>
      <c r="I12" s="34">
        <v>313511.66301369865</v>
      </c>
      <c r="J12" s="34">
        <v>313511.66301369865</v>
      </c>
      <c r="K12" s="34">
        <v>303398.38356164383</v>
      </c>
      <c r="L12" s="34">
        <v>313511.66301369865</v>
      </c>
      <c r="M12" s="34">
        <v>303398.38356164383</v>
      </c>
      <c r="N12" s="34">
        <v>313511.66301369865</v>
      </c>
      <c r="O12" s="34">
        <v>311793.25312500005</v>
      </c>
      <c r="P12" s="34">
        <v>281619.71250000002</v>
      </c>
      <c r="Q12" s="34">
        <v>311793.25312500005</v>
      </c>
      <c r="R12" s="34">
        <v>301735.40625</v>
      </c>
      <c r="S12" s="34">
        <v>281620.171875</v>
      </c>
      <c r="T12" s="34">
        <v>150870</v>
      </c>
    </row>
    <row r="13" spans="1:20" x14ac:dyDescent="0.2">
      <c r="A13" t="s">
        <v>47</v>
      </c>
      <c r="B13" s="40">
        <v>68400</v>
      </c>
      <c r="C13" s="40">
        <v>0</v>
      </c>
      <c r="D13" s="40">
        <v>0</v>
      </c>
      <c r="F13" s="34">
        <v>68400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</row>
    <row r="14" spans="1:20" x14ac:dyDescent="0.2">
      <c r="A14" t="s">
        <v>48</v>
      </c>
      <c r="B14" s="40">
        <v>519612</v>
      </c>
      <c r="C14" s="40">
        <v>649540.80000000005</v>
      </c>
      <c r="D14" s="40">
        <v>649540.80000000005</v>
      </c>
      <c r="F14" s="34">
        <v>58824</v>
      </c>
      <c r="G14" s="34">
        <v>50980.800000000003</v>
      </c>
      <c r="H14" s="34">
        <v>49020</v>
      </c>
      <c r="I14" s="34">
        <v>60784.800000000003</v>
      </c>
      <c r="J14" s="34">
        <v>60784.800000000003</v>
      </c>
      <c r="K14" s="34">
        <v>58824</v>
      </c>
      <c r="L14" s="34">
        <v>60784.800000000003</v>
      </c>
      <c r="M14" s="34">
        <v>58824</v>
      </c>
      <c r="N14" s="34">
        <v>60784.800000000003</v>
      </c>
      <c r="O14" s="34">
        <v>60784.800000000003</v>
      </c>
      <c r="P14" s="34">
        <v>54902.400000000001</v>
      </c>
      <c r="Q14" s="34">
        <v>60784.800000000003</v>
      </c>
      <c r="R14" s="34">
        <v>58824</v>
      </c>
      <c r="S14" s="34">
        <v>25593.599999999999</v>
      </c>
      <c r="T14" s="34">
        <v>27864</v>
      </c>
    </row>
    <row r="15" spans="1:20" x14ac:dyDescent="0.2">
      <c r="A15" t="s">
        <v>49</v>
      </c>
      <c r="B15" s="40">
        <v>1345570.6833333336</v>
      </c>
      <c r="C15" s="40">
        <v>1781033.3333333335</v>
      </c>
      <c r="D15" s="40">
        <v>1781033.3333333335</v>
      </c>
      <c r="F15" s="34">
        <v>145154.21666666667</v>
      </c>
      <c r="G15" s="34">
        <v>152990.76333333334</v>
      </c>
      <c r="H15" s="34">
        <v>152990.76333333334</v>
      </c>
      <c r="I15" s="34">
        <v>152990.76333333334</v>
      </c>
      <c r="J15" s="34">
        <v>152990.76333333334</v>
      </c>
      <c r="K15" s="34">
        <v>152990.76333333334</v>
      </c>
      <c r="L15" s="34">
        <v>145154.21666666667</v>
      </c>
      <c r="M15" s="34">
        <v>145154.21666666667</v>
      </c>
      <c r="N15" s="34">
        <v>145154.21666666667</v>
      </c>
      <c r="O15" s="34">
        <v>145154.21666666667</v>
      </c>
      <c r="P15" s="34">
        <v>145154.21666666667</v>
      </c>
      <c r="Q15" s="34">
        <v>145154.21666666667</v>
      </c>
      <c r="R15" s="34">
        <v>145154.21666666667</v>
      </c>
      <c r="S15" s="34">
        <v>152990.76333333334</v>
      </c>
      <c r="T15" s="34">
        <v>152990.76333333334</v>
      </c>
    </row>
    <row r="16" spans="1:20" x14ac:dyDescent="0.2">
      <c r="A16" t="s">
        <v>50</v>
      </c>
      <c r="B16" s="40">
        <v>795800</v>
      </c>
      <c r="C16" s="40">
        <v>1056520</v>
      </c>
      <c r="D16" s="40">
        <v>1056520</v>
      </c>
      <c r="F16" s="34">
        <v>86800</v>
      </c>
      <c r="G16" s="34">
        <v>89720</v>
      </c>
      <c r="H16" s="34">
        <v>86960</v>
      </c>
      <c r="I16" s="34">
        <v>89560</v>
      </c>
      <c r="J16" s="34">
        <v>89880</v>
      </c>
      <c r="K16" s="34">
        <v>86640</v>
      </c>
      <c r="L16" s="34">
        <v>89880</v>
      </c>
      <c r="M16" s="34">
        <v>86800</v>
      </c>
      <c r="N16" s="34">
        <v>89560</v>
      </c>
      <c r="O16" s="34">
        <v>89720</v>
      </c>
      <c r="P16" s="34">
        <v>81120</v>
      </c>
      <c r="Q16" s="34">
        <v>89720</v>
      </c>
      <c r="R16" s="34">
        <v>86960</v>
      </c>
      <c r="S16" s="34">
        <v>89720</v>
      </c>
      <c r="T16" s="34">
        <v>86800</v>
      </c>
    </row>
    <row r="17" spans="1:20" x14ac:dyDescent="0.2">
      <c r="A17" t="s">
        <v>51</v>
      </c>
      <c r="B17" s="40">
        <v>1212000</v>
      </c>
      <c r="C17" s="40"/>
      <c r="D17" s="40"/>
      <c r="F17" s="34">
        <v>132000</v>
      </c>
      <c r="G17" s="34">
        <v>136800</v>
      </c>
      <c r="H17" s="34">
        <v>134400</v>
      </c>
      <c r="I17" s="34">
        <v>134400</v>
      </c>
      <c r="J17" s="34">
        <v>139200</v>
      </c>
      <c r="K17" s="34">
        <v>129600</v>
      </c>
      <c r="L17" s="34">
        <v>139200</v>
      </c>
      <c r="M17" s="34">
        <v>132000</v>
      </c>
      <c r="N17" s="34">
        <v>134400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9" spans="1:20" ht="13.5" thickBot="1" x14ac:dyDescent="0.25">
      <c r="A19" t="s">
        <v>22</v>
      </c>
      <c r="B19" s="40">
        <v>6382174.5326484023</v>
      </c>
      <c r="C19" s="40">
        <v>6931910.1333333328</v>
      </c>
      <c r="D19" s="40">
        <v>7178558.1333333338</v>
      </c>
      <c r="F19" s="40">
        <v>642176.60022831056</v>
      </c>
      <c r="G19" s="40">
        <v>586523.226347032</v>
      </c>
      <c r="H19" s="40">
        <v>696289.1468949772</v>
      </c>
      <c r="I19" s="40">
        <v>751247.226347032</v>
      </c>
      <c r="J19" s="40">
        <v>756367.226347032</v>
      </c>
      <c r="K19" s="40">
        <v>731453.1468949772</v>
      </c>
      <c r="L19" s="40">
        <v>748530.67968036537</v>
      </c>
      <c r="M19" s="40">
        <v>726176.60022831056</v>
      </c>
      <c r="N19" s="40">
        <v>743410.67968036537</v>
      </c>
      <c r="O19" s="40">
        <v>607452.26979166665</v>
      </c>
      <c r="P19" s="40">
        <v>562796.32916666672</v>
      </c>
      <c r="Q19" s="40">
        <v>607452.26979166665</v>
      </c>
      <c r="R19" s="40">
        <v>592673.62291666667</v>
      </c>
      <c r="S19" s="40">
        <v>549924.53520833328</v>
      </c>
      <c r="T19" s="40">
        <v>418524.76333333331</v>
      </c>
    </row>
    <row r="20" spans="1:20" ht="13.5" thickBot="1" x14ac:dyDescent="0.25">
      <c r="A20" t="s">
        <v>52</v>
      </c>
      <c r="B20" s="57">
        <v>6987209.3493864154</v>
      </c>
      <c r="F20" s="34"/>
      <c r="G20" s="34"/>
      <c r="H20" s="34"/>
      <c r="I20" s="34">
        <v>616847.226347032</v>
      </c>
      <c r="J20" s="34">
        <v>617167.226347032</v>
      </c>
      <c r="K20" s="34">
        <v>601853.1468949772</v>
      </c>
      <c r="L20" s="34">
        <v>609330.67968036537</v>
      </c>
      <c r="M20" s="34">
        <v>594176.60022831056</v>
      </c>
      <c r="N20" s="34">
        <v>609010.67968036537</v>
      </c>
      <c r="O20" s="34">
        <v>607452.26979166665</v>
      </c>
      <c r="P20" s="34">
        <v>562796.32916666672</v>
      </c>
      <c r="Q20" s="34">
        <v>607452.26979166665</v>
      </c>
      <c r="R20" s="34">
        <v>592673.62291666667</v>
      </c>
      <c r="S20" s="34">
        <v>549924.53520833328</v>
      </c>
      <c r="T20" s="34">
        <v>418524.76333333331</v>
      </c>
    </row>
    <row r="21" spans="1:20" x14ac:dyDescent="0.2">
      <c r="F21" s="41"/>
    </row>
    <row r="22" spans="1:20" x14ac:dyDescent="0.2">
      <c r="A22" s="49" t="s">
        <v>53</v>
      </c>
      <c r="F22" s="58"/>
    </row>
    <row r="23" spans="1:20" x14ac:dyDescent="0.2">
      <c r="A23" t="s">
        <v>46</v>
      </c>
      <c r="B23" s="40">
        <v>106906.683</v>
      </c>
      <c r="C23" s="40">
        <v>152605.34880000001</v>
      </c>
      <c r="D23" s="40">
        <v>163531.85519999996</v>
      </c>
      <c r="F23" s="54">
        <v>6613.7291999999998</v>
      </c>
      <c r="G23" s="54">
        <v>6834.1868399999994</v>
      </c>
      <c r="H23" s="54">
        <v>11953.825199999999</v>
      </c>
      <c r="I23" s="54">
        <v>13731.81084</v>
      </c>
      <c r="J23" s="54">
        <v>13731.81084</v>
      </c>
      <c r="K23" s="54">
        <v>13288.849199999999</v>
      </c>
      <c r="L23" s="54">
        <v>13731.81084</v>
      </c>
      <c r="M23" s="54">
        <v>13288.849199999999</v>
      </c>
      <c r="N23" s="54">
        <v>13731.81084</v>
      </c>
      <c r="O23" s="54">
        <v>13812.4411134375</v>
      </c>
      <c r="P23" s="54">
        <v>12475.753263750001</v>
      </c>
      <c r="Q23" s="54">
        <v>13812.4411134375</v>
      </c>
      <c r="R23" s="54">
        <v>13366.878496874999</v>
      </c>
      <c r="S23" s="54">
        <v>12475.773614062498</v>
      </c>
      <c r="T23" s="54">
        <v>6683.5410000000002</v>
      </c>
    </row>
    <row r="24" spans="1:20" x14ac:dyDescent="0.2">
      <c r="A24" t="s">
        <v>47</v>
      </c>
      <c r="B24" s="40">
        <v>6786</v>
      </c>
      <c r="C24" s="40">
        <v>0</v>
      </c>
      <c r="D24" s="40">
        <v>0</v>
      </c>
      <c r="F24" s="54">
        <v>6786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</row>
    <row r="25" spans="1:20" x14ac:dyDescent="0.2">
      <c r="A25" t="s">
        <v>48</v>
      </c>
      <c r="B25" s="40">
        <v>35117.194383972965</v>
      </c>
      <c r="C25" s="40">
        <v>46572.343378278951</v>
      </c>
      <c r="D25" s="40">
        <v>46786.709456887424</v>
      </c>
      <c r="F25" s="54">
        <v>3913.4559679969393</v>
      </c>
      <c r="G25" s="54">
        <v>3830.3285055973474</v>
      </c>
      <c r="H25" s="54">
        <v>3809.5466399974493</v>
      </c>
      <c r="I25" s="54">
        <v>3934.2378335968374</v>
      </c>
      <c r="J25" s="54">
        <v>3934.2378335968374</v>
      </c>
      <c r="K25" s="54">
        <v>3913.4559679969393</v>
      </c>
      <c r="L25" s="54">
        <v>3934.2378335968374</v>
      </c>
      <c r="M25" s="54">
        <v>3913.4559679969393</v>
      </c>
      <c r="N25" s="54">
        <v>3934.2378335968374</v>
      </c>
      <c r="O25" s="54">
        <v>3953.7099221173012</v>
      </c>
      <c r="P25" s="54">
        <v>3889.479929654337</v>
      </c>
      <c r="Q25" s="54">
        <v>3953.7099221173012</v>
      </c>
      <c r="R25" s="54">
        <v>3932.2999246296467</v>
      </c>
      <c r="S25" s="54">
        <v>3569.4568093125481</v>
      </c>
      <c r="T25" s="54">
        <v>3594.2473327193065</v>
      </c>
    </row>
    <row r="26" spans="1:20" x14ac:dyDescent="0.2">
      <c r="A26" t="s">
        <v>49</v>
      </c>
      <c r="B26" s="40">
        <v>151224.97840705572</v>
      </c>
      <c r="C26" s="40">
        <v>175348.53879366166</v>
      </c>
      <c r="D26" s="40">
        <v>144998.03881199498</v>
      </c>
      <c r="F26" s="54">
        <v>13952.336097324202</v>
      </c>
      <c r="G26" s="54">
        <v>18867.374562791778</v>
      </c>
      <c r="H26" s="54">
        <v>18940.810129191777</v>
      </c>
      <c r="I26" s="54">
        <v>19087.681261991776</v>
      </c>
      <c r="J26" s="54">
        <v>19087.681261991776</v>
      </c>
      <c r="K26" s="54">
        <v>18500.19673079178</v>
      </c>
      <c r="L26" s="54">
        <v>14216.516771657538</v>
      </c>
      <c r="M26" s="54">
        <v>14286.190795657534</v>
      </c>
      <c r="N26" s="54">
        <v>14286.190795657534</v>
      </c>
      <c r="O26" s="54">
        <v>14784.069758824204</v>
      </c>
      <c r="P26" s="54">
        <v>14393.604915990869</v>
      </c>
      <c r="Q26" s="54">
        <v>13781.054121657537</v>
      </c>
      <c r="R26" s="54">
        <v>12868.034098824202</v>
      </c>
      <c r="S26" s="54">
        <v>17019.246141725111</v>
      </c>
      <c r="T26" s="54">
        <v>16889.20399289178</v>
      </c>
    </row>
    <row r="27" spans="1:20" x14ac:dyDescent="0.2">
      <c r="A27" t="s">
        <v>50</v>
      </c>
      <c r="B27" s="40">
        <v>52554.7</v>
      </c>
      <c r="C27" s="40">
        <v>55981.74</v>
      </c>
      <c r="D27" s="40">
        <v>50185.86</v>
      </c>
      <c r="F27" s="54">
        <v>5730.2</v>
      </c>
      <c r="G27" s="54">
        <v>5926.78</v>
      </c>
      <c r="H27" s="54">
        <v>5763.64</v>
      </c>
      <c r="I27" s="54">
        <v>5893.34</v>
      </c>
      <c r="J27" s="54">
        <v>5960.22</v>
      </c>
      <c r="K27" s="54">
        <v>5696.76</v>
      </c>
      <c r="L27" s="54">
        <v>5960.22</v>
      </c>
      <c r="M27" s="54">
        <v>5730.2</v>
      </c>
      <c r="N27" s="54">
        <v>5893.34</v>
      </c>
      <c r="O27" s="54">
        <v>4753.1400000000003</v>
      </c>
      <c r="P27" s="54">
        <v>4303.4399999999996</v>
      </c>
      <c r="Q27" s="54">
        <v>4753.1400000000003</v>
      </c>
      <c r="R27" s="54">
        <v>4616.5200000000004</v>
      </c>
      <c r="S27" s="54">
        <v>4753.1400000000003</v>
      </c>
      <c r="T27" s="54">
        <v>4596.6000000000004</v>
      </c>
    </row>
    <row r="28" spans="1:20" x14ac:dyDescent="0.2">
      <c r="A28" t="s">
        <v>51</v>
      </c>
      <c r="B28" s="40">
        <v>252205.2</v>
      </c>
      <c r="C28" s="40"/>
      <c r="D28" s="40"/>
      <c r="F28" s="54">
        <v>22542</v>
      </c>
      <c r="G28" s="54">
        <v>25338.16</v>
      </c>
      <c r="H28" s="54">
        <v>30886.959999999999</v>
      </c>
      <c r="I28" s="54">
        <v>35278.400000000001</v>
      </c>
      <c r="J28" s="54">
        <v>51071.4</v>
      </c>
      <c r="K28" s="54">
        <v>27682.799999999999</v>
      </c>
      <c r="L28" s="54">
        <v>22617.48</v>
      </c>
      <c r="M28" s="54">
        <v>19339.2</v>
      </c>
      <c r="N28" s="54">
        <v>17448.8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</row>
    <row r="30" spans="1:20" ht="13.5" thickBot="1" x14ac:dyDescent="0.25">
      <c r="A30" t="s">
        <v>54</v>
      </c>
      <c r="B30" s="40">
        <v>604794.75579102873</v>
      </c>
      <c r="C30" s="40">
        <v>430507.97097194061</v>
      </c>
      <c r="D30" s="40">
        <v>405502.46346888237</v>
      </c>
      <c r="F30" s="30">
        <v>59537.721265321139</v>
      </c>
      <c r="G30" s="30">
        <v>60796.829908389118</v>
      </c>
      <c r="H30" s="30">
        <v>71354.781969189236</v>
      </c>
      <c r="I30" s="30">
        <v>77925.469935588626</v>
      </c>
      <c r="J30" s="30">
        <v>93785.349935588616</v>
      </c>
      <c r="K30" s="30">
        <v>69082.061898788714</v>
      </c>
      <c r="L30" s="30">
        <v>60460.265445254379</v>
      </c>
      <c r="M30" s="30">
        <v>56557.895963654475</v>
      </c>
      <c r="N30" s="30">
        <v>55294.379469254374</v>
      </c>
      <c r="O30" s="30">
        <v>37303.360794379005</v>
      </c>
      <c r="P30" s="30">
        <v>35062.278109395207</v>
      </c>
      <c r="Q30" s="30">
        <v>36300.345157212338</v>
      </c>
      <c r="R30" s="30">
        <v>34783.732520328849</v>
      </c>
      <c r="S30" s="30">
        <v>37817.616565100157</v>
      </c>
      <c r="T30" s="30">
        <v>31763.592325611084</v>
      </c>
    </row>
    <row r="31" spans="1:20" ht="13.5" thickBot="1" x14ac:dyDescent="0.25">
      <c r="A31" t="s">
        <v>55</v>
      </c>
      <c r="B31" s="59">
        <v>452698.26812015584</v>
      </c>
      <c r="I31" s="30">
        <v>42647.069935588625</v>
      </c>
      <c r="J31" s="30">
        <v>42713.949935588615</v>
      </c>
      <c r="K31" s="30">
        <v>41399.261898788711</v>
      </c>
      <c r="L31" s="30">
        <v>37842.785445254383</v>
      </c>
      <c r="M31" s="30">
        <v>37218.695963654478</v>
      </c>
      <c r="N31" s="30">
        <v>37845.579469254371</v>
      </c>
      <c r="O31" s="30">
        <v>37303.360794379005</v>
      </c>
      <c r="P31" s="30">
        <v>35062.278109395207</v>
      </c>
      <c r="Q31" s="30">
        <v>36300.345157212338</v>
      </c>
      <c r="R31" s="30">
        <v>34783.732520328849</v>
      </c>
      <c r="S31" s="30">
        <v>37817.616565100157</v>
      </c>
      <c r="T31" s="30">
        <v>31763.592325611084</v>
      </c>
    </row>
    <row r="32" spans="1:20" x14ac:dyDescent="0.2">
      <c r="B32">
        <v>24000</v>
      </c>
      <c r="I32">
        <f>+B32/12</f>
        <v>2000</v>
      </c>
      <c r="J32">
        <f>+I32</f>
        <v>2000</v>
      </c>
      <c r="K32">
        <f t="shared" ref="K32:T32" si="0">+J32</f>
        <v>2000</v>
      </c>
      <c r="L32">
        <f t="shared" si="0"/>
        <v>2000</v>
      </c>
      <c r="M32">
        <f t="shared" si="0"/>
        <v>2000</v>
      </c>
      <c r="N32">
        <f t="shared" si="0"/>
        <v>2000</v>
      </c>
      <c r="O32">
        <f t="shared" si="0"/>
        <v>2000</v>
      </c>
      <c r="P32">
        <f t="shared" si="0"/>
        <v>2000</v>
      </c>
      <c r="Q32">
        <f t="shared" si="0"/>
        <v>2000</v>
      </c>
      <c r="R32">
        <f t="shared" si="0"/>
        <v>2000</v>
      </c>
      <c r="S32">
        <f t="shared" si="0"/>
        <v>2000</v>
      </c>
      <c r="T32">
        <f t="shared" si="0"/>
        <v>2000</v>
      </c>
    </row>
    <row r="33" spans="2:20" x14ac:dyDescent="0.2">
      <c r="B33" t="s">
        <v>1</v>
      </c>
      <c r="I33" s="30">
        <f>SUM(I31:I32)</f>
        <v>44647.069935588625</v>
      </c>
      <c r="J33" s="30">
        <f t="shared" ref="J33:T33" si="1">SUM(J31:J32)</f>
        <v>44713.949935588615</v>
      </c>
      <c r="K33" s="30">
        <f t="shared" si="1"/>
        <v>43399.261898788711</v>
      </c>
      <c r="L33" s="30">
        <f t="shared" si="1"/>
        <v>39842.785445254383</v>
      </c>
      <c r="M33" s="30">
        <f t="shared" si="1"/>
        <v>39218.695963654478</v>
      </c>
      <c r="N33" s="30">
        <f t="shared" si="1"/>
        <v>39845.579469254371</v>
      </c>
      <c r="O33" s="30">
        <f t="shared" si="1"/>
        <v>39303.360794379005</v>
      </c>
      <c r="P33" s="30">
        <f t="shared" si="1"/>
        <v>37062.278109395207</v>
      </c>
      <c r="Q33" s="30">
        <f t="shared" si="1"/>
        <v>38300.345157212338</v>
      </c>
      <c r="R33" s="30">
        <f t="shared" si="1"/>
        <v>36783.732520328849</v>
      </c>
      <c r="S33" s="30">
        <f t="shared" si="1"/>
        <v>39817.616565100157</v>
      </c>
      <c r="T33" s="30">
        <f t="shared" si="1"/>
        <v>33763.592325611084</v>
      </c>
    </row>
    <row r="34" spans="2:20" x14ac:dyDescent="0.2">
      <c r="B34" s="30" t="s">
        <v>1</v>
      </c>
      <c r="I34" s="1">
        <f>+I33/1000</f>
        <v>44.647069935588625</v>
      </c>
      <c r="J34" s="1">
        <f t="shared" ref="J34:T34" si="2">+J33/1000</f>
        <v>44.713949935588616</v>
      </c>
      <c r="K34" s="1">
        <f t="shared" si="2"/>
        <v>43.399261898788708</v>
      </c>
      <c r="L34" s="1">
        <f t="shared" si="2"/>
        <v>39.842785445254385</v>
      </c>
      <c r="M34" s="1">
        <f t="shared" si="2"/>
        <v>39.218695963654476</v>
      </c>
      <c r="N34" s="1">
        <f t="shared" si="2"/>
        <v>39.845579469254375</v>
      </c>
      <c r="O34" s="1">
        <f t="shared" si="2"/>
        <v>39.303360794379003</v>
      </c>
      <c r="P34" s="1">
        <f t="shared" si="2"/>
        <v>37.062278109395209</v>
      </c>
      <c r="Q34" s="1">
        <f t="shared" si="2"/>
        <v>38.300345157212341</v>
      </c>
      <c r="R34" s="1">
        <f t="shared" si="2"/>
        <v>36.783732520328847</v>
      </c>
      <c r="S34" s="1">
        <f t="shared" si="2"/>
        <v>39.81761656510016</v>
      </c>
      <c r="T34" s="1">
        <f t="shared" si="2"/>
        <v>33.763592325611086</v>
      </c>
    </row>
    <row r="35" spans="2:20" x14ac:dyDescent="0.2">
      <c r="I35" s="52">
        <f>SUM(I34:T34)/12</f>
        <v>39.724855676679653</v>
      </c>
    </row>
  </sheetData>
  <pageMargins left="0.75" right="0.75" top="1" bottom="1" header="0.5" footer="0.5"/>
  <pageSetup scale="65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17" sqref="A17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44"/>
    </row>
    <row r="2" spans="1:12" ht="15" x14ac:dyDescent="0.2">
      <c r="A2" s="130" t="s">
        <v>74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2" ht="15" x14ac:dyDescent="0.2">
      <c r="A3" s="130" t="s">
        <v>75</v>
      </c>
      <c r="B3" s="130"/>
      <c r="C3" s="130"/>
      <c r="D3" s="130"/>
      <c r="E3" s="130"/>
      <c r="F3" s="130"/>
      <c r="G3" s="130"/>
      <c r="H3" s="130"/>
      <c r="I3" s="130"/>
      <c r="J3" s="130"/>
    </row>
    <row r="4" spans="1:12" x14ac:dyDescent="0.2">
      <c r="E4" s="1"/>
    </row>
    <row r="5" spans="1:12" x14ac:dyDescent="0.2">
      <c r="A5" s="4"/>
      <c r="B5" s="134" t="s">
        <v>95</v>
      </c>
      <c r="C5" s="135"/>
      <c r="D5" s="136"/>
      <c r="E5" s="131" t="s">
        <v>93</v>
      </c>
      <c r="F5" s="132"/>
      <c r="G5" s="133"/>
      <c r="H5" s="131" t="s">
        <v>81</v>
      </c>
      <c r="I5" s="132"/>
      <c r="J5" s="133"/>
    </row>
    <row r="6" spans="1:12" x14ac:dyDescent="0.2">
      <c r="A6" s="101" t="s">
        <v>73</v>
      </c>
      <c r="B6" s="102" t="s">
        <v>63</v>
      </c>
      <c r="C6" s="101" t="s">
        <v>64</v>
      </c>
      <c r="D6" s="103" t="s">
        <v>7</v>
      </c>
      <c r="E6" s="98" t="s">
        <v>92</v>
      </c>
      <c r="F6" s="101" t="s">
        <v>64</v>
      </c>
      <c r="G6" s="104" t="s">
        <v>7</v>
      </c>
      <c r="H6" s="98" t="s">
        <v>94</v>
      </c>
      <c r="I6" s="101" t="s">
        <v>64</v>
      </c>
      <c r="J6" s="104" t="s">
        <v>7</v>
      </c>
      <c r="K6" s="4"/>
    </row>
    <row r="7" spans="1:12" x14ac:dyDescent="0.2">
      <c r="A7" s="91" t="s">
        <v>67</v>
      </c>
      <c r="B7" s="92">
        <v>1096</v>
      </c>
      <c r="C7" s="90">
        <v>6.5</v>
      </c>
      <c r="D7" s="93">
        <f t="shared" ref="D7:D14" si="0">+B7*C7*10</f>
        <v>71240</v>
      </c>
      <c r="E7" s="92">
        <f>+B7*'Rate Increase Model'!$F$12</f>
        <v>562.94007658927285</v>
      </c>
      <c r="F7" s="46">
        <v>6.5</v>
      </c>
      <c r="G7" s="93">
        <f>E7*F7*10</f>
        <v>36591.104978302741</v>
      </c>
      <c r="H7" s="92">
        <f>+B7*'Rate Increase Model'!$F$11</f>
        <v>533.05992341072715</v>
      </c>
      <c r="I7" s="107">
        <v>6.5</v>
      </c>
      <c r="J7" s="93">
        <f t="shared" ref="J7:J14" si="1">+I7*H7*10</f>
        <v>34648.895021697259</v>
      </c>
      <c r="K7" s="30">
        <f>+J7+G7</f>
        <v>71240</v>
      </c>
      <c r="L7" s="30">
        <f>+K7-D7</f>
        <v>0</v>
      </c>
    </row>
    <row r="8" spans="1:12" x14ac:dyDescent="0.2">
      <c r="A8" s="91" t="s">
        <v>68</v>
      </c>
      <c r="B8" s="92">
        <v>1919</v>
      </c>
      <c r="C8" s="90">
        <v>6.5</v>
      </c>
      <c r="D8" s="93">
        <f t="shared" si="0"/>
        <v>124735</v>
      </c>
      <c r="E8" s="92">
        <f>+B8*'Rate Increase Model'!$F$12</f>
        <v>985.6587654879695</v>
      </c>
      <c r="F8" s="46">
        <v>6.5</v>
      </c>
      <c r="G8" s="93">
        <f t="shared" ref="G8:G14" si="2">+F8*E8*10</f>
        <v>64067.819756718018</v>
      </c>
      <c r="H8" s="92">
        <f>+B8*'Rate Increase Model'!$F$11</f>
        <v>933.34123451203038</v>
      </c>
      <c r="I8" s="107">
        <v>6.5</v>
      </c>
      <c r="J8" s="93">
        <f t="shared" si="1"/>
        <v>60667.180243281975</v>
      </c>
      <c r="K8" s="30">
        <f t="shared" ref="K8:K14" si="3">+J8+G8</f>
        <v>124735</v>
      </c>
      <c r="L8" s="30">
        <f t="shared" ref="L8:L15" si="4">+K8-D8</f>
        <v>0</v>
      </c>
    </row>
    <row r="9" spans="1:12" x14ac:dyDescent="0.2">
      <c r="A9" s="91" t="s">
        <v>65</v>
      </c>
      <c r="B9" s="92">
        <v>2443</v>
      </c>
      <c r="C9" s="90">
        <v>6.5</v>
      </c>
      <c r="D9" s="93">
        <f t="shared" si="0"/>
        <v>158795</v>
      </c>
      <c r="E9" s="92">
        <f>+B9*'Rate Increase Model'!$F$12</f>
        <v>1254.801648820797</v>
      </c>
      <c r="F9" s="46">
        <v>6.5</v>
      </c>
      <c r="G9" s="93">
        <f t="shared" si="2"/>
        <v>81562.107173351804</v>
      </c>
      <c r="H9" s="92">
        <f>+B9*'Rate Increase Model'!$F$11</f>
        <v>1188.198351179203</v>
      </c>
      <c r="I9" s="107">
        <v>6.5</v>
      </c>
      <c r="J9" s="93">
        <f t="shared" si="1"/>
        <v>77232.892826648196</v>
      </c>
      <c r="K9" s="30">
        <f t="shared" si="3"/>
        <v>158795</v>
      </c>
      <c r="L9" s="30">
        <f t="shared" si="4"/>
        <v>0</v>
      </c>
    </row>
    <row r="10" spans="1:12" x14ac:dyDescent="0.2">
      <c r="A10" s="91" t="s">
        <v>66</v>
      </c>
      <c r="B10" s="92">
        <v>2348</v>
      </c>
      <c r="C10" s="90">
        <v>6.5</v>
      </c>
      <c r="D10" s="93">
        <f t="shared" si="0"/>
        <v>152620</v>
      </c>
      <c r="E10" s="92">
        <f>+B10*'Rate Increase Model'!$F$12</f>
        <v>1206.0066604303036</v>
      </c>
      <c r="F10" s="46">
        <v>6.5</v>
      </c>
      <c r="G10" s="93">
        <f t="shared" si="2"/>
        <v>78390.432927969727</v>
      </c>
      <c r="H10" s="92">
        <f>+B10*'Rate Increase Model'!$F$11</f>
        <v>1141.9933395696964</v>
      </c>
      <c r="I10" s="107">
        <v>6.5</v>
      </c>
      <c r="J10" s="93">
        <f t="shared" si="1"/>
        <v>74229.567072030273</v>
      </c>
      <c r="K10" s="30">
        <f t="shared" si="3"/>
        <v>152620</v>
      </c>
      <c r="L10" s="30">
        <f t="shared" si="4"/>
        <v>0</v>
      </c>
    </row>
    <row r="11" spans="1:12" x14ac:dyDescent="0.2">
      <c r="A11" s="105" t="s">
        <v>70</v>
      </c>
      <c r="B11" s="92">
        <v>2514</v>
      </c>
      <c r="C11" s="90">
        <v>6.5</v>
      </c>
      <c r="D11" s="93">
        <f t="shared" si="0"/>
        <v>163410</v>
      </c>
      <c r="E11" s="92">
        <f>+B11*'Rate Increase Model'!$F$12</f>
        <v>1291.2694822494816</v>
      </c>
      <c r="F11" s="46">
        <v>6.5</v>
      </c>
      <c r="G11" s="93">
        <f t="shared" si="2"/>
        <v>83932.516346216304</v>
      </c>
      <c r="H11" s="92">
        <f>+B11*'Rate Increase Model'!$F$11</f>
        <v>1222.7305177505182</v>
      </c>
      <c r="I11" s="107">
        <v>6.5</v>
      </c>
      <c r="J11" s="93">
        <f t="shared" si="1"/>
        <v>79477.483653783682</v>
      </c>
      <c r="K11" s="30">
        <f t="shared" si="3"/>
        <v>163410</v>
      </c>
      <c r="L11" s="30">
        <f t="shared" si="4"/>
        <v>0</v>
      </c>
    </row>
    <row r="12" spans="1:12" x14ac:dyDescent="0.2">
      <c r="A12" s="91" t="s">
        <v>69</v>
      </c>
      <c r="B12" s="92">
        <v>2662</v>
      </c>
      <c r="C12" s="90">
        <v>6.5</v>
      </c>
      <c r="D12" s="93">
        <f t="shared" si="0"/>
        <v>173030</v>
      </c>
      <c r="E12" s="92">
        <f>+B12*'Rate Increase Model'!$F$12</f>
        <v>1367.2869378473031</v>
      </c>
      <c r="F12" s="46">
        <v>6.5</v>
      </c>
      <c r="G12" s="93">
        <f t="shared" si="2"/>
        <v>88873.650960074709</v>
      </c>
      <c r="H12" s="92">
        <f>+B12*'Rate Increase Model'!$F$11</f>
        <v>1294.7130621526967</v>
      </c>
      <c r="I12" s="107">
        <v>6.5</v>
      </c>
      <c r="J12" s="93">
        <f t="shared" si="1"/>
        <v>84156.349039925277</v>
      </c>
      <c r="K12" s="30">
        <f t="shared" si="3"/>
        <v>173030</v>
      </c>
      <c r="L12" s="30">
        <f t="shared" si="4"/>
        <v>0</v>
      </c>
    </row>
    <row r="13" spans="1:12" x14ac:dyDescent="0.2">
      <c r="A13" s="91" t="s">
        <v>71</v>
      </c>
      <c r="B13" s="92">
        <v>2994</v>
      </c>
      <c r="C13" s="90">
        <v>6.5</v>
      </c>
      <c r="D13" s="93">
        <f t="shared" si="0"/>
        <v>194610</v>
      </c>
      <c r="E13" s="92">
        <f>+B13*'Rate Increase Model'!$F$12</f>
        <v>1537.8125814856596</v>
      </c>
      <c r="F13" s="46">
        <v>6.5</v>
      </c>
      <c r="G13" s="93">
        <f t="shared" si="2"/>
        <v>99957.817796567862</v>
      </c>
      <c r="H13" s="92">
        <f>+B13*'Rate Increase Model'!$F$11</f>
        <v>1456.1874185143404</v>
      </c>
      <c r="I13" s="107">
        <v>6.5</v>
      </c>
      <c r="J13" s="93">
        <f t="shared" si="1"/>
        <v>94652.182203432138</v>
      </c>
      <c r="K13" s="30">
        <f t="shared" si="3"/>
        <v>194610</v>
      </c>
      <c r="L13" s="30">
        <f t="shared" si="4"/>
        <v>0</v>
      </c>
    </row>
    <row r="14" spans="1:12" x14ac:dyDescent="0.2">
      <c r="A14" s="91" t="s">
        <v>72</v>
      </c>
      <c r="B14" s="92">
        <v>2655</v>
      </c>
      <c r="C14" s="90">
        <v>6.5</v>
      </c>
      <c r="D14" s="93">
        <f t="shared" si="0"/>
        <v>172575</v>
      </c>
      <c r="E14" s="92">
        <f>+B14*'Rate Increase Model'!$F$12</f>
        <v>1363.6915176501088</v>
      </c>
      <c r="F14" s="46">
        <v>6.5</v>
      </c>
      <c r="G14" s="93">
        <f t="shared" si="2"/>
        <v>88639.948647257086</v>
      </c>
      <c r="H14" s="92">
        <f>+B14*'Rate Increase Model'!$F$11</f>
        <v>1291.3084823498909</v>
      </c>
      <c r="I14" s="107">
        <v>6.5</v>
      </c>
      <c r="J14" s="93">
        <f t="shared" si="1"/>
        <v>83935.051352742899</v>
      </c>
      <c r="K14" s="30">
        <f t="shared" si="3"/>
        <v>172575</v>
      </c>
      <c r="L14" s="30">
        <f t="shared" si="4"/>
        <v>0</v>
      </c>
    </row>
    <row r="15" spans="1:12" x14ac:dyDescent="0.2">
      <c r="A15" s="4" t="s">
        <v>88</v>
      </c>
      <c r="B15" s="94">
        <f>SUM(B7:B14)</f>
        <v>18631</v>
      </c>
      <c r="C15" s="95">
        <f>SUM(C7:C14)/8</f>
        <v>6.5</v>
      </c>
      <c r="D15" s="96">
        <f>SUM(D7:D14)</f>
        <v>1211015</v>
      </c>
      <c r="E15" s="106">
        <f>SUM(E7:E14)</f>
        <v>9569.4676705608981</v>
      </c>
      <c r="F15" s="99" t="s">
        <v>1</v>
      </c>
      <c r="G15" s="100">
        <f>SUM(G7:G14)</f>
        <v>622015.39858645818</v>
      </c>
      <c r="H15" s="106">
        <f>SUM(H7:H14)</f>
        <v>9061.5323294391037</v>
      </c>
      <c r="I15" s="99" t="s">
        <v>1</v>
      </c>
      <c r="J15" s="100">
        <f>SUM(J7:J14)</f>
        <v>588999.60141354171</v>
      </c>
      <c r="K15" s="30">
        <f>SUM(K7:K14)</f>
        <v>1211015</v>
      </c>
      <c r="L15" s="30">
        <f t="shared" si="4"/>
        <v>0</v>
      </c>
    </row>
    <row r="16" spans="1:12" x14ac:dyDescent="0.2">
      <c r="A16" s="4" t="s">
        <v>87</v>
      </c>
      <c r="B16" s="48">
        <f>SUM(B10:B14)</f>
        <v>13173</v>
      </c>
      <c r="C16" s="23" t="s">
        <v>1</v>
      </c>
      <c r="D16" s="4"/>
      <c r="E16" s="23">
        <f>SUM(E10:E14)</f>
        <v>6766.0671796628567</v>
      </c>
      <c r="F16" s="4"/>
      <c r="G16" s="4"/>
      <c r="H16" s="23">
        <f>SUM(H10:H14)</f>
        <v>6406.9328203371433</v>
      </c>
      <c r="I16" s="97" t="s">
        <v>1</v>
      </c>
      <c r="J16" s="4"/>
      <c r="K16" s="30"/>
    </row>
    <row r="17" spans="1:7" x14ac:dyDescent="0.2">
      <c r="A17" t="s">
        <v>97</v>
      </c>
      <c r="B17" s="34">
        <f>SUM(B8:B14)+5/53*B7</f>
        <v>17638.396226415094</v>
      </c>
      <c r="G17" s="41"/>
    </row>
    <row r="18" spans="1:7" x14ac:dyDescent="0.2">
      <c r="F18" s="40"/>
    </row>
    <row r="19" spans="1:7" x14ac:dyDescent="0.2">
      <c r="C19" s="40"/>
    </row>
    <row r="20" spans="1:7" x14ac:dyDescent="0.2">
      <c r="C20" s="41"/>
      <c r="D20" s="41"/>
      <c r="F20" s="41"/>
      <c r="G20" s="41"/>
    </row>
    <row r="21" spans="1:7" x14ac:dyDescent="0.2">
      <c r="F21" s="41"/>
      <c r="G21" s="41"/>
    </row>
    <row r="22" spans="1:7" x14ac:dyDescent="0.2">
      <c r="G22" s="41"/>
    </row>
    <row r="23" spans="1:7" x14ac:dyDescent="0.2">
      <c r="C23" s="72"/>
      <c r="D23" s="73"/>
    </row>
    <row r="24" spans="1:7" x14ac:dyDescent="0.2">
      <c r="B24" s="34"/>
      <c r="C24" s="34"/>
      <c r="D24" s="34"/>
      <c r="E24" s="34"/>
    </row>
    <row r="26" spans="1:7" x14ac:dyDescent="0.2">
      <c r="B26" s="40"/>
      <c r="C26" s="34"/>
      <c r="D26" s="34"/>
      <c r="E26" s="34"/>
    </row>
    <row r="27" spans="1:7" x14ac:dyDescent="0.2">
      <c r="D27" s="34"/>
    </row>
    <row r="28" spans="1:7" x14ac:dyDescent="0.2">
      <c r="B28" s="34"/>
      <c r="C28" s="34"/>
      <c r="D28" s="34"/>
      <c r="E28" s="34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Rate Increase Model</vt:lpstr>
      <vt:lpstr>ISO Charges</vt:lpstr>
      <vt:lpstr>SDG&amp;E URG</vt:lpstr>
      <vt:lpstr>DWR Billing Determinants</vt:lpstr>
      <vt:lpstr>'DWR Billing Determinants'!Print_Area</vt:lpstr>
      <vt:lpstr>'ISO Charges'!Print_Area</vt:lpstr>
      <vt:lpstr>'Rate Increase Model'!Print_Area</vt:lpstr>
      <vt:lpstr>'SDG&amp;E URG'!Print_Area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Felienne</cp:lastModifiedBy>
  <cp:lastPrinted>2001-08-16T17:52:01Z</cp:lastPrinted>
  <dcterms:created xsi:type="dcterms:W3CDTF">2001-04-12T22:40:34Z</dcterms:created>
  <dcterms:modified xsi:type="dcterms:W3CDTF">2014-09-04T09:55:10Z</dcterms:modified>
</cp:coreProperties>
</file>