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3980" windowHeight="8640"/>
  </bookViews>
  <sheets>
    <sheet name="Plant-ENA Recon" sheetId="1" r:id="rId1"/>
    <sheet name="Sheet1" sheetId="5" r:id="rId2"/>
  </sheets>
  <definedNames>
    <definedName name="_xlnm.Print_Area" localSheetId="0">'Plant-ENA Recon'!$A$1:$S$61</definedName>
    <definedName name="_xlnm.Print_Area" localSheetId="1">Sheet1!$A$1:$G$37</definedName>
  </definedNames>
  <calcPr calcId="152511" calcMode="manual" iterate="1"/>
</workbook>
</file>

<file path=xl/calcChain.xml><?xml version="1.0" encoding="utf-8"?>
<calcChain xmlns="http://schemas.openxmlformats.org/spreadsheetml/2006/main">
  <c r="H14" i="1" l="1"/>
  <c r="G15" i="1"/>
  <c r="H15" i="1"/>
  <c r="R15" i="1"/>
  <c r="S15" i="1" s="1"/>
  <c r="G16" i="1" s="1"/>
  <c r="C16" i="1"/>
  <c r="D16" i="1"/>
  <c r="H16" i="1" s="1"/>
  <c r="R16" i="1"/>
  <c r="C17" i="1"/>
  <c r="R17" i="1"/>
  <c r="S17" i="1" s="1"/>
  <c r="G18" i="1" s="1"/>
  <c r="C18" i="1"/>
  <c r="H18" i="1" s="1"/>
  <c r="D18" i="1"/>
  <c r="R18" i="1"/>
  <c r="C19" i="1"/>
  <c r="F19" i="1"/>
  <c r="R19" i="1"/>
  <c r="S19" i="1" s="1"/>
  <c r="C20" i="1"/>
  <c r="D20" i="1"/>
  <c r="H20" i="1" s="1"/>
  <c r="F20" i="1"/>
  <c r="R20" i="1"/>
  <c r="S20" i="1" s="1"/>
  <c r="C21" i="1"/>
  <c r="H21" i="1" s="1"/>
  <c r="R21" i="1"/>
  <c r="C22" i="1"/>
  <c r="F22" i="1"/>
  <c r="R22" i="1"/>
  <c r="S22" i="1" s="1"/>
  <c r="G23" i="1" s="1"/>
  <c r="C23" i="1"/>
  <c r="D23" i="1"/>
  <c r="F23" i="1"/>
  <c r="R23" i="1"/>
  <c r="C24" i="1"/>
  <c r="E24" i="1"/>
  <c r="F24" i="1"/>
  <c r="R24" i="1"/>
  <c r="S24" i="1" s="1"/>
  <c r="C25" i="1"/>
  <c r="R25" i="1"/>
  <c r="S25" i="1" s="1"/>
  <c r="C26" i="1"/>
  <c r="R26" i="1"/>
  <c r="S26" i="1" s="1"/>
  <c r="M33" i="1"/>
  <c r="N33" i="1"/>
  <c r="O33" i="1"/>
  <c r="R33" i="1"/>
  <c r="F40" i="1"/>
  <c r="I40" i="1"/>
  <c r="J40" i="1"/>
  <c r="F41" i="1"/>
  <c r="I41" i="1"/>
  <c r="J41" i="1" s="1"/>
  <c r="L41" i="1"/>
  <c r="F42" i="1"/>
  <c r="J42" i="1" s="1"/>
  <c r="I42" i="1"/>
  <c r="L42" i="1"/>
  <c r="M42" i="1"/>
  <c r="N42" i="1"/>
  <c r="O42" i="1" s="1"/>
  <c r="S42" i="1" s="1"/>
  <c r="P42" i="1"/>
  <c r="R42" i="1" s="1"/>
  <c r="Q42" i="1"/>
  <c r="E43" i="1"/>
  <c r="F43" i="1" s="1"/>
  <c r="I43" i="1"/>
  <c r="L43" i="1"/>
  <c r="M43" i="1"/>
  <c r="O43" i="1" s="1"/>
  <c r="N43" i="1"/>
  <c r="P43" i="1"/>
  <c r="R43" i="1" s="1"/>
  <c r="Q43" i="1"/>
  <c r="D44" i="1"/>
  <c r="D53" i="1" s="1"/>
  <c r="I44" i="1"/>
  <c r="L44" i="1"/>
  <c r="M44" i="1"/>
  <c r="N44" i="1"/>
  <c r="O44" i="1" s="1"/>
  <c r="P44" i="1"/>
  <c r="R44" i="1" s="1"/>
  <c r="Q44" i="1"/>
  <c r="D45" i="1"/>
  <c r="F45" i="1" s="1"/>
  <c r="J45" i="1" s="1"/>
  <c r="I45" i="1"/>
  <c r="L45" i="1"/>
  <c r="M45" i="1"/>
  <c r="O45" i="1" s="1"/>
  <c r="S45" i="1" s="1"/>
  <c r="N45" i="1"/>
  <c r="P45" i="1"/>
  <c r="R45" i="1" s="1"/>
  <c r="Q45" i="1"/>
  <c r="D46" i="1"/>
  <c r="F46" i="1" s="1"/>
  <c r="J46" i="1" s="1"/>
  <c r="I46" i="1"/>
  <c r="L46" i="1"/>
  <c r="M46" i="1"/>
  <c r="N46" i="1"/>
  <c r="O46" i="1" s="1"/>
  <c r="P46" i="1"/>
  <c r="R46" i="1" s="1"/>
  <c r="Q46" i="1"/>
  <c r="F47" i="1"/>
  <c r="J47" i="1" s="1"/>
  <c r="I47" i="1"/>
  <c r="L47" i="1"/>
  <c r="M47" i="1"/>
  <c r="O47" i="1" s="1"/>
  <c r="S47" i="1" s="1"/>
  <c r="N47" i="1"/>
  <c r="P47" i="1"/>
  <c r="R47" i="1" s="1"/>
  <c r="Q47" i="1"/>
  <c r="F48" i="1"/>
  <c r="I48" i="1"/>
  <c r="J48" i="1" s="1"/>
  <c r="L48" i="1"/>
  <c r="M48" i="1"/>
  <c r="O48" i="1" s="1"/>
  <c r="S48" i="1" s="1"/>
  <c r="N48" i="1"/>
  <c r="P48" i="1"/>
  <c r="Q48" i="1"/>
  <c r="R48" i="1"/>
  <c r="F49" i="1"/>
  <c r="I49" i="1"/>
  <c r="J49" i="1"/>
  <c r="L49" i="1"/>
  <c r="M49" i="1"/>
  <c r="N49" i="1"/>
  <c r="O49" i="1"/>
  <c r="P49" i="1"/>
  <c r="R49" i="1" s="1"/>
  <c r="S49" i="1" s="1"/>
  <c r="Q49" i="1"/>
  <c r="F50" i="1"/>
  <c r="I50" i="1"/>
  <c r="J50" i="1" s="1"/>
  <c r="L50" i="1"/>
  <c r="M50" i="1"/>
  <c r="O50" i="1" s="1"/>
  <c r="S50" i="1" s="1"/>
  <c r="N50" i="1"/>
  <c r="P50" i="1"/>
  <c r="R50" i="1" s="1"/>
  <c r="Q50" i="1"/>
  <c r="F51" i="1"/>
  <c r="J51" i="1" s="1"/>
  <c r="I51" i="1"/>
  <c r="L51" i="1"/>
  <c r="M51" i="1"/>
  <c r="O51" i="1" s="1"/>
  <c r="N51" i="1"/>
  <c r="P51" i="1"/>
  <c r="Q51" i="1"/>
  <c r="R51" i="1" s="1"/>
  <c r="E52" i="1"/>
  <c r="F52" i="1"/>
  <c r="J52" i="1" s="1"/>
  <c r="I52" i="1"/>
  <c r="L52" i="1"/>
  <c r="M52" i="1"/>
  <c r="O52" i="1" s="1"/>
  <c r="N52" i="1"/>
  <c r="P52" i="1"/>
  <c r="R52" i="1" s="1"/>
  <c r="Q52" i="1"/>
  <c r="E53" i="1"/>
  <c r="G53" i="1"/>
  <c r="H53" i="1"/>
  <c r="I53" i="1"/>
  <c r="N59" i="1"/>
  <c r="N60" i="1"/>
  <c r="S46" i="1" l="1"/>
  <c r="J43" i="1"/>
  <c r="J53" i="1" s="1"/>
  <c r="N58" i="1" s="1"/>
  <c r="N61" i="1" s="1"/>
  <c r="S52" i="1"/>
  <c r="S51" i="1"/>
  <c r="H23" i="1"/>
  <c r="H22" i="1"/>
  <c r="S44" i="1"/>
  <c r="S43" i="1"/>
  <c r="S21" i="1"/>
  <c r="G22" i="1" s="1"/>
  <c r="S18" i="1"/>
  <c r="G19" i="1" s="1"/>
  <c r="H19" i="1" s="1"/>
  <c r="F44" i="1"/>
  <c r="J44" i="1" s="1"/>
  <c r="S23" i="1"/>
  <c r="G24" i="1" s="1"/>
  <c r="H24" i="1" s="1"/>
  <c r="S16" i="1"/>
  <c r="G17" i="1" s="1"/>
  <c r="H17" i="1" s="1"/>
  <c r="F53" i="1" l="1"/>
</calcChain>
</file>

<file path=xl/sharedStrings.xml><?xml version="1.0" encoding="utf-8"?>
<sst xmlns="http://schemas.openxmlformats.org/spreadsheetml/2006/main" count="110" uniqueCount="85">
  <si>
    <t>Ponderosa Pine Energy Partners, Ltd.</t>
  </si>
  <si>
    <t>Month</t>
  </si>
  <si>
    <t>Actual Invoices</t>
  </si>
  <si>
    <t>Contract 1671</t>
  </si>
  <si>
    <t>Total receivable balance between Enron and plant</t>
  </si>
  <si>
    <t>Agency Fees</t>
  </si>
  <si>
    <t>Commodity (Plant Use)</t>
  </si>
  <si>
    <t>Commodity (Resale)</t>
  </si>
  <si>
    <t>Total Paid ENA</t>
  </si>
  <si>
    <t>Lone Star (Transport)</t>
  </si>
  <si>
    <t>Resale</t>
  </si>
  <si>
    <t>Prior Year Adjustments</t>
  </si>
  <si>
    <t>Other Adjustments</t>
  </si>
  <si>
    <t>(a)</t>
  </si>
  <si>
    <t>(b)</t>
  </si>
  <si>
    <t>Reconciling Adjustment</t>
  </si>
  <si>
    <t>Payment Amount</t>
  </si>
  <si>
    <t>Contract 1856</t>
  </si>
  <si>
    <t>Invoice Amount Due</t>
  </si>
  <si>
    <t>Gas Month</t>
  </si>
  <si>
    <t>Difference</t>
  </si>
  <si>
    <t>(A)</t>
  </si>
  <si>
    <t>(B)</t>
  </si>
  <si>
    <t>(C)</t>
  </si>
  <si>
    <t>(D)</t>
  </si>
  <si>
    <t>(E)</t>
  </si>
  <si>
    <t>(F)</t>
  </si>
  <si>
    <t>=</t>
  </si>
  <si>
    <t>(A+B+C+D+E)</t>
  </si>
  <si>
    <t>(G)</t>
  </si>
  <si>
    <t>(H)</t>
  </si>
  <si>
    <t>(I)</t>
  </si>
  <si>
    <t>(J)</t>
  </si>
  <si>
    <t>(K)</t>
  </si>
  <si>
    <t>(L)</t>
  </si>
  <si>
    <t>(M)</t>
  </si>
  <si>
    <t>(N)</t>
  </si>
  <si>
    <t>(O)</t>
  </si>
  <si>
    <t>Apache (Supply)</t>
  </si>
  <si>
    <t>Williams (Supply)</t>
  </si>
  <si>
    <t>Spot Purchases (Supply)</t>
  </si>
  <si>
    <t>Lone Star (Adjustment)</t>
  </si>
  <si>
    <t>Transport [NOTE (b)]</t>
  </si>
  <si>
    <t>Column</t>
  </si>
  <si>
    <t xml:space="preserve">(P) </t>
  </si>
  <si>
    <t>(Q)</t>
  </si>
  <si>
    <t>(G+H+I+J+K+</t>
  </si>
  <si>
    <t>L+M+N+O)</t>
  </si>
  <si>
    <t>(P) - (A+B+C+D)</t>
  </si>
  <si>
    <t>(R)</t>
  </si>
  <si>
    <t>(S)</t>
  </si>
  <si>
    <t>(T)</t>
  </si>
  <si>
    <t>(R+S)</t>
  </si>
  <si>
    <t>(U)</t>
  </si>
  <si>
    <t>(V)</t>
  </si>
  <si>
    <t>(W)</t>
  </si>
  <si>
    <t>(U+V)</t>
  </si>
  <si>
    <t>(X)</t>
  </si>
  <si>
    <t>(T+W)</t>
  </si>
  <si>
    <t>Amount Owed LS</t>
  </si>
  <si>
    <t>Total Amount Owed LS</t>
  </si>
  <si>
    <t>Per Above</t>
  </si>
  <si>
    <t>Per Left</t>
  </si>
  <si>
    <t># 1671 Invoice Amount Due</t>
  </si>
  <si>
    <t>#1856 Invoice Amount Due</t>
  </si>
  <si>
    <t>Actual Amounts Owed Vendors</t>
  </si>
  <si>
    <t>(Y)</t>
  </si>
  <si>
    <t>(Z)</t>
  </si>
  <si>
    <t>(AA)</t>
  </si>
  <si>
    <t>(J+K)</t>
  </si>
  <si>
    <t>(AB)</t>
  </si>
  <si>
    <t>(AC)</t>
  </si>
  <si>
    <t>(AD)</t>
  </si>
  <si>
    <t>(AE)</t>
  </si>
  <si>
    <t>(AB+AC)</t>
  </si>
  <si>
    <t>(AB-AD)</t>
  </si>
  <si>
    <t>Gas Cost Reconciliation</t>
  </si>
  <si>
    <t>Estimated Amounts Paid to ENA by PPEP (a)</t>
  </si>
  <si>
    <t>Amounts Due PPEP</t>
  </si>
  <si>
    <t>Gas Sales made by ENA Desk in November (Revenue Not Remitted to PPEP)</t>
  </si>
  <si>
    <t>Amounts paid each month are for the prior month's activity - invoices are settled on 25th of succeeding month (i.e. Jan-02 amounts are for Dec-01 activity)</t>
  </si>
  <si>
    <t>Transportation invoices are paid on a lag.  Accordingly, Lone Star invoices were not originally part of the estimated costs paid to ENA each month for gas service but were included in monthly true-up amounts paid.  ENA changed its billing practice with the April invoice and charged the plant an estimated transportation cost each month with a true-up the following month for the actual expenses.  Coinciding with this change, ENA had a personnel change.  Payments for the Apr-01 through Sep-01 gas months were not made to Lone Star despite the fact that estimated payments were made by PPEP each month to ENA for Lone Star transportation charges.  Below is a reconciliation of 2001 Lone Star activity:</t>
  </si>
  <si>
    <t>Estimated Oct-01 Lone Star Invoice Paid to Enron in Nov-01 (Paid Again by PPEP in Dec-01)</t>
  </si>
  <si>
    <t>SUMMARY OF AMOUNTS DUE PPEP</t>
  </si>
  <si>
    <t>Lone Star Invoices Outstanding for Apr-01 through Sep-01 (Estimated Amounts Paid by PPEP)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</si>
</sst>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 val="singleAccounting"/>
      <sz val="10"/>
      <color indexed="10"/>
      <name val="Arial"/>
      <family val="2"/>
    </font>
    <font>
      <u val="singleAccounting"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44" fontId="0" fillId="2" borderId="0" xfId="2" applyFont="1" applyFill="1"/>
    <xf numFmtId="44" fontId="2" fillId="2" borderId="0" xfId="2" applyFont="1" applyFill="1" applyAlignment="1">
      <alignment horizontal="center"/>
    </xf>
    <xf numFmtId="44" fontId="0" fillId="2" borderId="1" xfId="2" applyFont="1" applyFill="1" applyBorder="1"/>
    <xf numFmtId="44" fontId="0" fillId="2" borderId="0" xfId="2" applyFont="1" applyFill="1" applyBorder="1"/>
    <xf numFmtId="44" fontId="2" fillId="3" borderId="0" xfId="2" applyFont="1" applyFill="1" applyAlignment="1">
      <alignment horizontal="centerContinuous"/>
    </xf>
    <xf numFmtId="44" fontId="0" fillId="2" borderId="1" xfId="2" applyFont="1" applyFill="1" applyBorder="1" applyAlignment="1">
      <alignment horizontal="center" wrapText="1"/>
    </xf>
    <xf numFmtId="44" fontId="2" fillId="4" borderId="0" xfId="2" applyFont="1" applyFill="1" applyAlignment="1">
      <alignment horizontal="centerContinuous"/>
    </xf>
    <xf numFmtId="44" fontId="3" fillId="2" borderId="0" xfId="2" applyFont="1" applyFill="1"/>
    <xf numFmtId="44" fontId="3" fillId="2" borderId="0" xfId="2" applyFont="1" applyFill="1" applyBorder="1"/>
    <xf numFmtId="44" fontId="4" fillId="2" borderId="0" xfId="2" applyFont="1" applyFill="1"/>
    <xf numFmtId="44" fontId="4" fillId="2" borderId="0" xfId="2" applyFont="1" applyFill="1" applyBorder="1"/>
    <xf numFmtId="8" fontId="0" fillId="2" borderId="0" xfId="2" applyNumberFormat="1" applyFont="1" applyFill="1"/>
    <xf numFmtId="44" fontId="0" fillId="2" borderId="0" xfId="2" quotePrefix="1" applyFont="1" applyFill="1" applyAlignment="1">
      <alignment horizontal="right"/>
    </xf>
    <xf numFmtId="164" fontId="5" fillId="0" borderId="0" xfId="0" applyNumberFormat="1" applyFont="1" applyAlignment="1">
      <alignment horizontal="center"/>
    </xf>
    <xf numFmtId="44" fontId="6" fillId="2" borderId="0" xfId="2" applyFont="1" applyFill="1"/>
    <xf numFmtId="44" fontId="3" fillId="2" borderId="1" xfId="2" applyFont="1" applyFill="1" applyBorder="1"/>
    <xf numFmtId="44" fontId="0" fillId="2" borderId="0" xfId="2" applyFont="1" applyFill="1" applyBorder="1" applyAlignment="1">
      <alignment horizontal="center" wrapText="1"/>
    </xf>
    <xf numFmtId="44" fontId="7" fillId="2" borderId="0" xfId="2" applyFont="1" applyFill="1" applyBorder="1"/>
    <xf numFmtId="44" fontId="7" fillId="2" borderId="0" xfId="2" applyFont="1" applyFill="1"/>
    <xf numFmtId="44" fontId="7" fillId="2" borderId="0" xfId="2" applyFont="1" applyFill="1" applyBorder="1" applyAlignment="1">
      <alignment horizontal="center" wrapText="1"/>
    </xf>
    <xf numFmtId="44" fontId="7" fillId="2" borderId="0" xfId="2" quotePrefix="1" applyFont="1" applyFill="1" applyBorder="1" applyAlignment="1">
      <alignment horizontal="center" wrapText="1"/>
    </xf>
    <xf numFmtId="44" fontId="2" fillId="2" borderId="0" xfId="2" applyFont="1" applyFill="1"/>
    <xf numFmtId="44" fontId="2" fillId="2" borderId="1" xfId="2" applyFont="1" applyFill="1" applyBorder="1" applyAlignment="1">
      <alignment horizontal="center" wrapText="1"/>
    </xf>
    <xf numFmtId="44" fontId="2" fillId="2" borderId="1" xfId="2" applyFont="1" applyFill="1" applyBorder="1"/>
    <xf numFmtId="44" fontId="7" fillId="2" borderId="0" xfId="2" applyFont="1" applyFill="1" applyBorder="1" applyAlignment="1">
      <alignment horizontal="center"/>
    </xf>
    <xf numFmtId="44" fontId="7" fillId="2" borderId="0" xfId="2" quotePrefix="1" applyFont="1" applyFill="1" applyBorder="1" applyAlignment="1">
      <alignment horizontal="center"/>
    </xf>
    <xf numFmtId="44" fontId="2" fillId="2" borderId="2" xfId="2" applyFont="1" applyFill="1" applyBorder="1" applyAlignment="1">
      <alignment horizontal="centerContinuous"/>
    </xf>
    <xf numFmtId="44" fontId="2" fillId="2" borderId="3" xfId="2" applyFont="1" applyFill="1" applyBorder="1" applyAlignment="1">
      <alignment horizontal="centerContinuous"/>
    </xf>
    <xf numFmtId="44" fontId="2" fillId="2" borderId="4" xfId="2" applyFont="1" applyFill="1" applyBorder="1" applyAlignment="1">
      <alignment horizontal="centerContinuous"/>
    </xf>
    <xf numFmtId="44" fontId="2" fillId="2" borderId="1" xfId="2" applyFont="1" applyFill="1" applyBorder="1" applyAlignment="1">
      <alignment horizontal="left" wrapText="1"/>
    </xf>
    <xf numFmtId="44" fontId="8" fillId="5" borderId="0" xfId="2" applyFont="1" applyFill="1" applyAlignment="1">
      <alignment horizontal="left"/>
    </xf>
    <xf numFmtId="44" fontId="0" fillId="5" borderId="0" xfId="2" applyFont="1" applyFill="1"/>
    <xf numFmtId="0" fontId="0" fillId="2" borderId="0" xfId="2" applyNumberFormat="1" applyFont="1" applyFill="1"/>
    <xf numFmtId="44" fontId="0" fillId="2" borderId="0" xfId="2" quotePrefix="1" applyFont="1" applyFill="1" applyAlignment="1">
      <alignment horizontal="right" vertical="top"/>
    </xf>
    <xf numFmtId="44" fontId="8" fillId="2" borderId="0" xfId="2" applyFont="1" applyFill="1"/>
    <xf numFmtId="44" fontId="10" fillId="6" borderId="0" xfId="2" applyFont="1" applyFill="1"/>
    <xf numFmtId="44" fontId="10" fillId="6" borderId="5" xfId="2" applyFont="1" applyFill="1" applyBorder="1"/>
    <xf numFmtId="44" fontId="10" fillId="6" borderId="0" xfId="2" applyFont="1" applyFill="1" applyBorder="1"/>
    <xf numFmtId="44" fontId="10" fillId="6" borderId="6" xfId="2" applyFont="1" applyFill="1" applyBorder="1"/>
    <xf numFmtId="44" fontId="10" fillId="6" borderId="7" xfId="2" applyFont="1" applyFill="1" applyBorder="1"/>
    <xf numFmtId="44" fontId="10" fillId="6" borderId="1" xfId="2" applyFont="1" applyFill="1" applyBorder="1"/>
    <xf numFmtId="43" fontId="11" fillId="6" borderId="8" xfId="1" applyFont="1" applyFill="1" applyBorder="1" applyAlignment="1">
      <alignment horizontal="centerContinuous"/>
    </xf>
    <xf numFmtId="43" fontId="11" fillId="6" borderId="9" xfId="1" applyFont="1" applyFill="1" applyBorder="1" applyAlignment="1">
      <alignment horizontal="centerContinuous"/>
    </xf>
    <xf numFmtId="17" fontId="0" fillId="2" borderId="0" xfId="2" applyNumberFormat="1" applyFont="1" applyFill="1" applyBorder="1" applyAlignment="1">
      <alignment horizontal="left"/>
    </xf>
    <xf numFmtId="43" fontId="12" fillId="6" borderId="6" xfId="1" applyFont="1" applyFill="1" applyBorder="1"/>
    <xf numFmtId="44" fontId="2" fillId="2" borderId="0" xfId="2" applyFont="1" applyFill="1" applyAlignment="1">
      <alignment horizontal="center"/>
    </xf>
    <xf numFmtId="0" fontId="0" fillId="2" borderId="0" xfId="2" applyNumberFormat="1" applyFont="1" applyFill="1" applyAlignment="1">
      <alignment horizontal="left" wrapText="1"/>
    </xf>
    <xf numFmtId="44" fontId="9" fillId="6" borderId="0" xfId="2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14</xdr:col>
      <xdr:colOff>0</xdr:colOff>
      <xdr:row>62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638800" y="9667875"/>
          <a:ext cx="6400800" cy="1019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73"/>
  <sheetViews>
    <sheetView tabSelected="1" zoomScale="75" workbookViewId="0">
      <selection activeCell="F24" sqref="F24:F26"/>
    </sheetView>
  </sheetViews>
  <sheetFormatPr defaultRowHeight="12.75" x14ac:dyDescent="0.2"/>
  <cols>
    <col min="1" max="1" width="14" style="1" customWidth="1"/>
    <col min="2" max="2" width="2" style="1" customWidth="1"/>
    <col min="3" max="19" width="13.7109375" style="1" customWidth="1"/>
    <col min="20" max="20" width="12" style="1" customWidth="1"/>
    <col min="21" max="21" width="12.7109375" style="1" customWidth="1"/>
    <col min="22" max="22" width="13.140625" style="1" customWidth="1"/>
    <col min="23" max="16384" width="9.140625" style="1"/>
  </cols>
  <sheetData>
    <row r="1" spans="1:89" ht="18" x14ac:dyDescent="0.25">
      <c r="A1" s="35" t="s">
        <v>0</v>
      </c>
      <c r="B1" s="35"/>
      <c r="R1" s="48" t="s">
        <v>78</v>
      </c>
      <c r="S1" s="48"/>
    </row>
    <row r="2" spans="1:89" ht="18" x14ac:dyDescent="0.25">
      <c r="A2" s="35" t="s">
        <v>76</v>
      </c>
      <c r="B2" s="35"/>
    </row>
    <row r="3" spans="1:89" s="32" customFormat="1" ht="3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5" spans="1:89" x14ac:dyDescent="0.2">
      <c r="C5" s="46"/>
      <c r="D5" s="46"/>
      <c r="E5" s="46"/>
      <c r="F5" s="46"/>
      <c r="G5" s="46"/>
      <c r="H5" s="46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89" x14ac:dyDescent="0.2">
      <c r="C6" s="5" t="s">
        <v>77</v>
      </c>
      <c r="D6" s="5"/>
      <c r="E6" s="5"/>
      <c r="F6" s="5"/>
      <c r="G6" s="5"/>
      <c r="H6" s="5"/>
      <c r="I6" s="7" t="s">
        <v>65</v>
      </c>
      <c r="J6" s="7"/>
      <c r="K6" s="7"/>
      <c r="L6" s="7"/>
      <c r="M6" s="7"/>
      <c r="N6" s="7"/>
      <c r="O6" s="7"/>
      <c r="P6" s="7"/>
      <c r="Q6" s="7"/>
      <c r="R6" s="7"/>
      <c r="S6" s="2"/>
    </row>
    <row r="7" spans="1:89" ht="38.25" x14ac:dyDescent="0.2">
      <c r="A7" s="24" t="s">
        <v>19</v>
      </c>
      <c r="B7" s="22"/>
      <c r="C7" s="23" t="s">
        <v>6</v>
      </c>
      <c r="D7" s="23" t="s">
        <v>7</v>
      </c>
      <c r="E7" s="23" t="s">
        <v>42</v>
      </c>
      <c r="F7" s="23" t="s">
        <v>5</v>
      </c>
      <c r="G7" s="23" t="s">
        <v>15</v>
      </c>
      <c r="H7" s="23" t="s">
        <v>8</v>
      </c>
      <c r="I7" s="23" t="s">
        <v>38</v>
      </c>
      <c r="J7" s="23" t="s">
        <v>39</v>
      </c>
      <c r="K7" s="23" t="s">
        <v>40</v>
      </c>
      <c r="L7" s="23" t="s">
        <v>9</v>
      </c>
      <c r="M7" s="23" t="s">
        <v>41</v>
      </c>
      <c r="N7" s="23" t="s">
        <v>10</v>
      </c>
      <c r="O7" s="23" t="s">
        <v>5</v>
      </c>
      <c r="P7" s="23" t="s">
        <v>11</v>
      </c>
      <c r="Q7" s="23" t="s">
        <v>12</v>
      </c>
      <c r="R7" s="23" t="s">
        <v>2</v>
      </c>
      <c r="S7" s="23" t="s">
        <v>15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</row>
    <row r="8" spans="1:89" s="19" customFormat="1" ht="11.25" x14ac:dyDescent="0.2">
      <c r="A8" s="18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</row>
    <row r="9" spans="1:89" s="19" customFormat="1" ht="11.25" x14ac:dyDescent="0.2">
      <c r="A9" s="18" t="s">
        <v>43</v>
      </c>
      <c r="C9" s="20" t="s">
        <v>21</v>
      </c>
      <c r="D9" s="20" t="s">
        <v>22</v>
      </c>
      <c r="E9" s="20" t="s">
        <v>23</v>
      </c>
      <c r="F9" s="20" t="s">
        <v>24</v>
      </c>
      <c r="G9" s="20" t="s">
        <v>25</v>
      </c>
      <c r="H9" s="21" t="s">
        <v>26</v>
      </c>
      <c r="I9" s="20" t="s">
        <v>29</v>
      </c>
      <c r="J9" s="21" t="s">
        <v>30</v>
      </c>
      <c r="K9" s="21" t="s">
        <v>31</v>
      </c>
      <c r="L9" s="21" t="s">
        <v>32</v>
      </c>
      <c r="M9" s="21" t="s">
        <v>33</v>
      </c>
      <c r="N9" s="21" t="s">
        <v>34</v>
      </c>
      <c r="O9" s="21" t="s">
        <v>35</v>
      </c>
      <c r="P9" s="21" t="s">
        <v>36</v>
      </c>
      <c r="Q9" s="21" t="s">
        <v>37</v>
      </c>
      <c r="R9" s="21" t="s">
        <v>44</v>
      </c>
      <c r="S9" s="21" t="s">
        <v>45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</row>
    <row r="10" spans="1:89" s="19" customFormat="1" ht="11.25" x14ac:dyDescent="0.2">
      <c r="A10" s="18"/>
      <c r="C10" s="20"/>
      <c r="D10" s="20"/>
      <c r="E10" s="20"/>
      <c r="F10" s="20"/>
      <c r="G10" s="21" t="s">
        <v>27</v>
      </c>
      <c r="H10" s="20" t="s">
        <v>27</v>
      </c>
      <c r="I10" s="20"/>
      <c r="J10" s="20"/>
      <c r="K10" s="20"/>
      <c r="L10" s="20"/>
      <c r="M10" s="20"/>
      <c r="N10" s="20"/>
      <c r="O10" s="20"/>
      <c r="P10" s="20"/>
      <c r="Q10" s="20"/>
      <c r="R10" s="20" t="s">
        <v>27</v>
      </c>
      <c r="S10" s="20" t="s">
        <v>27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89" s="19" customFormat="1" ht="11.25" x14ac:dyDescent="0.2">
      <c r="A11" s="18"/>
      <c r="C11" s="20"/>
      <c r="D11" s="20"/>
      <c r="E11" s="20"/>
      <c r="F11" s="20"/>
      <c r="G11" s="21" t="s">
        <v>45</v>
      </c>
      <c r="H11" s="20" t="s">
        <v>28</v>
      </c>
      <c r="I11" s="20"/>
      <c r="J11" s="20"/>
      <c r="K11" s="20"/>
      <c r="L11" s="20"/>
      <c r="M11" s="20"/>
      <c r="N11" s="20"/>
      <c r="O11" s="20"/>
      <c r="P11" s="20"/>
      <c r="Q11" s="20"/>
      <c r="R11" s="20" t="s">
        <v>46</v>
      </c>
      <c r="S11" s="21" t="s">
        <v>48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</row>
    <row r="12" spans="1:89" s="19" customFormat="1" ht="11.25" x14ac:dyDescent="0.2">
      <c r="A12" s="18"/>
      <c r="C12" s="20"/>
      <c r="D12" s="20"/>
      <c r="E12" s="20"/>
      <c r="F12" s="20"/>
      <c r="G12" s="21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 t="s">
        <v>47</v>
      </c>
      <c r="S12" s="21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</row>
    <row r="13" spans="1:89" s="19" customFormat="1" ht="11.25" x14ac:dyDescent="0.2">
      <c r="A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</row>
    <row r="14" spans="1:89" x14ac:dyDescent="0.2">
      <c r="A14" s="44">
        <v>36892</v>
      </c>
      <c r="C14" s="8">
        <v>3115183.92</v>
      </c>
      <c r="D14" s="17"/>
      <c r="E14" s="17"/>
      <c r="F14" s="8">
        <v>55800</v>
      </c>
      <c r="G14" s="8"/>
      <c r="H14" s="1">
        <f>SUM(C14:G14)</f>
        <v>3170983.92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8">
        <v>555889.53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</row>
    <row r="15" spans="1:89" x14ac:dyDescent="0.2">
      <c r="A15" s="44">
        <v>36923</v>
      </c>
      <c r="C15" s="8">
        <v>3687860.64</v>
      </c>
      <c r="D15" s="8"/>
      <c r="E15" s="8"/>
      <c r="F15" s="8">
        <v>55800</v>
      </c>
      <c r="G15" s="10">
        <f>S14</f>
        <v>555889.53</v>
      </c>
      <c r="H15" s="1">
        <f t="shared" ref="H15:H24" si="0">SUM(C15:G15)</f>
        <v>4299550.17</v>
      </c>
      <c r="I15" s="8">
        <v>1488620</v>
      </c>
      <c r="J15" s="8">
        <v>2208877.21</v>
      </c>
      <c r="K15" s="8"/>
      <c r="L15" s="8">
        <v>132633.97</v>
      </c>
      <c r="M15" s="8"/>
      <c r="N15" s="8"/>
      <c r="O15" s="8">
        <v>57180.39</v>
      </c>
      <c r="P15" s="8"/>
      <c r="Q15" s="8">
        <v>0</v>
      </c>
      <c r="R15" s="1">
        <f>SUM(I15:Q15)</f>
        <v>3887311.5700000003</v>
      </c>
      <c r="S15" s="1">
        <f t="shared" ref="S15:S26" si="1">R15-SUM(C15:F15)</f>
        <v>143650.93000000017</v>
      </c>
      <c r="T15" s="12"/>
    </row>
    <row r="16" spans="1:89" x14ac:dyDescent="0.2">
      <c r="A16" s="44">
        <v>36951</v>
      </c>
      <c r="C16" s="8">
        <f>3435373.28</f>
        <v>3435373.28</v>
      </c>
      <c r="D16" s="8">
        <f>-1143484.53</f>
        <v>-1143484.53</v>
      </c>
      <c r="E16" s="8"/>
      <c r="F16" s="8">
        <v>50400</v>
      </c>
      <c r="G16" s="10">
        <f>S15</f>
        <v>143650.93000000017</v>
      </c>
      <c r="H16" s="1">
        <f t="shared" si="0"/>
        <v>2485939.6800000002</v>
      </c>
      <c r="I16" s="8">
        <v>1344560</v>
      </c>
      <c r="J16" s="8">
        <v>2011450</v>
      </c>
      <c r="K16" s="8"/>
      <c r="L16" s="8">
        <v>82294.95</v>
      </c>
      <c r="M16" s="8"/>
      <c r="N16" s="8"/>
      <c r="O16" s="8">
        <v>50475.44</v>
      </c>
      <c r="P16" s="8"/>
      <c r="Q16" s="8">
        <v>21</v>
      </c>
      <c r="R16" s="1">
        <f>SUM(I16:Q16)</f>
        <v>3488801.39</v>
      </c>
      <c r="S16" s="1">
        <f t="shared" si="1"/>
        <v>1146512.6400000001</v>
      </c>
      <c r="T16" s="12"/>
    </row>
    <row r="17" spans="1:20" x14ac:dyDescent="0.2">
      <c r="A17" s="44">
        <v>36982</v>
      </c>
      <c r="C17" s="8">
        <f>3806491.02</f>
        <v>3806491.02</v>
      </c>
      <c r="D17" s="8">
        <v>-1152796.02</v>
      </c>
      <c r="E17" s="8"/>
      <c r="F17" s="8">
        <v>55800</v>
      </c>
      <c r="G17" s="10">
        <f>S16</f>
        <v>1146512.6400000001</v>
      </c>
      <c r="H17" s="1">
        <f t="shared" si="0"/>
        <v>3856007.64</v>
      </c>
      <c r="I17" s="8">
        <v>1488620</v>
      </c>
      <c r="J17" s="8">
        <v>2190714.19</v>
      </c>
      <c r="K17" s="8"/>
      <c r="L17" s="8">
        <v>80637.899999999994</v>
      </c>
      <c r="M17" s="8"/>
      <c r="N17" s="8">
        <v>-1152796.02</v>
      </c>
      <c r="O17" s="8">
        <v>44373.5</v>
      </c>
      <c r="P17" s="8"/>
      <c r="Q17" s="8">
        <v>0</v>
      </c>
      <c r="R17" s="1">
        <f>SUM(I17:Q17)</f>
        <v>2651549.5699999998</v>
      </c>
      <c r="S17" s="1">
        <f t="shared" si="1"/>
        <v>-57945.430000000168</v>
      </c>
      <c r="T17" s="12"/>
    </row>
    <row r="18" spans="1:20" x14ac:dyDescent="0.2">
      <c r="A18" s="44">
        <v>37021</v>
      </c>
      <c r="C18" s="8">
        <f>1440600+2094227.18</f>
        <v>3534827.1799999997</v>
      </c>
      <c r="D18" s="8">
        <f>-780518.53</f>
        <v>-780518.53</v>
      </c>
      <c r="E18" s="8">
        <v>108223.3</v>
      </c>
      <c r="F18" s="8">
        <v>54000</v>
      </c>
      <c r="G18" s="10">
        <f>S17</f>
        <v>-57945.430000000168</v>
      </c>
      <c r="H18" s="1">
        <f t="shared" si="0"/>
        <v>2858586.5199999991</v>
      </c>
      <c r="I18" s="8">
        <v>1440600</v>
      </c>
      <c r="J18" s="8">
        <v>2085419.78</v>
      </c>
      <c r="K18" s="8"/>
      <c r="L18" s="8">
        <v>108223.3</v>
      </c>
      <c r="M18" s="8">
        <v>-7442.22</v>
      </c>
      <c r="N18" s="8">
        <v>-780518.53</v>
      </c>
      <c r="O18" s="8">
        <v>54000</v>
      </c>
      <c r="P18" s="8"/>
      <c r="Q18" s="8">
        <v>8807.3999999994412</v>
      </c>
      <c r="R18" s="1">
        <f>SUM(I18:Q18)</f>
        <v>2909089.7299999995</v>
      </c>
      <c r="S18" s="1">
        <f t="shared" si="1"/>
        <v>-7442.2199999997392</v>
      </c>
      <c r="T18" s="12"/>
    </row>
    <row r="19" spans="1:20" x14ac:dyDescent="0.2">
      <c r="A19" s="44">
        <v>37043</v>
      </c>
      <c r="C19" s="8">
        <f>1488620+2097548.35</f>
        <v>3586168.35</v>
      </c>
      <c r="D19" s="8">
        <v>-1641482.42</v>
      </c>
      <c r="E19" s="8">
        <v>81661.240000000005</v>
      </c>
      <c r="F19" s="8">
        <f>54272.45</f>
        <v>54272.45</v>
      </c>
      <c r="G19" s="10">
        <f>S18</f>
        <v>-7442.2199999997392</v>
      </c>
      <c r="H19" s="1">
        <f t="shared" si="0"/>
        <v>2073177.4000000004</v>
      </c>
      <c r="I19" s="8">
        <v>1488620</v>
      </c>
      <c r="J19" s="8">
        <v>2097548.35</v>
      </c>
      <c r="K19" s="8"/>
      <c r="L19" s="8">
        <v>81661.240000000005</v>
      </c>
      <c r="M19" s="8">
        <v>-3228.43</v>
      </c>
      <c r="N19" s="8">
        <v>-1750832.42</v>
      </c>
      <c r="O19" s="8">
        <v>53945.99</v>
      </c>
      <c r="P19" s="8"/>
      <c r="Q19" s="8">
        <v>16930.419999999925</v>
      </c>
      <c r="R19" s="1">
        <f>SUM(I19:Q19)</f>
        <v>1984645.1500000001</v>
      </c>
      <c r="S19" s="1">
        <f t="shared" si="1"/>
        <v>-95974.469999999972</v>
      </c>
      <c r="T19" s="12"/>
    </row>
    <row r="20" spans="1:20" x14ac:dyDescent="0.2">
      <c r="A20" s="44">
        <v>37073</v>
      </c>
      <c r="C20" s="8">
        <f>1440600+2155125+523555</f>
        <v>4119280</v>
      </c>
      <c r="D20" s="8">
        <f>-688157.24</f>
        <v>-688157.24</v>
      </c>
      <c r="E20" s="8">
        <v>111232.24</v>
      </c>
      <c r="F20" s="8">
        <f>64480</f>
        <v>64480</v>
      </c>
      <c r="G20" s="10">
        <v>-3228.43</v>
      </c>
      <c r="H20" s="1">
        <f t="shared" si="0"/>
        <v>3603606.57</v>
      </c>
      <c r="I20" s="8">
        <v>1440600</v>
      </c>
      <c r="J20" s="8">
        <v>2191027.5</v>
      </c>
      <c r="K20" s="8">
        <v>523555</v>
      </c>
      <c r="L20" s="8">
        <v>111232.24</v>
      </c>
      <c r="M20" s="8">
        <v>-18807.54</v>
      </c>
      <c r="N20" s="8">
        <v>-688157.24</v>
      </c>
      <c r="O20" s="8">
        <v>64480</v>
      </c>
      <c r="P20" s="8">
        <v>128339</v>
      </c>
      <c r="Q20" s="8">
        <v>0</v>
      </c>
      <c r="R20" s="1">
        <f t="shared" ref="R20:R26" si="2">SUM(I20:Q20)</f>
        <v>3752268.96</v>
      </c>
      <c r="S20" s="1">
        <f t="shared" si="1"/>
        <v>145433.95999999996</v>
      </c>
      <c r="T20" s="12"/>
    </row>
    <row r="21" spans="1:20" x14ac:dyDescent="0.2">
      <c r="A21" s="44">
        <v>37104</v>
      </c>
      <c r="C21" s="8">
        <f>1488620+2226962.5+49000</f>
        <v>3764582.5</v>
      </c>
      <c r="D21" s="8"/>
      <c r="E21" s="8">
        <v>138105</v>
      </c>
      <c r="F21" s="8">
        <v>56400</v>
      </c>
      <c r="G21" s="10">
        <v>49459.49</v>
      </c>
      <c r="H21" s="1">
        <f t="shared" si="0"/>
        <v>4008546.99</v>
      </c>
      <c r="I21" s="8">
        <v>1488620</v>
      </c>
      <c r="J21" s="8">
        <v>2226962.5</v>
      </c>
      <c r="K21" s="8">
        <v>49000</v>
      </c>
      <c r="L21" s="8">
        <v>138105</v>
      </c>
      <c r="M21" s="8">
        <v>-18420.39</v>
      </c>
      <c r="N21" s="8"/>
      <c r="O21" s="8">
        <v>54734.8</v>
      </c>
      <c r="P21" s="8"/>
      <c r="Q21" s="8">
        <v>-983.82999999960884</v>
      </c>
      <c r="R21" s="1">
        <f t="shared" si="2"/>
        <v>3938018.08</v>
      </c>
      <c r="S21" s="1">
        <f t="shared" si="1"/>
        <v>-21069.419999999925</v>
      </c>
      <c r="T21" s="12"/>
    </row>
    <row r="22" spans="1:20" x14ac:dyDescent="0.2">
      <c r="A22" s="44">
        <v>37135</v>
      </c>
      <c r="C22" s="8">
        <f>1488620+2226962.5+280768.6</f>
        <v>3996351.1</v>
      </c>
      <c r="D22" s="8"/>
      <c r="E22" s="8">
        <v>119684.61</v>
      </c>
      <c r="F22" s="8">
        <f>60180</f>
        <v>60180</v>
      </c>
      <c r="G22" s="10">
        <f>S21</f>
        <v>-21069.419999999925</v>
      </c>
      <c r="H22" s="1">
        <f t="shared" si="0"/>
        <v>4155146.29</v>
      </c>
      <c r="I22" s="8">
        <v>1488620</v>
      </c>
      <c r="J22" s="8">
        <v>2226962.5</v>
      </c>
      <c r="K22" s="8">
        <v>284657</v>
      </c>
      <c r="L22" s="8">
        <v>119684.61</v>
      </c>
      <c r="M22" s="8">
        <v>-2726.54</v>
      </c>
      <c r="N22" s="8"/>
      <c r="O22" s="8">
        <v>60179.68</v>
      </c>
      <c r="P22" s="8"/>
      <c r="Q22" s="8">
        <v>-17951.160000000149</v>
      </c>
      <c r="R22" s="1">
        <f t="shared" si="2"/>
        <v>4159426.09</v>
      </c>
      <c r="S22" s="1">
        <f t="shared" si="1"/>
        <v>-16789.620000000112</v>
      </c>
      <c r="T22" s="12"/>
    </row>
    <row r="23" spans="1:20" x14ac:dyDescent="0.2">
      <c r="A23" s="44">
        <v>37165</v>
      </c>
      <c r="C23" s="8">
        <f>1440600+2155125</f>
        <v>3595725</v>
      </c>
      <c r="D23" s="8">
        <f>-823500.74</f>
        <v>-823500.74</v>
      </c>
      <c r="E23" s="8">
        <v>89387.199999999997</v>
      </c>
      <c r="F23" s="8">
        <f>54000</f>
        <v>54000</v>
      </c>
      <c r="G23" s="10">
        <f>S22</f>
        <v>-16789.620000000112</v>
      </c>
      <c r="H23" s="1">
        <f t="shared" si="0"/>
        <v>2898821.84</v>
      </c>
      <c r="I23" s="8">
        <v>1440600</v>
      </c>
      <c r="J23" s="8">
        <v>2155125</v>
      </c>
      <c r="K23" s="8"/>
      <c r="L23" s="8">
        <v>89387.199999999997</v>
      </c>
      <c r="M23" s="8">
        <v>-14792.76</v>
      </c>
      <c r="N23" s="8">
        <v>-823500.74</v>
      </c>
      <c r="O23" s="8">
        <v>54000</v>
      </c>
      <c r="P23" s="8"/>
      <c r="Q23" s="8">
        <v>0</v>
      </c>
      <c r="R23" s="1">
        <f t="shared" si="2"/>
        <v>2900818.7</v>
      </c>
      <c r="S23" s="1">
        <f t="shared" si="1"/>
        <v>-14792.759999999776</v>
      </c>
      <c r="T23" s="12"/>
    </row>
    <row r="24" spans="1:20" x14ac:dyDescent="0.2">
      <c r="A24" s="44">
        <v>37196</v>
      </c>
      <c r="C24" s="8">
        <f>1488620+2226962.5</f>
        <v>3715582.5</v>
      </c>
      <c r="D24" s="8">
        <v>-739766.98</v>
      </c>
      <c r="E24" s="36">
        <f>108405</f>
        <v>108405</v>
      </c>
      <c r="F24" s="8">
        <f>55800</f>
        <v>55800</v>
      </c>
      <c r="G24" s="10">
        <f>S23</f>
        <v>-14792.759999999776</v>
      </c>
      <c r="H24" s="1">
        <f t="shared" si="0"/>
        <v>3125227.7600000002</v>
      </c>
      <c r="I24" s="8">
        <v>1488620</v>
      </c>
      <c r="J24" s="8">
        <v>2226962.5</v>
      </c>
      <c r="K24" s="8"/>
      <c r="L24" s="8">
        <v>108405</v>
      </c>
      <c r="M24" s="8">
        <v>-12564.1</v>
      </c>
      <c r="N24" s="8">
        <v>-739766.98</v>
      </c>
      <c r="O24" s="8">
        <v>55800</v>
      </c>
      <c r="P24" s="8"/>
      <c r="Q24" s="8">
        <v>0</v>
      </c>
      <c r="R24" s="1">
        <f t="shared" si="2"/>
        <v>3127456.42</v>
      </c>
      <c r="S24" s="1">
        <f t="shared" si="1"/>
        <v>-12564.100000000093</v>
      </c>
      <c r="T24" s="12"/>
    </row>
    <row r="25" spans="1:20" x14ac:dyDescent="0.2">
      <c r="A25" s="44">
        <v>37226</v>
      </c>
      <c r="C25" s="8">
        <f>1440600+2155147.48</f>
        <v>3595747.48</v>
      </c>
      <c r="D25" s="36">
        <v>-600377.5</v>
      </c>
      <c r="E25" s="8">
        <v>77388.460000000006</v>
      </c>
      <c r="F25" s="8">
        <v>54000</v>
      </c>
      <c r="G25" s="10"/>
      <c r="I25" s="8">
        <v>1440600</v>
      </c>
      <c r="J25" s="8">
        <v>2155125</v>
      </c>
      <c r="K25" s="8"/>
      <c r="L25" s="8">
        <v>77388.460000000006</v>
      </c>
      <c r="M25" s="8"/>
      <c r="N25" s="8"/>
      <c r="O25" s="8">
        <v>54000</v>
      </c>
      <c r="P25" s="8"/>
      <c r="Q25" s="8">
        <v>22.479999999981374</v>
      </c>
      <c r="R25" s="1">
        <f t="shared" si="2"/>
        <v>3727135.94</v>
      </c>
      <c r="S25" s="1">
        <f t="shared" si="1"/>
        <v>600377.5</v>
      </c>
      <c r="T25" s="12"/>
    </row>
    <row r="26" spans="1:20" x14ac:dyDescent="0.2">
      <c r="A26" s="44">
        <v>37257</v>
      </c>
      <c r="C26" s="9">
        <f>984410+2226962.5+3423.22</f>
        <v>3214795.72</v>
      </c>
      <c r="D26" s="9"/>
      <c r="E26" s="9">
        <v>81707.95</v>
      </c>
      <c r="F26" s="9">
        <v>47400</v>
      </c>
      <c r="G26" s="11"/>
      <c r="I26" s="9">
        <v>984410</v>
      </c>
      <c r="J26" s="9">
        <v>2230408.2000000002</v>
      </c>
      <c r="K26" s="9"/>
      <c r="L26" s="9">
        <v>81707.95</v>
      </c>
      <c r="M26" s="9"/>
      <c r="N26" s="9"/>
      <c r="O26" s="9">
        <v>47400</v>
      </c>
      <c r="P26" s="9"/>
      <c r="Q26" s="9">
        <v>-22.479999999981374</v>
      </c>
      <c r="R26" s="1">
        <f t="shared" si="2"/>
        <v>3343903.6700000004</v>
      </c>
      <c r="S26" s="1">
        <f t="shared" si="1"/>
        <v>0</v>
      </c>
      <c r="T26" s="12"/>
    </row>
    <row r="27" spans="1:20" x14ac:dyDescent="0.2">
      <c r="T27" s="12"/>
    </row>
    <row r="28" spans="1:20" x14ac:dyDescent="0.2">
      <c r="A28" s="13" t="s">
        <v>13</v>
      </c>
      <c r="B28" s="33" t="s">
        <v>80</v>
      </c>
    </row>
    <row r="30" spans="1:20" ht="37.5" customHeight="1" x14ac:dyDescent="0.2">
      <c r="A30" s="34" t="s">
        <v>14</v>
      </c>
      <c r="B30" s="47" t="s">
        <v>81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20" s="22" customFormat="1" x14ac:dyDescent="0.2"/>
    <row r="32" spans="1:20" s="22" customFormat="1" x14ac:dyDescent="0.2">
      <c r="D32" s="27" t="s">
        <v>3</v>
      </c>
      <c r="E32" s="28"/>
      <c r="F32" s="29"/>
      <c r="G32" s="27" t="s">
        <v>17</v>
      </c>
      <c r="H32" s="28"/>
      <c r="I32" s="29"/>
      <c r="M32" s="27" t="s">
        <v>61</v>
      </c>
      <c r="N32" s="28"/>
      <c r="O32" s="29"/>
      <c r="P32" s="27" t="s">
        <v>62</v>
      </c>
      <c r="Q32" s="28"/>
      <c r="R32" s="29"/>
    </row>
    <row r="33" spans="3:50" s="22" customFormat="1" ht="38.25" x14ac:dyDescent="0.2">
      <c r="C33" s="24" t="s">
        <v>1</v>
      </c>
      <c r="D33" s="23" t="s">
        <v>18</v>
      </c>
      <c r="E33" s="23" t="s">
        <v>16</v>
      </c>
      <c r="F33" s="23" t="s">
        <v>59</v>
      </c>
      <c r="G33" s="23" t="s">
        <v>18</v>
      </c>
      <c r="H33" s="23" t="s">
        <v>16</v>
      </c>
      <c r="I33" s="23" t="s">
        <v>59</v>
      </c>
      <c r="J33" s="23" t="s">
        <v>60</v>
      </c>
      <c r="L33" s="30" t="s">
        <v>19</v>
      </c>
      <c r="M33" s="23" t="str">
        <f>+L7</f>
        <v>Lone Star (Transport)</v>
      </c>
      <c r="N33" s="23" t="str">
        <f>+M7</f>
        <v>Lone Star (Adjustment)</v>
      </c>
      <c r="O33" s="23" t="str">
        <f>+G33</f>
        <v>Invoice Amount Due</v>
      </c>
      <c r="P33" s="23" t="s">
        <v>63</v>
      </c>
      <c r="Q33" s="23" t="s">
        <v>64</v>
      </c>
      <c r="R33" s="23" t="str">
        <f>+J33</f>
        <v>Total Amount Owed LS</v>
      </c>
      <c r="S33" s="23" t="s">
        <v>20</v>
      </c>
    </row>
    <row r="34" spans="3:50" s="19" customFormat="1" ht="11.25" x14ac:dyDescent="0.2">
      <c r="C34" s="18"/>
      <c r="D34" s="25"/>
      <c r="E34" s="25"/>
      <c r="F34" s="25"/>
      <c r="G34" s="25"/>
      <c r="H34" s="25"/>
      <c r="I34" s="25"/>
    </row>
    <row r="35" spans="3:50" s="19" customFormat="1" ht="11.25" x14ac:dyDescent="0.2">
      <c r="C35" s="18" t="s">
        <v>43</v>
      </c>
      <c r="D35" s="26" t="s">
        <v>49</v>
      </c>
      <c r="E35" s="26" t="s">
        <v>50</v>
      </c>
      <c r="F35" s="26" t="s">
        <v>51</v>
      </c>
      <c r="G35" s="26" t="s">
        <v>53</v>
      </c>
      <c r="H35" s="26" t="s">
        <v>54</v>
      </c>
      <c r="I35" s="26" t="s">
        <v>55</v>
      </c>
      <c r="J35" s="26" t="s">
        <v>57</v>
      </c>
      <c r="K35" s="26"/>
      <c r="L35" s="26"/>
      <c r="M35" s="26" t="s">
        <v>66</v>
      </c>
      <c r="N35" s="25" t="s">
        <v>67</v>
      </c>
      <c r="O35" s="25" t="s">
        <v>68</v>
      </c>
      <c r="P35" s="26" t="s">
        <v>70</v>
      </c>
      <c r="Q35" s="25" t="s">
        <v>71</v>
      </c>
      <c r="R35" s="26" t="s">
        <v>72</v>
      </c>
      <c r="S35" s="26" t="s">
        <v>73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6" spans="3:50" s="19" customFormat="1" ht="11.25" x14ac:dyDescent="0.2">
      <c r="C36" s="18"/>
      <c r="D36" s="25"/>
      <c r="E36" s="25"/>
      <c r="F36" s="25" t="s">
        <v>27</v>
      </c>
      <c r="G36" s="25"/>
      <c r="H36" s="25"/>
      <c r="I36" s="25" t="s">
        <v>27</v>
      </c>
      <c r="J36" s="25" t="s">
        <v>27</v>
      </c>
      <c r="K36" s="25"/>
      <c r="L36" s="25"/>
      <c r="M36" s="25" t="s">
        <v>27</v>
      </c>
      <c r="N36" s="25" t="s">
        <v>27</v>
      </c>
      <c r="O36" s="25" t="s">
        <v>27</v>
      </c>
      <c r="P36" s="25" t="s">
        <v>27</v>
      </c>
      <c r="Q36" s="25" t="s">
        <v>27</v>
      </c>
      <c r="R36" s="25" t="s">
        <v>27</v>
      </c>
      <c r="S36" s="25" t="s">
        <v>27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</row>
    <row r="37" spans="3:50" s="19" customFormat="1" ht="11.25" x14ac:dyDescent="0.2">
      <c r="C37" s="18"/>
      <c r="D37" s="25"/>
      <c r="E37" s="25"/>
      <c r="F37" s="25" t="s">
        <v>52</v>
      </c>
      <c r="G37" s="25"/>
      <c r="H37" s="25"/>
      <c r="I37" s="25" t="s">
        <v>56</v>
      </c>
      <c r="J37" s="26" t="s">
        <v>58</v>
      </c>
      <c r="K37" s="25"/>
      <c r="L37" s="25"/>
      <c r="M37" s="26" t="s">
        <v>32</v>
      </c>
      <c r="N37" s="26" t="s">
        <v>33</v>
      </c>
      <c r="O37" s="25" t="s">
        <v>69</v>
      </c>
      <c r="P37" s="26" t="s">
        <v>51</v>
      </c>
      <c r="Q37" s="26" t="s">
        <v>55</v>
      </c>
      <c r="R37" s="25" t="s">
        <v>74</v>
      </c>
      <c r="S37" s="25" t="s">
        <v>75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</row>
    <row r="38" spans="3:50" s="19" customFormat="1" ht="11.25" x14ac:dyDescent="0.2">
      <c r="C38" s="18"/>
      <c r="D38" s="25"/>
      <c r="E38" s="25"/>
      <c r="F38" s="25"/>
      <c r="G38" s="25"/>
      <c r="H38" s="25"/>
      <c r="I38" s="25"/>
    </row>
    <row r="39" spans="3:50" x14ac:dyDescent="0.2">
      <c r="C39" s="44">
        <v>36861</v>
      </c>
      <c r="D39" s="8"/>
      <c r="E39" s="8"/>
      <c r="F39" s="4"/>
      <c r="G39" s="8"/>
      <c r="H39" s="8"/>
      <c r="I39" s="4"/>
      <c r="J39" s="8">
        <v>2627.21</v>
      </c>
    </row>
    <row r="40" spans="3:50" x14ac:dyDescent="0.2">
      <c r="C40" s="44">
        <v>36892</v>
      </c>
      <c r="D40" s="8">
        <v>26481.05</v>
      </c>
      <c r="E40" s="8">
        <v>15880</v>
      </c>
      <c r="F40" s="4">
        <f t="shared" ref="F40:F52" si="3">D40-E40</f>
        <v>10601.05</v>
      </c>
      <c r="G40" s="8">
        <v>0</v>
      </c>
      <c r="H40" s="8">
        <v>0</v>
      </c>
      <c r="I40" s="4">
        <f t="shared" ref="I40:I52" si="4">G40-H40</f>
        <v>0</v>
      </c>
      <c r="J40" s="1">
        <f t="shared" ref="J40:J52" si="5">+F40+I40</f>
        <v>10601.05</v>
      </c>
    </row>
    <row r="41" spans="3:50" x14ac:dyDescent="0.2">
      <c r="C41" s="44">
        <v>36923</v>
      </c>
      <c r="D41" s="8">
        <v>126054.28</v>
      </c>
      <c r="E41" s="8">
        <v>125267.76</v>
      </c>
      <c r="F41" s="4">
        <f t="shared" si="3"/>
        <v>786.52000000000407</v>
      </c>
      <c r="G41" s="8">
        <v>0</v>
      </c>
      <c r="H41" s="8">
        <v>0</v>
      </c>
      <c r="I41" s="4">
        <f t="shared" si="4"/>
        <v>0</v>
      </c>
      <c r="J41" s="1">
        <f t="shared" si="5"/>
        <v>786.52000000000407</v>
      </c>
      <c r="L41" s="44">
        <f t="shared" ref="L41:L52" si="6">+A14</f>
        <v>36892</v>
      </c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</row>
    <row r="42" spans="3:50" x14ac:dyDescent="0.2">
      <c r="C42" s="44">
        <v>36951</v>
      </c>
      <c r="D42" s="8">
        <v>116795.07</v>
      </c>
      <c r="E42" s="8">
        <v>116115.3</v>
      </c>
      <c r="F42" s="4">
        <f t="shared" si="3"/>
        <v>679.77000000000407</v>
      </c>
      <c r="G42" s="8">
        <v>15838.9</v>
      </c>
      <c r="H42" s="8">
        <v>15838.9</v>
      </c>
      <c r="I42" s="4">
        <f t="shared" si="4"/>
        <v>0</v>
      </c>
      <c r="J42" s="1">
        <f t="shared" si="5"/>
        <v>679.77000000000407</v>
      </c>
      <c r="L42" s="44">
        <f t="shared" si="6"/>
        <v>36923</v>
      </c>
      <c r="M42" s="1">
        <f t="shared" ref="M42:N52" si="7">+L15</f>
        <v>132633.97</v>
      </c>
      <c r="N42" s="1">
        <f t="shared" si="7"/>
        <v>0</v>
      </c>
      <c r="O42" s="1">
        <f>SUM(M42:N42)</f>
        <v>132633.97</v>
      </c>
      <c r="P42" s="1">
        <f>+D42</f>
        <v>116795.07</v>
      </c>
      <c r="Q42" s="1">
        <f>+G42</f>
        <v>15838.9</v>
      </c>
      <c r="R42" s="1">
        <f>+P42+Q42</f>
        <v>132633.97</v>
      </c>
      <c r="S42" s="1">
        <f>+O42-R42</f>
        <v>0</v>
      </c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</row>
    <row r="43" spans="3:50" x14ac:dyDescent="0.2">
      <c r="C43" s="44">
        <v>36982</v>
      </c>
      <c r="D43" s="8">
        <v>82294.95</v>
      </c>
      <c r="E43" s="8">
        <f>81885.52</f>
        <v>81885.52</v>
      </c>
      <c r="F43" s="4">
        <f t="shared" si="3"/>
        <v>409.42999999999302</v>
      </c>
      <c r="G43" s="8">
        <v>0</v>
      </c>
      <c r="H43" s="8">
        <v>0</v>
      </c>
      <c r="I43" s="4">
        <f t="shared" si="4"/>
        <v>0</v>
      </c>
      <c r="J43" s="1">
        <f t="shared" si="5"/>
        <v>409.42999999999302</v>
      </c>
      <c r="L43" s="44">
        <f t="shared" si="6"/>
        <v>36951</v>
      </c>
      <c r="M43" s="1">
        <f t="shared" si="7"/>
        <v>82294.95</v>
      </c>
      <c r="N43" s="1">
        <f t="shared" si="7"/>
        <v>0</v>
      </c>
      <c r="O43" s="1">
        <f t="shared" ref="O43:O52" si="8">SUM(M43:N43)</f>
        <v>82294.95</v>
      </c>
      <c r="P43" s="1">
        <f t="shared" ref="P43:P52" si="9">+D43</f>
        <v>82294.95</v>
      </c>
      <c r="Q43" s="1">
        <f t="shared" ref="Q43:Q52" si="10">+G43</f>
        <v>0</v>
      </c>
      <c r="R43" s="1">
        <f t="shared" ref="R43:R52" si="11">+P43+Q43</f>
        <v>82294.95</v>
      </c>
      <c r="S43" s="1">
        <f t="shared" ref="S43:S52" si="12">+O43-R43</f>
        <v>0</v>
      </c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3:50" x14ac:dyDescent="0.2">
      <c r="C44" s="44">
        <v>37021</v>
      </c>
      <c r="D44" s="8">
        <f>80637.9</f>
        <v>80637.899999999994</v>
      </c>
      <c r="E44" s="8">
        <v>80236.72</v>
      </c>
      <c r="F44" s="4">
        <f t="shared" si="3"/>
        <v>401.17999999999302</v>
      </c>
      <c r="G44" s="8">
        <v>0</v>
      </c>
      <c r="H44" s="8">
        <v>0</v>
      </c>
      <c r="I44" s="4">
        <f t="shared" si="4"/>
        <v>0</v>
      </c>
      <c r="J44" s="1">
        <f t="shared" si="5"/>
        <v>401.17999999999302</v>
      </c>
      <c r="L44" s="44">
        <f t="shared" si="6"/>
        <v>36982</v>
      </c>
      <c r="M44" s="1">
        <f t="shared" si="7"/>
        <v>80637.899999999994</v>
      </c>
      <c r="N44" s="1">
        <f t="shared" si="7"/>
        <v>0</v>
      </c>
      <c r="O44" s="1">
        <f t="shared" si="8"/>
        <v>80637.899999999994</v>
      </c>
      <c r="P44" s="1">
        <f t="shared" si="9"/>
        <v>80637.899999999994</v>
      </c>
      <c r="Q44" s="1">
        <f t="shared" si="10"/>
        <v>0</v>
      </c>
      <c r="R44" s="1">
        <f t="shared" si="11"/>
        <v>80637.899999999994</v>
      </c>
      <c r="S44" s="1">
        <f t="shared" si="12"/>
        <v>0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</row>
    <row r="45" spans="3:50" x14ac:dyDescent="0.2">
      <c r="C45" s="44">
        <v>37043</v>
      </c>
      <c r="D45" s="8">
        <f>60729.98</f>
        <v>60729.98</v>
      </c>
      <c r="E45" s="8">
        <v>0</v>
      </c>
      <c r="F45" s="4">
        <f t="shared" si="3"/>
        <v>60729.98</v>
      </c>
      <c r="G45" s="8">
        <v>40051.1</v>
      </c>
      <c r="H45" s="8">
        <v>40051.1</v>
      </c>
      <c r="I45" s="4">
        <f t="shared" si="4"/>
        <v>0</v>
      </c>
      <c r="J45" s="1">
        <f t="shared" si="5"/>
        <v>60729.98</v>
      </c>
      <c r="L45" s="44">
        <f t="shared" si="6"/>
        <v>37021</v>
      </c>
      <c r="M45" s="1">
        <f t="shared" si="7"/>
        <v>108223.3</v>
      </c>
      <c r="N45" s="1">
        <f t="shared" si="7"/>
        <v>-7442.22</v>
      </c>
      <c r="O45" s="1">
        <f t="shared" si="8"/>
        <v>100781.08</v>
      </c>
      <c r="P45" s="1">
        <f t="shared" si="9"/>
        <v>60729.98</v>
      </c>
      <c r="Q45" s="1">
        <f t="shared" si="10"/>
        <v>40051.1</v>
      </c>
      <c r="R45" s="1">
        <f t="shared" si="11"/>
        <v>100781.08</v>
      </c>
      <c r="S45" s="1">
        <f t="shared" si="12"/>
        <v>0</v>
      </c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3:50" x14ac:dyDescent="0.2">
      <c r="C46" s="44">
        <v>37073</v>
      </c>
      <c r="D46" s="8">
        <f>49200.86</f>
        <v>49200.86</v>
      </c>
      <c r="E46" s="8">
        <v>0</v>
      </c>
      <c r="F46" s="4">
        <f t="shared" si="3"/>
        <v>49200.86</v>
      </c>
      <c r="G46" s="8">
        <v>29231.95</v>
      </c>
      <c r="H46" s="8">
        <v>0</v>
      </c>
      <c r="I46" s="4">
        <f t="shared" si="4"/>
        <v>29231.95</v>
      </c>
      <c r="J46" s="1">
        <f t="shared" si="5"/>
        <v>78432.81</v>
      </c>
      <c r="L46" s="44">
        <f t="shared" si="6"/>
        <v>37043</v>
      </c>
      <c r="M46" s="1">
        <f t="shared" si="7"/>
        <v>81661.240000000005</v>
      </c>
      <c r="N46" s="1">
        <f t="shared" si="7"/>
        <v>-3228.43</v>
      </c>
      <c r="O46" s="1">
        <f t="shared" si="8"/>
        <v>78432.810000000012</v>
      </c>
      <c r="P46" s="1">
        <f t="shared" si="9"/>
        <v>49200.86</v>
      </c>
      <c r="Q46" s="1">
        <f t="shared" si="10"/>
        <v>29231.95</v>
      </c>
      <c r="R46" s="1">
        <f t="shared" si="11"/>
        <v>78432.81</v>
      </c>
      <c r="S46" s="1">
        <f t="shared" si="12"/>
        <v>0</v>
      </c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3:50" x14ac:dyDescent="0.2">
      <c r="C47" s="44">
        <v>37104</v>
      </c>
      <c r="D47" s="8">
        <v>92424.7</v>
      </c>
      <c r="E47" s="8">
        <v>0</v>
      </c>
      <c r="F47" s="4">
        <f t="shared" si="3"/>
        <v>92424.7</v>
      </c>
      <c r="G47" s="8">
        <v>0</v>
      </c>
      <c r="H47" s="8">
        <v>0</v>
      </c>
      <c r="I47" s="4">
        <f t="shared" si="4"/>
        <v>0</v>
      </c>
      <c r="J47" s="1">
        <f t="shared" si="5"/>
        <v>92424.7</v>
      </c>
      <c r="L47" s="44">
        <f t="shared" si="6"/>
        <v>37073</v>
      </c>
      <c r="M47" s="1">
        <f t="shared" si="7"/>
        <v>111232.24</v>
      </c>
      <c r="N47" s="1">
        <f t="shared" si="7"/>
        <v>-18807.54</v>
      </c>
      <c r="O47" s="1">
        <f t="shared" si="8"/>
        <v>92424.700000000012</v>
      </c>
      <c r="P47" s="1">
        <f t="shared" si="9"/>
        <v>92424.7</v>
      </c>
      <c r="Q47" s="1">
        <f t="shared" si="10"/>
        <v>0</v>
      </c>
      <c r="R47" s="1">
        <f t="shared" si="11"/>
        <v>92424.7</v>
      </c>
      <c r="S47" s="1">
        <f t="shared" si="12"/>
        <v>0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</row>
    <row r="48" spans="3:50" x14ac:dyDescent="0.2">
      <c r="C48" s="44">
        <v>37135</v>
      </c>
      <c r="D48" s="8">
        <v>118584.61</v>
      </c>
      <c r="E48" s="8">
        <v>0</v>
      </c>
      <c r="F48" s="4">
        <f t="shared" si="3"/>
        <v>118584.61</v>
      </c>
      <c r="G48" s="8">
        <v>1100</v>
      </c>
      <c r="H48" s="8">
        <v>0</v>
      </c>
      <c r="I48" s="4">
        <f t="shared" si="4"/>
        <v>1100</v>
      </c>
      <c r="J48" s="1">
        <f t="shared" si="5"/>
        <v>119684.61</v>
      </c>
      <c r="L48" s="44">
        <f t="shared" si="6"/>
        <v>37104</v>
      </c>
      <c r="M48" s="1">
        <f t="shared" si="7"/>
        <v>138105</v>
      </c>
      <c r="N48" s="1">
        <f t="shared" si="7"/>
        <v>-18420.39</v>
      </c>
      <c r="O48" s="1">
        <f t="shared" si="8"/>
        <v>119684.61</v>
      </c>
      <c r="P48" s="1">
        <f t="shared" si="9"/>
        <v>118584.61</v>
      </c>
      <c r="Q48" s="1">
        <f t="shared" si="10"/>
        <v>1100</v>
      </c>
      <c r="R48" s="1">
        <f t="shared" si="11"/>
        <v>119684.61</v>
      </c>
      <c r="S48" s="1">
        <f t="shared" si="12"/>
        <v>0</v>
      </c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</row>
    <row r="49" spans="3:50" x14ac:dyDescent="0.2">
      <c r="C49" s="44">
        <v>37165</v>
      </c>
      <c r="D49" s="8">
        <v>107572.87</v>
      </c>
      <c r="E49" s="8">
        <v>0</v>
      </c>
      <c r="F49" s="4">
        <f t="shared" si="3"/>
        <v>107572.87</v>
      </c>
      <c r="G49" s="8">
        <v>9385.2000000000007</v>
      </c>
      <c r="H49" s="8">
        <v>0</v>
      </c>
      <c r="I49" s="4">
        <f t="shared" si="4"/>
        <v>9385.2000000000007</v>
      </c>
      <c r="J49" s="1">
        <f t="shared" si="5"/>
        <v>116958.06999999999</v>
      </c>
      <c r="L49" s="44">
        <f t="shared" si="6"/>
        <v>37135</v>
      </c>
      <c r="M49" s="1">
        <f t="shared" si="7"/>
        <v>119684.61</v>
      </c>
      <c r="N49" s="1">
        <f t="shared" si="7"/>
        <v>-2726.54</v>
      </c>
      <c r="O49" s="1">
        <f t="shared" si="8"/>
        <v>116958.07</v>
      </c>
      <c r="P49" s="1">
        <f t="shared" si="9"/>
        <v>107572.87</v>
      </c>
      <c r="Q49" s="1">
        <f t="shared" si="10"/>
        <v>9385.2000000000007</v>
      </c>
      <c r="R49" s="1">
        <f t="shared" si="11"/>
        <v>116958.06999999999</v>
      </c>
      <c r="S49" s="1">
        <f t="shared" si="12"/>
        <v>0</v>
      </c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</row>
    <row r="50" spans="3:50" x14ac:dyDescent="0.2">
      <c r="C50" s="44">
        <v>37196</v>
      </c>
      <c r="D50" s="8">
        <v>74594.44</v>
      </c>
      <c r="E50" s="8">
        <v>0</v>
      </c>
      <c r="F50" s="4">
        <f t="shared" si="3"/>
        <v>74594.44</v>
      </c>
      <c r="G50" s="8">
        <v>0</v>
      </c>
      <c r="H50" s="8">
        <v>0</v>
      </c>
      <c r="I50" s="4">
        <f t="shared" si="4"/>
        <v>0</v>
      </c>
      <c r="J50" s="1">
        <f t="shared" si="5"/>
        <v>74594.44</v>
      </c>
      <c r="L50" s="44">
        <f t="shared" si="6"/>
        <v>37165</v>
      </c>
      <c r="M50" s="1">
        <f t="shared" si="7"/>
        <v>89387.199999999997</v>
      </c>
      <c r="N50" s="1">
        <f t="shared" si="7"/>
        <v>-14792.76</v>
      </c>
      <c r="O50" s="1">
        <f t="shared" si="8"/>
        <v>74594.44</v>
      </c>
      <c r="P50" s="1">
        <f t="shared" si="9"/>
        <v>74594.44</v>
      </c>
      <c r="Q50" s="1">
        <f t="shared" si="10"/>
        <v>0</v>
      </c>
      <c r="R50" s="1">
        <f t="shared" si="11"/>
        <v>74594.44</v>
      </c>
      <c r="S50" s="1">
        <f t="shared" si="12"/>
        <v>0</v>
      </c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</row>
    <row r="51" spans="3:50" x14ac:dyDescent="0.2">
      <c r="C51" s="44">
        <v>37226</v>
      </c>
      <c r="D51" s="8">
        <v>95840.9</v>
      </c>
      <c r="E51" s="8">
        <v>95840.9</v>
      </c>
      <c r="F51" s="4">
        <f t="shared" si="3"/>
        <v>0</v>
      </c>
      <c r="G51" s="8">
        <v>0</v>
      </c>
      <c r="H51" s="8">
        <v>0</v>
      </c>
      <c r="I51" s="4">
        <f t="shared" si="4"/>
        <v>0</v>
      </c>
      <c r="J51" s="1">
        <f t="shared" si="5"/>
        <v>0</v>
      </c>
      <c r="L51" s="44">
        <f t="shared" si="6"/>
        <v>37196</v>
      </c>
      <c r="M51" s="1">
        <f t="shared" si="7"/>
        <v>108405</v>
      </c>
      <c r="N51" s="1">
        <f t="shared" si="7"/>
        <v>-12564.1</v>
      </c>
      <c r="O51" s="1">
        <f t="shared" si="8"/>
        <v>95840.9</v>
      </c>
      <c r="P51" s="1">
        <f t="shared" si="9"/>
        <v>95840.9</v>
      </c>
      <c r="Q51" s="1">
        <f t="shared" si="10"/>
        <v>0</v>
      </c>
      <c r="R51" s="1">
        <f t="shared" si="11"/>
        <v>95840.9</v>
      </c>
      <c r="S51" s="1">
        <f t="shared" si="12"/>
        <v>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3:50" x14ac:dyDescent="0.2">
      <c r="C52" s="44">
        <v>37257</v>
      </c>
      <c r="D52" s="16">
        <v>77388.460000000006</v>
      </c>
      <c r="E52" s="16">
        <f>77388.46</f>
        <v>77388.460000000006</v>
      </c>
      <c r="F52" s="3">
        <f t="shared" si="3"/>
        <v>0</v>
      </c>
      <c r="G52" s="16">
        <v>0</v>
      </c>
      <c r="H52" s="16">
        <v>0</v>
      </c>
      <c r="I52" s="3">
        <f t="shared" si="4"/>
        <v>0</v>
      </c>
      <c r="J52" s="3">
        <f t="shared" si="5"/>
        <v>0</v>
      </c>
      <c r="L52" s="44">
        <f t="shared" si="6"/>
        <v>37226</v>
      </c>
      <c r="M52" s="1">
        <f t="shared" si="7"/>
        <v>77388.460000000006</v>
      </c>
      <c r="N52" s="1">
        <f t="shared" si="7"/>
        <v>0</v>
      </c>
      <c r="O52" s="1">
        <f t="shared" si="8"/>
        <v>77388.460000000006</v>
      </c>
      <c r="P52" s="1">
        <f t="shared" si="9"/>
        <v>77388.460000000006</v>
      </c>
      <c r="Q52" s="1">
        <f t="shared" si="10"/>
        <v>0</v>
      </c>
      <c r="R52" s="1">
        <f t="shared" si="11"/>
        <v>77388.460000000006</v>
      </c>
      <c r="S52" s="1">
        <f t="shared" si="12"/>
        <v>0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3:50" x14ac:dyDescent="0.2">
      <c r="D53" s="1">
        <f t="shared" ref="D53:I53" si="13">SUM(D39:D52)</f>
        <v>1108600.07</v>
      </c>
      <c r="E53" s="1">
        <f t="shared" si="13"/>
        <v>592614.66</v>
      </c>
      <c r="F53" s="1">
        <f t="shared" si="13"/>
        <v>515985.41</v>
      </c>
      <c r="G53" s="1">
        <f t="shared" si="13"/>
        <v>95607.15</v>
      </c>
      <c r="H53" s="1">
        <f t="shared" si="13"/>
        <v>55890</v>
      </c>
      <c r="I53" s="1">
        <f t="shared" si="13"/>
        <v>39717.15</v>
      </c>
      <c r="J53" s="36">
        <f>SUM(J39:J52)</f>
        <v>558329.77</v>
      </c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3:50" x14ac:dyDescent="0.2"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3:50" x14ac:dyDescent="0.2"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3:50" ht="15" x14ac:dyDescent="0.35">
      <c r="H56" s="42" t="s">
        <v>83</v>
      </c>
      <c r="I56" s="43"/>
      <c r="J56" s="43"/>
      <c r="K56" s="43"/>
      <c r="L56" s="43"/>
      <c r="M56" s="43"/>
      <c r="N56" s="43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3:50" ht="6" customHeight="1" x14ac:dyDescent="0.2">
      <c r="H57" s="37"/>
      <c r="I57" s="38"/>
      <c r="J57" s="38"/>
      <c r="K57" s="38"/>
      <c r="L57" s="38"/>
      <c r="M57" s="38"/>
      <c r="N57" s="38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3:50" x14ac:dyDescent="0.2">
      <c r="H58" s="37" t="s">
        <v>84</v>
      </c>
      <c r="I58" s="38"/>
      <c r="J58" s="38"/>
      <c r="K58" s="38"/>
      <c r="L58" s="38"/>
      <c r="M58" s="38"/>
      <c r="N58" s="39">
        <f>+J53</f>
        <v>558329.77</v>
      </c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3:50" x14ac:dyDescent="0.2">
      <c r="H59" s="37" t="s">
        <v>82</v>
      </c>
      <c r="I59" s="38"/>
      <c r="J59" s="38"/>
      <c r="K59" s="38"/>
      <c r="L59" s="38"/>
      <c r="M59" s="38"/>
      <c r="N59" s="39">
        <f>E24</f>
        <v>108405</v>
      </c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3:50" ht="15" x14ac:dyDescent="0.35">
      <c r="H60" s="37" t="s">
        <v>79</v>
      </c>
      <c r="I60" s="38"/>
      <c r="J60" s="38"/>
      <c r="K60" s="38"/>
      <c r="L60" s="38"/>
      <c r="M60" s="38"/>
      <c r="N60" s="45">
        <f>-D25</f>
        <v>600377.5</v>
      </c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3:50" x14ac:dyDescent="0.2">
      <c r="H61" s="37" t="s">
        <v>4</v>
      </c>
      <c r="I61" s="38"/>
      <c r="J61" s="38"/>
      <c r="K61" s="38"/>
      <c r="L61" s="38"/>
      <c r="M61" s="38"/>
      <c r="N61" s="39">
        <f>SUM(N58:N60)</f>
        <v>1267112.27</v>
      </c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3:50" ht="6" customHeight="1" x14ac:dyDescent="0.2">
      <c r="H62" s="40"/>
      <c r="I62" s="41"/>
      <c r="J62" s="41"/>
      <c r="K62" s="41"/>
      <c r="L62" s="41"/>
      <c r="M62" s="41"/>
      <c r="N62" s="41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3:50" x14ac:dyDescent="0.2"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3:50" x14ac:dyDescent="0.2"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0:50" x14ac:dyDescent="0.2"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0:50" x14ac:dyDescent="0.2"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0:50" x14ac:dyDescent="0.2"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0:50" x14ac:dyDescent="0.2"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0:50" x14ac:dyDescent="0.2"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0:50" x14ac:dyDescent="0.2"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0:50" x14ac:dyDescent="0.2"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0:50" x14ac:dyDescent="0.2">
      <c r="J72" s="15"/>
      <c r="K72" s="15"/>
      <c r="L72" s="15"/>
      <c r="M72" s="15"/>
      <c r="N72" s="15"/>
      <c r="O72" s="15"/>
      <c r="P72" s="15"/>
      <c r="Q72" s="15"/>
      <c r="R72" s="15"/>
      <c r="S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</row>
    <row r="73" spans="10:50" x14ac:dyDescent="0.2">
      <c r="J73" s="15"/>
      <c r="K73" s="15"/>
      <c r="L73" s="15"/>
      <c r="M73" s="15"/>
      <c r="N73" s="15"/>
      <c r="O73" s="15"/>
      <c r="P73" s="15"/>
      <c r="Q73" s="15"/>
      <c r="R73" s="15"/>
      <c r="S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</row>
  </sheetData>
  <mergeCells count="3">
    <mergeCell ref="C5:H5"/>
    <mergeCell ref="B30:S30"/>
    <mergeCell ref="R1:S1"/>
  </mergeCells>
  <phoneticPr fontId="0" type="noConversion"/>
  <printOptions horizontalCentered="1"/>
  <pageMargins left="0.25" right="0.25" top="0" bottom="0" header="0.5" footer="0.5"/>
  <pageSetup paperSize="5"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zoomScale="75" workbookViewId="0">
      <selection activeCell="C12" sqref="C12"/>
    </sheetView>
  </sheetViews>
  <sheetFormatPr defaultRowHeight="15" x14ac:dyDescent="0.2"/>
  <cols>
    <col min="1" max="1" width="14.140625" bestFit="1" customWidth="1"/>
    <col min="2" max="2" width="18.5703125" style="14" bestFit="1" customWidth="1"/>
    <col min="3" max="3" width="3.28515625" customWidth="1"/>
    <col min="4" max="4" width="20.28515625" style="14" bestFit="1" customWidth="1"/>
    <col min="5" max="5" width="3.140625" customWidth="1"/>
    <col min="6" max="6" width="15.7109375" style="14" bestFit="1" customWidth="1"/>
    <col min="7" max="7" width="3.28515625" customWidth="1"/>
  </cols>
  <sheetData/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Plant-ENA Recon</vt:lpstr>
      <vt:lpstr>Sheet1</vt:lpstr>
      <vt:lpstr>'Plant-ENA Recon'!Print_Area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Armstrong</dc:creator>
  <cp:lastModifiedBy>Felienne</cp:lastModifiedBy>
  <cp:lastPrinted>2002-02-08T19:59:53Z</cp:lastPrinted>
  <dcterms:created xsi:type="dcterms:W3CDTF">2002-02-04T23:20:35Z</dcterms:created>
  <dcterms:modified xsi:type="dcterms:W3CDTF">2014-09-04T08:22:20Z</dcterms:modified>
</cp:coreProperties>
</file>