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640" windowHeight="6465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ENRON!$E$7:$AN$85</definedName>
  </definedNames>
  <calcPr calcId="152511" fullCalcOnLoad="1" iterate="1" iterateDelta="1"/>
</workbook>
</file>

<file path=xl/calcChain.xml><?xml version="1.0" encoding="utf-8"?>
<calcChain xmlns="http://schemas.openxmlformats.org/spreadsheetml/2006/main">
  <c r="E7" i="2" l="1"/>
  <c r="I7" i="2" s="1"/>
  <c r="S7" i="2"/>
  <c r="T7" i="2"/>
  <c r="V7" i="2"/>
  <c r="AH7" i="2"/>
  <c r="D6" i="1" s="1"/>
  <c r="AJ7" i="2"/>
  <c r="F6" i="1" s="1"/>
  <c r="AL7" i="2"/>
  <c r="H6" i="1" s="1"/>
  <c r="AW7" i="2"/>
  <c r="E9" i="2"/>
  <c r="AD9" i="2" s="1"/>
  <c r="T9" i="2"/>
  <c r="V9" i="2"/>
  <c r="AF9" i="2"/>
  <c r="AL9" i="2"/>
  <c r="H7" i="1" s="1"/>
  <c r="AP9" i="2"/>
  <c r="E10" i="2"/>
  <c r="M10" i="2" s="1"/>
  <c r="Q10" i="2" s="1"/>
  <c r="V10" i="2"/>
  <c r="AF10" i="2"/>
  <c r="AJ10" i="2"/>
  <c r="F8" i="1" s="1"/>
  <c r="E13" i="2"/>
  <c r="AD13" i="2" s="1"/>
  <c r="T13" i="2"/>
  <c r="V13" i="2"/>
  <c r="V25" i="2" s="1"/>
  <c r="AF13" i="2"/>
  <c r="AL13" i="2"/>
  <c r="AP13" i="2"/>
  <c r="AN13" i="2" s="1"/>
  <c r="AX13" i="2"/>
  <c r="E14" i="2"/>
  <c r="M14" i="2" s="1"/>
  <c r="Q14" i="2" s="1"/>
  <c r="I14" i="2"/>
  <c r="T14" i="2"/>
  <c r="V14" i="2"/>
  <c r="Z14" i="2"/>
  <c r="AF14" i="2"/>
  <c r="AH14" i="2"/>
  <c r="AP14" i="2"/>
  <c r="AN14" i="2" s="1"/>
  <c r="AW14" i="2"/>
  <c r="AL14" i="2" s="1"/>
  <c r="E15" i="2"/>
  <c r="T15" i="2" s="1"/>
  <c r="I15" i="2"/>
  <c r="M15" i="2"/>
  <c r="Q15" i="2" s="1"/>
  <c r="V15" i="2"/>
  <c r="Z15" i="2"/>
  <c r="AD15" i="2"/>
  <c r="AF15" i="2"/>
  <c r="AH15" i="2"/>
  <c r="AJ15" i="2"/>
  <c r="AP15" i="2"/>
  <c r="AN15" i="2" s="1"/>
  <c r="AR15" i="2"/>
  <c r="AW15" i="2"/>
  <c r="AL15" i="2" s="1"/>
  <c r="E16" i="2"/>
  <c r="T16" i="2" s="1"/>
  <c r="I16" i="2"/>
  <c r="M16" i="2"/>
  <c r="Q16" i="2" s="1"/>
  <c r="V16" i="2"/>
  <c r="Z16" i="2"/>
  <c r="AD16" i="2"/>
  <c r="AF16" i="2"/>
  <c r="AH16" i="2"/>
  <c r="AJ16" i="2"/>
  <c r="AP16" i="2"/>
  <c r="AN16" i="2" s="1"/>
  <c r="AW16" i="2"/>
  <c r="AL16" i="2" s="1"/>
  <c r="E17" i="2"/>
  <c r="T17" i="2" s="1"/>
  <c r="V17" i="2"/>
  <c r="AF17" i="2"/>
  <c r="AJ17" i="2"/>
  <c r="AP17" i="2"/>
  <c r="AN17" i="2" s="1"/>
  <c r="AW17" i="2"/>
  <c r="E18" i="2"/>
  <c r="AH18" i="2" s="1"/>
  <c r="M18" i="2"/>
  <c r="T18" i="2"/>
  <c r="V18" i="2"/>
  <c r="Z18" i="2"/>
  <c r="AD18" i="2"/>
  <c r="AF18" i="2"/>
  <c r="AL18" i="2"/>
  <c r="AP18" i="2"/>
  <c r="AN18" i="2" s="1"/>
  <c r="AV18" i="2"/>
  <c r="AJ18" i="2" s="1"/>
  <c r="AW18" i="2"/>
  <c r="AX18" i="2"/>
  <c r="E19" i="2"/>
  <c r="I19" i="2" s="1"/>
  <c r="M19" i="2"/>
  <c r="Q19" i="2"/>
  <c r="T19" i="2"/>
  <c r="V19" i="2"/>
  <c r="Z19" i="2"/>
  <c r="AD19" i="2"/>
  <c r="AF19" i="2"/>
  <c r="AJ19" i="2"/>
  <c r="AL19" i="2"/>
  <c r="AN19" i="2"/>
  <c r="AP19" i="2"/>
  <c r="AW19" i="2"/>
  <c r="E20" i="2"/>
  <c r="AJ20" i="2" s="1"/>
  <c r="Z20" i="2"/>
  <c r="AD20" i="2"/>
  <c r="AF20" i="2"/>
  <c r="AF25" i="2" s="1"/>
  <c r="AP20" i="2"/>
  <c r="AW20" i="2"/>
  <c r="AL20" i="2" s="1"/>
  <c r="E21" i="2"/>
  <c r="AL21" i="2" s="1"/>
  <c r="I21" i="2"/>
  <c r="V21" i="2"/>
  <c r="AF21" i="2"/>
  <c r="AH21" i="2"/>
  <c r="AP21" i="2"/>
  <c r="AW21" i="2"/>
  <c r="E22" i="2"/>
  <c r="AH22" i="2" s="1"/>
  <c r="T22" i="2"/>
  <c r="Z22" i="2"/>
  <c r="AF22" i="2"/>
  <c r="AP22" i="2"/>
  <c r="AN22" i="2" s="1"/>
  <c r="AW22" i="2"/>
  <c r="AL22" i="2" s="1"/>
  <c r="E23" i="2"/>
  <c r="T23" i="2" s="1"/>
  <c r="I23" i="2"/>
  <c r="M23" i="2"/>
  <c r="Q23" i="2" s="1"/>
  <c r="V23" i="2"/>
  <c r="Z23" i="2"/>
  <c r="AD23" i="2"/>
  <c r="AF23" i="2"/>
  <c r="AH23" i="2"/>
  <c r="AJ23" i="2"/>
  <c r="AP23" i="2"/>
  <c r="AN23" i="2" s="1"/>
  <c r="AW23" i="2"/>
  <c r="AL23" i="2" s="1"/>
  <c r="AT29" i="2"/>
  <c r="AV29" i="2"/>
  <c r="AX29" i="2"/>
  <c r="A31" i="2"/>
  <c r="C31" i="2"/>
  <c r="E31" i="2"/>
  <c r="Z31" i="2"/>
  <c r="AD31" i="2"/>
  <c r="AH31" i="2"/>
  <c r="AJ31" i="2"/>
  <c r="AL31" i="2"/>
  <c r="AN31" i="2"/>
  <c r="A32" i="2"/>
  <c r="C32" i="2"/>
  <c r="E32" i="2"/>
  <c r="AH32" i="2" s="1"/>
  <c r="Z32" i="2"/>
  <c r="AD32" i="2"/>
  <c r="AJ32" i="2"/>
  <c r="AL32" i="2"/>
  <c r="AN32" i="2"/>
  <c r="A33" i="2"/>
  <c r="C33" i="2"/>
  <c r="E33" i="2"/>
  <c r="Z33" i="2"/>
  <c r="AD33" i="2"/>
  <c r="AH33" i="2"/>
  <c r="AJ33" i="2"/>
  <c r="AL33" i="2"/>
  <c r="AN33" i="2"/>
  <c r="A34" i="2"/>
  <c r="C34" i="2"/>
  <c r="E34" i="2"/>
  <c r="X34" i="2"/>
  <c r="Z34" i="2"/>
  <c r="AH34" i="2"/>
  <c r="AJ34" i="2"/>
  <c r="AL34" i="2"/>
  <c r="AN34" i="2"/>
  <c r="A35" i="2"/>
  <c r="C35" i="2"/>
  <c r="E35" i="2"/>
  <c r="Z35" i="2"/>
  <c r="AH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AN37" i="2" s="1"/>
  <c r="Z37" i="2"/>
  <c r="AH37" i="2"/>
  <c r="A38" i="2"/>
  <c r="C38" i="2"/>
  <c r="E38" i="2"/>
  <c r="AL38" i="2" s="1"/>
  <c r="Z38" i="2"/>
  <c r="AD38" i="2"/>
  <c r="A39" i="2"/>
  <c r="C39" i="2"/>
  <c r="E39" i="2"/>
  <c r="AH39" i="2" s="1"/>
  <c r="Z39" i="2"/>
  <c r="AD39" i="2"/>
  <c r="A40" i="2"/>
  <c r="C40" i="2"/>
  <c r="E40" i="2"/>
  <c r="AH40" i="2" s="1"/>
  <c r="Z40" i="2"/>
  <c r="AD40" i="2"/>
  <c r="X46" i="2"/>
  <c r="AB46" i="2"/>
  <c r="X47" i="2"/>
  <c r="AB47" i="2"/>
  <c r="X48" i="2"/>
  <c r="AB48" i="2"/>
  <c r="S84" i="2"/>
  <c r="X84" i="2"/>
  <c r="X7" i="2" s="1"/>
  <c r="AB84" i="2"/>
  <c r="AB7" i="2" s="1"/>
  <c r="B8" i="1"/>
  <c r="T25" i="2" l="1"/>
  <c r="AD25" i="2"/>
  <c r="Z7" i="2"/>
  <c r="B6" i="1" s="1"/>
  <c r="AF7" i="2"/>
  <c r="AN40" i="2"/>
  <c r="AD21" i="2"/>
  <c r="AJ38" i="2"/>
  <c r="AL37" i="2"/>
  <c r="AL42" i="2" s="1"/>
  <c r="H10" i="1" s="1"/>
  <c r="AH38" i="2"/>
  <c r="AH42" i="2" s="1"/>
  <c r="D10" i="1" s="1"/>
  <c r="AJ37" i="2"/>
  <c r="AD22" i="2"/>
  <c r="AJ21" i="2"/>
  <c r="M21" i="2"/>
  <c r="Q21" i="2" s="1"/>
  <c r="AH20" i="2"/>
  <c r="AL17" i="2"/>
  <c r="AL25" i="2" s="1"/>
  <c r="H9" i="1" s="1"/>
  <c r="M17" i="2"/>
  <c r="AD14" i="2"/>
  <c r="Z13" i="2"/>
  <c r="AL10" i="2"/>
  <c r="H8" i="1" s="1"/>
  <c r="I10" i="2"/>
  <c r="Z9" i="2"/>
  <c r="B7" i="1" s="1"/>
  <c r="AN7" i="2"/>
  <c r="AL40" i="2"/>
  <c r="AN39" i="2"/>
  <c r="Z21" i="2"/>
  <c r="T20" i="2"/>
  <c r="AH19" i="2"/>
  <c r="AD17" i="2"/>
  <c r="AJ13" i="2"/>
  <c r="M13" i="2"/>
  <c r="AJ9" i="2"/>
  <c r="F7" i="1" s="1"/>
  <c r="M9" i="2"/>
  <c r="Q9" i="2" s="1"/>
  <c r="AJ40" i="2"/>
  <c r="AL39" i="2"/>
  <c r="AN38" i="2"/>
  <c r="AN42" i="2" s="1"/>
  <c r="AJ22" i="2"/>
  <c r="AN20" i="2"/>
  <c r="AN25" i="2" s="1"/>
  <c r="M20" i="2"/>
  <c r="Z17" i="2"/>
  <c r="AJ14" i="2"/>
  <c r="AH13" i="2"/>
  <c r="AH25" i="2" s="1"/>
  <c r="D9" i="1" s="1"/>
  <c r="I13" i="2"/>
  <c r="I25" i="2" s="1"/>
  <c r="T10" i="2"/>
  <c r="AH9" i="2"/>
  <c r="D7" i="1" s="1"/>
  <c r="I9" i="2"/>
  <c r="AD7" i="2"/>
  <c r="M7" i="2"/>
  <c r="Q7" i="2" s="1"/>
  <c r="AJ39" i="2"/>
  <c r="AN21" i="2"/>
  <c r="T21" i="2"/>
  <c r="AH17" i="2"/>
  <c r="AH10" i="2"/>
  <c r="D8" i="1" s="1"/>
  <c r="AP10" i="2"/>
  <c r="Z25" i="2" l="1"/>
  <c r="B9" i="1" s="1"/>
  <c r="AJ42" i="2"/>
  <c r="F10" i="1" s="1"/>
  <c r="Q13" i="2"/>
  <c r="Q25" i="2" s="1"/>
  <c r="M25" i="2"/>
  <c r="AJ25" i="2"/>
  <c r="F9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<sst xmlns="http://schemas.openxmlformats.org/spreadsheetml/2006/main" count="184" uniqueCount="119">
  <si>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</si>
  <si>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</si>
  <si>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</si>
  <si>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</si>
  <si>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</si>
  <si>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</si>
  <si>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</si>
  <si>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</si>
  <si>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</si>
  <si>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</si>
  <si>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</si>
  <si>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</si>
  <si>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</si>
  <si>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</si>
  <si>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</si>
  <si>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</si>
  <si>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</si>
  <si>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</si>
  <si>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</si>
  <si>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</si>
  <si>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</si>
  <si>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</si>
  <si>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</si>
  <si>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</si>
  <si>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</si>
  <si>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</si>
  <si>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</si>
  <si>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</si>
  <si>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</si>
  <si>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</si>
  <si>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</si>
  <si>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</si>
  <si>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</si>
  <si>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</si>
  <si>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</si>
  <si>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</si>
  <si>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</si>
  <si>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</si>
  <si>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</si>
  <si>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</si>
  <si>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</si>
  <si>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</si>
  <si>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</si>
  <si>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</si>
  <si>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</si>
  <si>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</si>
  <si>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</si>
  <si>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</si>
  <si>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</si>
  <si>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</si>
  <si>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</si>
  <si>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</si>
  <si>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</si>
  <si>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</si>
  <si>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</si>
  <si>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</si>
  <si>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</si>
  <si>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</si>
  <si>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</si>
  <si>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</si>
  <si>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</si>
  <si>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</si>
  <si>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</si>
  <si>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</si>
  <si>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</si>
  <si>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</si>
  <si>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</si>
  <si>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</si>
  <si>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</si>
  <si>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</si>
  <si>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</si>
  <si>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</si>
  <si>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</si>
  <si>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</si>
  <si>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</si>
  <si>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</si>
  <si>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</si>
  <si>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</si>
  <si>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</si>
  <si>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</si>
  <si>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</si>
  <si>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</si>
  <si>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</si>
  <si>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</si>
  <si>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</si>
  <si>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</si>
  <si>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</si>
  <si>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</si>
  <si>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</si>
  <si>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</si>
  <si>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</si>
  <si>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</si>
  <si>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</si>
  <si>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</si>
  <si>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</si>
  <si>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</si>
  <si>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</si>
  <si>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</si>
  <si>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</si>
  <si>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</si>
  <si>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** Consensus information is not available.</t>
  </si>
  <si>
    <t>PaineWebber</t>
  </si>
  <si>
    <t>* Revenue estimates based on fiscal year rather than calendar year</t>
  </si>
  <si>
    <t>Communications and B2B Peers</t>
  </si>
  <si>
    <t>First Union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</si>
  <si>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</si>
  <si>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</si>
  <si>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</si>
  <si>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</si>
  <si>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</si>
  <si>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</si>
  <si>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</si>
  <si>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</si>
  <si>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</si>
  <si>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</si>
  <si>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FRIDAY</t>
  </si>
  <si>
    <t>8/09/00</t>
  </si>
  <si>
    <t>Dynegy****</t>
  </si>
  <si>
    <t>**** 2 for 1 stock split effective 8/2/00.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</si>
</sst>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8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3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4042.68</val>
          </value>
        </values>
      </ddeItem>
      <ddeItem name=".SPX" advise="1">
        <values>
          <value>
            <val>1506.46</val>
          </value>
        </values>
      </ddeItem>
      <ddeItem name="AES" advise="1">
        <values>
          <value>
            <val>57.1875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70.0625</val>
          </value>
        </values>
      </ddeItem>
      <ddeItem name="ARBA.O" advise="1">
        <values>
          <value>
            <val>147.6875</val>
          </value>
        </values>
      </ddeItem>
      <ddeItem name="CG">
        <values>
          <value>
            <val>69.75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70.125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53.875</val>
          </value>
        </values>
      </ddeItem>
      <ddeItem name="D" advise="1">
        <values>
          <value>
            <val>50.5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70.4375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44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84.875</val>
          </value>
        </values>
      </ddeItem>
      <ddeItem name="EPG">
        <values>
          <value>
            <val>58.3125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31.375</val>
          </value>
        </values>
      </ddeItem>
      <ddeItem name="INAP.O" advise="1">
        <values>
          <value>
            <val>26.375</val>
          </value>
        </values>
      </ddeItem>
      <ddeItem name="ISLD.O" advise="1">
        <values>
          <value>
            <val>29.1875</val>
          </value>
        </values>
      </ddeItem>
      <ddeItem name="ITWO.O" advise="1">
        <values>
          <value>
            <val>166.5</val>
          </value>
        </values>
      </ddeItem>
      <ddeItem name="KMI" advise="1">
        <values>
          <value>
            <val>36.875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78.375</val>
          </value>
        </values>
      </ddeItem>
      <ddeItem name="PCG">
        <values>
          <value>
            <val>27.9375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50.3125</val>
          </value>
        </values>
      </ddeItem>
      <ddeItem name="TRP">
        <values>
          <value>
            <val>9.4375</val>
          </value>
        </values>
      </ddeItem>
      <ddeItem name="WCG" advise="1">
        <values>
          <value>
            <val>27.625</val>
          </value>
        </values>
      </ddeItem>
      <ddeItem name="WMB">
        <values>
          <value>
            <val>46.75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I33">
            <v>2400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I11"/>
    </sheetView>
  </sheetViews>
  <sheetFormatPr defaultRowHeight="15.75" x14ac:dyDescent="0.25"/>
  <cols>
    <col min="1" max="1" width="23.6640625" style="238" bestFit="1" customWidth="1"/>
    <col min="2" max="2" width="8.88671875" style="239"/>
    <col min="3" max="3" width="2" style="238" customWidth="1"/>
    <col min="4" max="4" width="7.77734375" style="238" customWidth="1"/>
    <col min="5" max="5" width="1.109375" style="238" customWidth="1"/>
    <col min="6" max="6" width="7.88671875" style="238" customWidth="1"/>
    <col min="7" max="7" width="1.21875" style="238" customWidth="1"/>
    <col min="8" max="8" width="7.21875" style="238" customWidth="1"/>
    <col min="9" max="9" width="0.77734375" style="238" customWidth="1"/>
    <col min="10" max="16384" width="8.88671875" style="238"/>
  </cols>
  <sheetData>
    <row r="1" spans="1:10" ht="18.75" customHeight="1" x14ac:dyDescent="0.25">
      <c r="A1" s="238" t="s">
        <v>82</v>
      </c>
    </row>
    <row r="2" spans="1:10" ht="18" customHeight="1" x14ac:dyDescent="0.25">
      <c r="A2" s="317" t="s">
        <v>21</v>
      </c>
    </row>
    <row r="3" spans="1:10" ht="16.5" thickBot="1" x14ac:dyDescent="0.3"/>
    <row r="4" spans="1:10" ht="16.5" thickBot="1" x14ac:dyDescent="0.3">
      <c r="B4" s="240">
        <v>2000</v>
      </c>
      <c r="D4" s="324" t="s">
        <v>83</v>
      </c>
      <c r="E4" s="325"/>
      <c r="F4" s="325"/>
      <c r="G4" s="325"/>
      <c r="H4" s="326"/>
    </row>
    <row r="5" spans="1:10" ht="32.25" thickBot="1" x14ac:dyDescent="0.3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25">
      <c r="A6" s="238" t="s">
        <v>84</v>
      </c>
      <c r="B6" s="247">
        <f>ENRON!Z7</f>
        <v>60.240007471049701</v>
      </c>
      <c r="D6" s="254">
        <f>ENRON!AH7</f>
        <v>-2.372393961179008E-2</v>
      </c>
      <c r="E6" s="248"/>
      <c r="F6" s="249">
        <f>ENRON!AJ7</f>
        <v>0.31589147286821706</v>
      </c>
      <c r="G6" s="248"/>
      <c r="H6" s="250">
        <f>ENRON!AL7</f>
        <v>0.91830985915492958</v>
      </c>
    </row>
    <row r="7" spans="1:10" x14ac:dyDescent="0.25">
      <c r="A7" s="238" t="s">
        <v>85</v>
      </c>
      <c r="B7" s="251">
        <f>ENRON!Z9</f>
        <v>26.19019471488178</v>
      </c>
      <c r="D7" s="255">
        <f>ENRON!AH9</f>
        <v>9.9817660150699188E-3</v>
      </c>
      <c r="E7" s="252"/>
      <c r="F7" s="256">
        <f>ENRON!AJ9</f>
        <v>3.7354599202530071E-2</v>
      </c>
      <c r="G7" s="252"/>
      <c r="H7" s="257">
        <f>ENRON!AL9</f>
        <v>3.258715271633348E-2</v>
      </c>
    </row>
    <row r="8" spans="1:10" x14ac:dyDescent="0.25">
      <c r="A8" s="238" t="s">
        <v>89</v>
      </c>
      <c r="B8" s="251" t="str">
        <f>ENRON!Z10</f>
        <v xml:space="preserve">N/A </v>
      </c>
      <c r="D8" s="255">
        <f>ENRON!AH10</f>
        <v>2.8602868962990444E-2</v>
      </c>
      <c r="E8" s="252"/>
      <c r="F8" s="256">
        <f>ENRON!AJ10</f>
        <v>1.9507779663196403E-2</v>
      </c>
      <c r="G8" s="252"/>
      <c r="H8" s="257">
        <f>ENRON!AL10</f>
        <v>-5.5631052930349171E-3</v>
      </c>
    </row>
    <row r="9" spans="1:10" x14ac:dyDescent="0.25">
      <c r="A9" s="238" t="s">
        <v>111</v>
      </c>
      <c r="B9" s="251">
        <f>ENRON!Z25</f>
        <v>23.987427677673644</v>
      </c>
      <c r="C9" s="307"/>
      <c r="D9" s="255">
        <f>ENRON!AH25</f>
        <v>-4.2051034692674434E-3</v>
      </c>
      <c r="E9" s="252"/>
      <c r="F9" s="256">
        <f>ENRON!AJ25</f>
        <v>0.1747120135059923</v>
      </c>
      <c r="G9" s="308"/>
      <c r="H9" s="257">
        <f>ENRON!AL25</f>
        <v>0.57370936870639799</v>
      </c>
      <c r="I9" s="307"/>
      <c r="J9" s="307"/>
    </row>
    <row r="10" spans="1:10" ht="16.5" thickBot="1" x14ac:dyDescent="0.3">
      <c r="A10" s="238" t="s">
        <v>112</v>
      </c>
      <c r="B10" s="315" t="s">
        <v>88</v>
      </c>
      <c r="D10" s="316">
        <f>ENRON!AH42</f>
        <v>5.582365112009411E-2</v>
      </c>
      <c r="E10" s="311"/>
      <c r="F10" s="312">
        <f>ENRON!AJ42</f>
        <v>4.6299931293275476E-3</v>
      </c>
      <c r="G10" s="313"/>
      <c r="H10" s="314">
        <f>ENRON!AL42</f>
        <v>-0.15436546516724953</v>
      </c>
    </row>
    <row r="11" spans="1:10" x14ac:dyDescent="0.25">
      <c r="D11" s="309"/>
    </row>
    <row r="12" spans="1:10" x14ac:dyDescent="0.25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0"/>
  <sheetViews>
    <sheetView tabSelected="1" workbookViewId="0">
      <pane xSplit="3" topLeftCell="AS1" activePane="topRight" state="frozen"/>
      <selection pane="topRight" activeCell="AW12" sqref="AW12"/>
    </sheetView>
  </sheetViews>
  <sheetFormatPr defaultColWidth="9.77734375" defaultRowHeight="15" x14ac:dyDescent="0.2"/>
  <cols>
    <col min="1" max="1" width="17.4414062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hidden="1" customWidth="1"/>
    <col min="24" max="24" width="9.77734375" style="1" bestFit="1" customWidth="1"/>
    <col min="25" max="25" width="1.77734375" style="1" customWidth="1"/>
    <col min="26" max="26" width="6.21875" style="1" bestFit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customWidth="1"/>
    <col min="32" max="32" width="8" style="1" hidden="1" customWidth="1"/>
    <col min="33" max="33" width="0.88671875" style="11" hidden="1" customWidth="1"/>
    <col min="34" max="34" width="7" style="11" customWidth="1"/>
    <col min="35" max="35" width="1.21875" style="11" customWidth="1"/>
    <col min="36" max="36" width="8.5546875" style="11" bestFit="1" customWidth="1"/>
    <col min="37" max="37" width="0.88671875" style="11" customWidth="1"/>
    <col min="38" max="38" width="7.6640625" style="1" bestFit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2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115</v>
      </c>
    </row>
    <row r="2" spans="1:50" ht="18" x14ac:dyDescent="0.25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36763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0">
        <v>2000</v>
      </c>
      <c r="Y4" s="331"/>
      <c r="Z4" s="332"/>
      <c r="AA4" s="184"/>
      <c r="AB4" s="330">
        <v>2001</v>
      </c>
      <c r="AC4" s="331"/>
      <c r="AD4" s="332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36756</v>
      </c>
      <c r="AU5" s="20"/>
      <c r="AV5" s="84">
        <v>36707</v>
      </c>
      <c r="AW5" s="226"/>
      <c r="AX5" s="85"/>
    </row>
    <row r="6" spans="1:50" ht="15.75" thickBot="1" x14ac:dyDescent="0.25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114</v>
      </c>
    </row>
    <row r="7" spans="1:50" ht="15.75" thickBot="1" x14ac:dyDescent="0.25">
      <c r="A7" s="99" t="s">
        <v>52</v>
      </c>
      <c r="B7" s="100"/>
      <c r="C7" s="101" t="s">
        <v>0</v>
      </c>
      <c r="D7" s="100"/>
      <c r="E7" s="102">
        <f>[1]!ENE</f>
        <v>84.875</v>
      </c>
      <c r="F7" s="100"/>
      <c r="G7" s="103">
        <v>2.16</v>
      </c>
      <c r="H7" s="104" t="s">
        <v>53</v>
      </c>
      <c r="I7" s="105">
        <f>E7/G7</f>
        <v>39.293981481481481</v>
      </c>
      <c r="J7" s="100"/>
      <c r="K7" s="103">
        <v>2.14</v>
      </c>
      <c r="L7" s="106" t="s">
        <v>54</v>
      </c>
      <c r="M7" s="105">
        <f>E7/K7</f>
        <v>39.661214953271028</v>
      </c>
      <c r="N7" s="100"/>
      <c r="O7" s="103">
        <v>2.16</v>
      </c>
      <c r="P7" s="104" t="s">
        <v>53</v>
      </c>
      <c r="Q7" s="105">
        <f>M7/O7</f>
        <v>18.361673589477327</v>
      </c>
      <c r="R7" s="100"/>
      <c r="S7" s="107">
        <f>+S84</f>
        <v>1.9949999999999999</v>
      </c>
      <c r="T7" s="105">
        <f>E7/S7</f>
        <v>42.543859649122808</v>
      </c>
      <c r="U7" s="108"/>
      <c r="V7" s="109">
        <f>(S7-K7)/K7</f>
        <v>-6.7757009345794497E-2</v>
      </c>
      <c r="W7" s="110"/>
      <c r="X7" s="258">
        <f>+X84</f>
        <v>1.4089473684210523</v>
      </c>
      <c r="Y7" s="234"/>
      <c r="Z7" s="105">
        <f>E7/X7</f>
        <v>60.240007471049701</v>
      </c>
      <c r="AA7" s="108"/>
      <c r="AB7" s="258">
        <f>+AB84</f>
        <v>1.6484210526315786</v>
      </c>
      <c r="AC7" s="218"/>
      <c r="AD7" s="105">
        <f>E7/AB7</f>
        <v>51.488665389527469</v>
      </c>
      <c r="AE7" s="108"/>
      <c r="AF7" s="109">
        <f>(X7-S7)/S7</f>
        <v>-0.29376071758343242</v>
      </c>
      <c r="AG7" s="110"/>
      <c r="AH7" s="111">
        <f>((+AS7+E7-AT7)/AT7)</f>
        <v>-2.372393961179008E-2</v>
      </c>
      <c r="AI7" s="110"/>
      <c r="AJ7" s="110">
        <f>((+AU7+E7-AV7)/AV7)</f>
        <v>0.31589147286821706</v>
      </c>
      <c r="AK7" s="110"/>
      <c r="AL7" s="112">
        <f>((+AW7+E7-AX7)/AX7)</f>
        <v>0.91830985915492958</v>
      </c>
      <c r="AM7" s="50"/>
      <c r="AN7" s="198">
        <f>AP7/E7</f>
        <v>5.8910162002945507E-3</v>
      </c>
      <c r="AO7" s="113"/>
      <c r="AP7" s="55">
        <v>0.5</v>
      </c>
      <c r="AQ7" s="318">
        <v>36676</v>
      </c>
      <c r="AR7" s="206">
        <v>0.125</v>
      </c>
      <c r="AS7" s="41"/>
      <c r="AT7" s="102">
        <v>86.9375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">
      <c r="A9" s="122" t="s">
        <v>55</v>
      </c>
      <c r="B9" s="66"/>
      <c r="C9" s="114" t="s">
        <v>68</v>
      </c>
      <c r="D9" s="66"/>
      <c r="E9" s="123">
        <f>[1]!'.SPX'</f>
        <v>1506.46</v>
      </c>
      <c r="F9" s="124"/>
      <c r="G9" s="125">
        <v>40.53</v>
      </c>
      <c r="H9" s="117"/>
      <c r="I9" s="126">
        <f>E9/G9</f>
        <v>37.169010609425115</v>
      </c>
      <c r="J9" s="67"/>
      <c r="K9" s="125">
        <v>42.08</v>
      </c>
      <c r="L9" s="67"/>
      <c r="M9" s="126">
        <f>E9/K9</f>
        <v>35.799904942965782</v>
      </c>
      <c r="N9" s="124"/>
      <c r="O9" s="125">
        <v>40.53</v>
      </c>
      <c r="P9" s="117"/>
      <c r="Q9" s="126">
        <f>M9/O9</f>
        <v>0.8832939783608631</v>
      </c>
      <c r="R9" s="67"/>
      <c r="S9" s="127">
        <v>40.18</v>
      </c>
      <c r="T9" s="126">
        <f>E9/S9</f>
        <v>37.4927824788452</v>
      </c>
      <c r="U9" s="128"/>
      <c r="V9" s="129">
        <f>(S9-K9)/K9</f>
        <v>-4.5152091254752821E-2</v>
      </c>
      <c r="W9" s="130"/>
      <c r="X9" s="127">
        <v>57.52</v>
      </c>
      <c r="Y9" s="215"/>
      <c r="Z9" s="126">
        <f>E9/X9</f>
        <v>26.19019471488178</v>
      </c>
      <c r="AA9" s="128"/>
      <c r="AB9" s="127">
        <v>63.67</v>
      </c>
      <c r="AC9" s="215"/>
      <c r="AD9" s="126">
        <f>E9/AB9</f>
        <v>23.660436626354642</v>
      </c>
      <c r="AE9" s="128"/>
      <c r="AF9" s="129">
        <f>(X9-S9)/S9</f>
        <v>0.43155798904927833</v>
      </c>
      <c r="AG9" s="130"/>
      <c r="AH9" s="113">
        <f>((+AS9+E9-AT9)/AT9)</f>
        <v>9.9817660150699188E-3</v>
      </c>
      <c r="AI9" s="130"/>
      <c r="AJ9" s="130">
        <f>((+AU9+E9-AV9)/AV9)</f>
        <v>3.7354599202530071E-2</v>
      </c>
      <c r="AK9" s="130"/>
      <c r="AL9" s="131">
        <f>((+AW9+E9-AX9)/AX9)</f>
        <v>3.258715271633348E-2</v>
      </c>
      <c r="AM9" s="29"/>
      <c r="AN9" s="223">
        <v>1.06E-2</v>
      </c>
      <c r="AO9" s="113"/>
      <c r="AP9" s="213">
        <f>AN9*E9</f>
        <v>15.968476000000001</v>
      </c>
      <c r="AQ9" s="40"/>
      <c r="AR9" s="206"/>
      <c r="AS9" s="201">
        <v>0.15</v>
      </c>
      <c r="AT9" s="123">
        <v>1491.72</v>
      </c>
      <c r="AU9" s="201">
        <v>2.476</v>
      </c>
      <c r="AV9" s="183">
        <v>1454.6</v>
      </c>
      <c r="AW9" s="201">
        <v>10.679</v>
      </c>
      <c r="AX9" s="183">
        <v>1469.26</v>
      </c>
    </row>
    <row r="10" spans="1:50" x14ac:dyDescent="0.2">
      <c r="A10" s="122" t="s">
        <v>89</v>
      </c>
      <c r="B10" s="66"/>
      <c r="C10" s="114" t="s">
        <v>86</v>
      </c>
      <c r="D10" s="66"/>
      <c r="E10" s="123">
        <f>[1]!'.IXIC'</f>
        <v>4042.68</v>
      </c>
      <c r="F10" s="124"/>
      <c r="G10" s="125">
        <v>40.53</v>
      </c>
      <c r="H10" s="117"/>
      <c r="I10" s="126">
        <f>E10/G10</f>
        <v>99.745373797187256</v>
      </c>
      <c r="J10" s="67"/>
      <c r="K10" s="125">
        <v>42.08</v>
      </c>
      <c r="L10" s="67"/>
      <c r="M10" s="126">
        <f>E10/K10</f>
        <v>96.071292775665398</v>
      </c>
      <c r="N10" s="124"/>
      <c r="O10" s="125">
        <v>40.53</v>
      </c>
      <c r="P10" s="117"/>
      <c r="Q10" s="126">
        <f>M10/O10</f>
        <v>2.3703748525947543</v>
      </c>
      <c r="R10" s="67"/>
      <c r="S10" s="127">
        <v>40.18</v>
      </c>
      <c r="T10" s="126">
        <f>E10/S10</f>
        <v>100.61423593827774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2.8602868962990444E-2</v>
      </c>
      <c r="AI10" s="130"/>
      <c r="AJ10" s="130">
        <f>((+AU10+E10-AV10)/AV10)</f>
        <v>1.9507779663196403E-2</v>
      </c>
      <c r="AK10" s="130"/>
      <c r="AL10" s="131">
        <f>((+AW10+E10-AX10)/AX10)</f>
        <v>-5.5631052930349171E-3</v>
      </c>
      <c r="AM10" s="29"/>
      <c r="AN10" s="223">
        <v>1.6000000000000001E-3</v>
      </c>
      <c r="AO10" s="113"/>
      <c r="AP10" s="213">
        <f>AN10*E10</f>
        <v>6.4682880000000003</v>
      </c>
      <c r="AQ10" s="40"/>
      <c r="AR10" s="206"/>
      <c r="AS10" s="201">
        <v>7.9000000000000001E-2</v>
      </c>
      <c r="AT10" s="123">
        <v>3930.34</v>
      </c>
      <c r="AU10" s="201">
        <v>0.8</v>
      </c>
      <c r="AV10" s="183">
        <v>3966.11</v>
      </c>
      <c r="AW10" s="201">
        <v>3.992</v>
      </c>
      <c r="AX10" s="183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">
      <c r="A13" s="66" t="s">
        <v>109</v>
      </c>
      <c r="B13" s="66"/>
      <c r="C13" s="132" t="s">
        <v>77</v>
      </c>
      <c r="D13" s="66"/>
      <c r="E13" s="123">
        <f>[1]!AES</f>
        <v>57.1875</v>
      </c>
      <c r="F13" s="66"/>
      <c r="G13" s="125">
        <v>4.72</v>
      </c>
      <c r="H13" s="133" t="s">
        <v>53</v>
      </c>
      <c r="I13" s="126">
        <f>E13/G13</f>
        <v>12.115995762711865</v>
      </c>
      <c r="J13" s="66"/>
      <c r="K13" s="125">
        <v>4.9400000000000004</v>
      </c>
      <c r="L13" s="67"/>
      <c r="M13" s="126">
        <f t="shared" ref="M13:M20" si="0">E13/K13</f>
        <v>11.576417004048581</v>
      </c>
      <c r="N13" s="66"/>
      <c r="O13" s="125">
        <v>4.72</v>
      </c>
      <c r="P13" s="133" t="s">
        <v>53</v>
      </c>
      <c r="Q13" s="126">
        <f>M13/O13</f>
        <v>2.4526307211967335</v>
      </c>
      <c r="R13" s="66"/>
      <c r="S13" s="127">
        <v>3.43</v>
      </c>
      <c r="T13" s="126">
        <f t="shared" ref="T13:T20" si="1">E13/S13</f>
        <v>16.672740524781339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38.380872483221474</v>
      </c>
      <c r="AA13" s="128"/>
      <c r="AB13" s="127">
        <v>1.9</v>
      </c>
      <c r="AC13" s="215"/>
      <c r="AD13" s="126">
        <f t="shared" ref="AD13:AD23" si="4">E13/AB13</f>
        <v>30.098684210526319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-2.6595744680851064E-2</v>
      </c>
      <c r="AI13" s="130"/>
      <c r="AJ13" s="130">
        <f t="shared" ref="AJ13:AJ23" si="7">((+AU13+E13-AV13)/AV13)</f>
        <v>0.25342465753424659</v>
      </c>
      <c r="AK13" s="130"/>
      <c r="AL13" s="131">
        <f t="shared" ref="AL13:AL23" si="8">((+AW13+E13-AX13)/AX13)</f>
        <v>0.53010033444816052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58.75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">
      <c r="A14" s="122" t="s">
        <v>57</v>
      </c>
      <c r="B14" s="66"/>
      <c r="C14" s="132" t="s">
        <v>2</v>
      </c>
      <c r="D14" s="66"/>
      <c r="E14" s="123">
        <f>[1]!CG</f>
        <v>69.75</v>
      </c>
      <c r="F14" s="66"/>
      <c r="G14" s="125">
        <v>4.72</v>
      </c>
      <c r="H14" s="133" t="s">
        <v>53</v>
      </c>
      <c r="I14" s="126">
        <f>E14/G14</f>
        <v>14.777542372881356</v>
      </c>
      <c r="J14" s="66"/>
      <c r="K14" s="125">
        <v>4.9400000000000004</v>
      </c>
      <c r="L14" s="67"/>
      <c r="M14" s="126">
        <f>E14/K14</f>
        <v>14.119433198380566</v>
      </c>
      <c r="N14" s="66"/>
      <c r="O14" s="125">
        <v>4.72</v>
      </c>
      <c r="P14" s="133" t="s">
        <v>53</v>
      </c>
      <c r="Q14" s="126">
        <f>M14/O14</f>
        <v>2.9914053386399506</v>
      </c>
      <c r="R14" s="66"/>
      <c r="S14" s="127">
        <v>3.43</v>
      </c>
      <c r="T14" s="126">
        <f>E14/S14</f>
        <v>20.335276967930028</v>
      </c>
      <c r="U14" s="128"/>
      <c r="V14" s="129">
        <f>(S14-K14)/K14</f>
        <v>-0.30566801619433198</v>
      </c>
      <c r="W14" s="130"/>
      <c r="X14" s="127">
        <v>4.04</v>
      </c>
      <c r="Y14" s="215"/>
      <c r="Z14" s="126">
        <f>E14/X14</f>
        <v>17.264851485148515</v>
      </c>
      <c r="AA14" s="128"/>
      <c r="AB14" s="127">
        <v>4.5</v>
      </c>
      <c r="AC14" s="215"/>
      <c r="AD14" s="126">
        <f>E14/AB14</f>
        <v>15.5</v>
      </c>
      <c r="AE14" s="128"/>
      <c r="AF14" s="129">
        <f>(X14-S14)/S14</f>
        <v>0.17784256559766759</v>
      </c>
      <c r="AG14" s="130"/>
      <c r="AH14" s="113">
        <f>((+AS14+E14-AT14)/AT14)</f>
        <v>1.43112701252228E-3</v>
      </c>
      <c r="AI14" s="130"/>
      <c r="AJ14" s="130">
        <f>((+AU14+E14-AV14)/AV14)</f>
        <v>6.6285714285714198E-2</v>
      </c>
      <c r="AK14" s="130"/>
      <c r="AL14" s="131">
        <f>((+AW14+E14-AX14)/AX14)</f>
        <v>0.11343873517786557</v>
      </c>
      <c r="AM14" s="29"/>
      <c r="AN14" s="134">
        <f>AP14/E14</f>
        <v>1.2903225806451613E-2</v>
      </c>
      <c r="AO14" s="135"/>
      <c r="AP14" s="55">
        <f>[1]!'CG,DIVIDEND'</f>
        <v>0.9</v>
      </c>
      <c r="AQ14" s="259">
        <v>36671</v>
      </c>
      <c r="AR14" s="206">
        <v>0.22500000000000001</v>
      </c>
      <c r="AS14" s="43">
        <v>0.22500000000000001</v>
      </c>
      <c r="AT14" s="183">
        <v>69.875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">
      <c r="A15" s="122" t="s">
        <v>56</v>
      </c>
      <c r="B15" s="66"/>
      <c r="C15" s="132" t="s">
        <v>1</v>
      </c>
      <c r="D15" s="66"/>
      <c r="E15" s="123">
        <f>[1]!CGP</f>
        <v>70.125</v>
      </c>
      <c r="F15" s="66"/>
      <c r="G15" s="125">
        <v>2.88</v>
      </c>
      <c r="H15" s="133" t="s">
        <v>53</v>
      </c>
      <c r="I15" s="126">
        <f>E15/G15</f>
        <v>24.348958333333336</v>
      </c>
      <c r="J15" s="66"/>
      <c r="K15" s="125">
        <v>3.48</v>
      </c>
      <c r="L15" s="67"/>
      <c r="M15" s="126">
        <f>E15/K15</f>
        <v>20.150862068965516</v>
      </c>
      <c r="N15" s="66"/>
      <c r="O15" s="125">
        <v>2.88</v>
      </c>
      <c r="P15" s="133" t="s">
        <v>53</v>
      </c>
      <c r="Q15" s="126">
        <f>M15/O15</f>
        <v>6.9968271072796933</v>
      </c>
      <c r="R15" s="66"/>
      <c r="S15" s="127">
        <v>2.02</v>
      </c>
      <c r="T15" s="126">
        <f>E15/S15</f>
        <v>34.715346534653463</v>
      </c>
      <c r="U15" s="128"/>
      <c r="V15" s="129">
        <f>(S15-K15)/K15</f>
        <v>-0.41954022988505746</v>
      </c>
      <c r="W15" s="130"/>
      <c r="X15" s="127">
        <v>2.89</v>
      </c>
      <c r="Y15" s="215"/>
      <c r="Z15" s="126">
        <f>E15/X15</f>
        <v>24.264705882352938</v>
      </c>
      <c r="AA15" s="128"/>
      <c r="AB15" s="127">
        <v>3.31</v>
      </c>
      <c r="AC15" s="215"/>
      <c r="AD15" s="126">
        <f>E15/AB15</f>
        <v>21.185800604229605</v>
      </c>
      <c r="AE15" s="128"/>
      <c r="AF15" s="129">
        <f>(X15-S15)/S15</f>
        <v>0.43069306930693074</v>
      </c>
      <c r="AG15" s="130"/>
      <c r="AH15" s="113">
        <f>((+AS15+E15-AT15)/AT15)</f>
        <v>1.6304347826086956E-2</v>
      </c>
      <c r="AI15" s="130"/>
      <c r="AJ15" s="130">
        <f>((+AU15+E15-AV15)/AV15)</f>
        <v>0.15195071868583163</v>
      </c>
      <c r="AK15" s="130"/>
      <c r="AL15" s="131">
        <f>((+AW15+E15-AX15)/AX15)</f>
        <v>0.98236331569664903</v>
      </c>
      <c r="AM15" s="29"/>
      <c r="AN15" s="134">
        <f>AP15/E15</f>
        <v>3.5650623885918001E-3</v>
      </c>
      <c r="AO15" s="135"/>
      <c r="AP15" s="55">
        <f>[1]!'CGP,DIVIDEND'</f>
        <v>0.25</v>
      </c>
      <c r="AQ15" s="259">
        <v>36672</v>
      </c>
      <c r="AR15" s="206">
        <f>0.125/2</f>
        <v>6.25E-2</v>
      </c>
      <c r="AS15" s="43"/>
      <c r="AT15" s="183">
        <v>69</v>
      </c>
      <c r="AU15" s="43"/>
      <c r="AV15" s="183">
        <v>60.875</v>
      </c>
      <c r="AW15" s="43">
        <f>0.0625+0.0625</f>
        <v>0.125</v>
      </c>
      <c r="AX15" s="183">
        <v>35.4375</v>
      </c>
    </row>
    <row r="16" spans="1:50" x14ac:dyDescent="0.2">
      <c r="A16" s="122" t="s">
        <v>80</v>
      </c>
      <c r="B16" s="66"/>
      <c r="C16" s="132" t="s">
        <v>81</v>
      </c>
      <c r="D16" s="66"/>
      <c r="E16" s="237">
        <f>[1]!D</f>
        <v>50.5</v>
      </c>
      <c r="F16" s="66"/>
      <c r="G16" s="125">
        <v>3.24</v>
      </c>
      <c r="H16" s="117"/>
      <c r="I16" s="126">
        <f>E16/G16</f>
        <v>15.586419753086419</v>
      </c>
      <c r="J16" s="66"/>
      <c r="K16" s="125">
        <v>3.34</v>
      </c>
      <c r="L16" s="67"/>
      <c r="M16" s="126">
        <f t="shared" si="0"/>
        <v>15.119760479041917</v>
      </c>
      <c r="N16" s="66"/>
      <c r="O16" s="125">
        <v>3.24</v>
      </c>
      <c r="P16" s="117"/>
      <c r="Q16" s="126">
        <f>M16/O16</f>
        <v>4.6665927404450356</v>
      </c>
      <c r="R16" s="66"/>
      <c r="S16" s="127">
        <v>2.87</v>
      </c>
      <c r="T16" s="126">
        <f t="shared" si="1"/>
        <v>17.595818815331011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15.303030303030305</v>
      </c>
      <c r="AA16" s="128"/>
      <c r="AB16" s="127">
        <v>3.77</v>
      </c>
      <c r="AC16" s="215"/>
      <c r="AD16" s="126">
        <f t="shared" si="4"/>
        <v>13.395225464190981</v>
      </c>
      <c r="AE16" s="128"/>
      <c r="AF16" s="129">
        <f t="shared" si="5"/>
        <v>0.14982578397212534</v>
      </c>
      <c r="AG16" s="130"/>
      <c r="AH16" s="113">
        <f t="shared" si="6"/>
        <v>-1.2882991556091617E-2</v>
      </c>
      <c r="AI16" s="130"/>
      <c r="AJ16" s="130">
        <f t="shared" si="7"/>
        <v>0.19288629737609336</v>
      </c>
      <c r="AK16" s="130"/>
      <c r="AL16" s="131">
        <f t="shared" si="8"/>
        <v>0.33592356687898095</v>
      </c>
      <c r="AM16" s="29"/>
      <c r="AN16" s="134">
        <f t="shared" si="9"/>
        <v>5.1089108910891093E-2</v>
      </c>
      <c r="AO16" s="135"/>
      <c r="AP16" s="55">
        <f>[1]!'D,DIVIDEND'</f>
        <v>2.58</v>
      </c>
      <c r="AQ16" s="259">
        <v>36670</v>
      </c>
      <c r="AR16" s="206">
        <v>0.64500000000000002</v>
      </c>
      <c r="AS16" s="43">
        <v>0.64500000000000002</v>
      </c>
      <c r="AT16" s="183">
        <v>51.8125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">
      <c r="A17" s="122" t="s">
        <v>58</v>
      </c>
      <c r="B17" s="66"/>
      <c r="C17" s="132" t="s">
        <v>3</v>
      </c>
      <c r="D17" s="66"/>
      <c r="E17" s="123">
        <f>[1]!DUK</f>
        <v>70.4375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23.877118644067796</v>
      </c>
      <c r="N17" s="66"/>
      <c r="O17" s="125"/>
      <c r="P17" s="133"/>
      <c r="Q17" s="126"/>
      <c r="R17" s="66"/>
      <c r="S17" s="127">
        <v>3.38</v>
      </c>
      <c r="T17" s="126">
        <f t="shared" si="1"/>
        <v>20.83949704142012</v>
      </c>
      <c r="U17" s="128"/>
      <c r="V17" s="129">
        <f t="shared" si="2"/>
        <v>0.14576271186440667</v>
      </c>
      <c r="W17" s="130"/>
      <c r="X17" s="127">
        <v>4.05</v>
      </c>
      <c r="Y17" s="215"/>
      <c r="Z17" s="126">
        <f t="shared" si="3"/>
        <v>17.391975308641975</v>
      </c>
      <c r="AA17" s="128"/>
      <c r="AB17" s="127">
        <v>4.46</v>
      </c>
      <c r="AC17" s="215"/>
      <c r="AD17" s="126">
        <f t="shared" si="4"/>
        <v>15.793161434977579</v>
      </c>
      <c r="AE17" s="128"/>
      <c r="AF17" s="129">
        <f t="shared" si="5"/>
        <v>0.1982248520710059</v>
      </c>
      <c r="AG17" s="130"/>
      <c r="AH17" s="113">
        <f t="shared" si="6"/>
        <v>1.2578616352201259E-2</v>
      </c>
      <c r="AI17" s="130"/>
      <c r="AJ17" s="130">
        <f t="shared" si="7"/>
        <v>0.25920177383592014</v>
      </c>
      <c r="AK17" s="130"/>
      <c r="AL17" s="131">
        <f t="shared" si="8"/>
        <v>0.43815461346633428</v>
      </c>
      <c r="AM17" s="29"/>
      <c r="AN17" s="134">
        <f t="shared" si="9"/>
        <v>3.1233362910381545E-2</v>
      </c>
      <c r="AO17" s="135"/>
      <c r="AP17" s="55">
        <f>[1]!'DUK,DIVIDEND'</f>
        <v>2.2000000000000002</v>
      </c>
      <c r="AQ17" s="321" t="s">
        <v>116</v>
      </c>
      <c r="AR17" s="206">
        <v>0.55000000000000004</v>
      </c>
      <c r="AS17" s="43"/>
      <c r="AT17" s="183">
        <v>69.5625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75" x14ac:dyDescent="0.25">
      <c r="A18" s="122" t="s">
        <v>117</v>
      </c>
      <c r="B18" s="66"/>
      <c r="C18" s="132" t="s">
        <v>59</v>
      </c>
      <c r="D18" s="66"/>
      <c r="E18" s="123">
        <f>[1]!DYN</f>
        <v>44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62.857142857142861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75.862068965517253</v>
      </c>
      <c r="U18" s="128"/>
      <c r="V18" s="129">
        <f>(S18-K18)/K18</f>
        <v>-0.17142857142857143</v>
      </c>
      <c r="W18" s="130"/>
      <c r="X18" s="127">
        <v>1.31</v>
      </c>
      <c r="Y18" s="215"/>
      <c r="Z18" s="126">
        <f t="shared" si="3"/>
        <v>33.587786259541986</v>
      </c>
      <c r="AA18" s="128"/>
      <c r="AB18" s="127">
        <v>1.59</v>
      </c>
      <c r="AC18" s="235"/>
      <c r="AD18" s="126">
        <f t="shared" si="4"/>
        <v>27.672955974842765</v>
      </c>
      <c r="AE18" s="128"/>
      <c r="AF18" s="129">
        <f t="shared" si="5"/>
        <v>1.2586206896551726</v>
      </c>
      <c r="AG18" s="130"/>
      <c r="AH18" s="113">
        <f t="shared" si="6"/>
        <v>-1.1235955056179775E-2</v>
      </c>
      <c r="AI18" s="130"/>
      <c r="AJ18" s="130">
        <f t="shared" si="7"/>
        <v>0.28827128724195117</v>
      </c>
      <c r="AK18" s="130"/>
      <c r="AL18" s="131">
        <f t="shared" si="8"/>
        <v>1.5030010035989716</v>
      </c>
      <c r="AM18" s="29"/>
      <c r="AN18" s="134">
        <f t="shared" si="9"/>
        <v>6.8181818181818179E-3</v>
      </c>
      <c r="AO18" s="135"/>
      <c r="AP18" s="55">
        <f>[1]!'DYN,DIVIDEND'</f>
        <v>0.3</v>
      </c>
      <c r="AQ18" s="259">
        <v>36672</v>
      </c>
      <c r="AR18" s="206">
        <v>0.15</v>
      </c>
      <c r="AS18" s="43"/>
      <c r="AT18" s="323">
        <v>44.5</v>
      </c>
      <c r="AU18" s="43"/>
      <c r="AV18" s="183">
        <f>68.30859375/2</f>
        <v>34.154296875</v>
      </c>
      <c r="AW18" s="43">
        <f>(0.04451+0.15)/2</f>
        <v>9.7254999999999994E-2</v>
      </c>
      <c r="AX18" s="183">
        <f>24.3125/0.69/2</f>
        <v>17.617753623188406</v>
      </c>
    </row>
    <row r="19" spans="1:50" x14ac:dyDescent="0.2">
      <c r="A19" s="122" t="s">
        <v>60</v>
      </c>
      <c r="B19" s="66"/>
      <c r="C19" s="132" t="s">
        <v>4</v>
      </c>
      <c r="D19" s="66"/>
      <c r="E19" s="123">
        <f>[1]!EPG</f>
        <v>58.3125</v>
      </c>
      <c r="F19" s="66"/>
      <c r="G19" s="125">
        <v>2.85</v>
      </c>
      <c r="H19" s="133" t="s">
        <v>53</v>
      </c>
      <c r="I19" s="126">
        <f>E19/G19</f>
        <v>20.460526315789473</v>
      </c>
      <c r="J19" s="66"/>
      <c r="K19" s="125">
        <v>3.18</v>
      </c>
      <c r="L19" s="67"/>
      <c r="M19" s="126">
        <f t="shared" si="0"/>
        <v>18.337264150943394</v>
      </c>
      <c r="N19" s="66"/>
      <c r="O19" s="125">
        <v>2.85</v>
      </c>
      <c r="P19" s="133" t="s">
        <v>53</v>
      </c>
      <c r="Q19" s="126">
        <f>M19/O19</f>
        <v>6.4341277722608394</v>
      </c>
      <c r="R19" s="66"/>
      <c r="S19" s="127">
        <v>1.83</v>
      </c>
      <c r="T19" s="126">
        <f t="shared" si="1"/>
        <v>31.864754098360656</v>
      </c>
      <c r="U19" s="128"/>
      <c r="V19" s="129">
        <f t="shared" si="2"/>
        <v>-0.42452830188679247</v>
      </c>
      <c r="W19" s="130"/>
      <c r="X19" s="127">
        <v>2.59</v>
      </c>
      <c r="Y19" s="215"/>
      <c r="Z19" s="126">
        <f t="shared" si="3"/>
        <v>22.514478764478767</v>
      </c>
      <c r="AA19" s="128"/>
      <c r="AB19" s="127">
        <v>3.15</v>
      </c>
      <c r="AC19" s="215"/>
      <c r="AD19" s="126">
        <f t="shared" si="4"/>
        <v>18.511904761904763</v>
      </c>
      <c r="AE19" s="128"/>
      <c r="AF19" s="129">
        <f t="shared" si="5"/>
        <v>0.41530054644808728</v>
      </c>
      <c r="AG19" s="130"/>
      <c r="AH19" s="113">
        <f t="shared" si="6"/>
        <v>6.4724919093851136E-3</v>
      </c>
      <c r="AI19" s="130"/>
      <c r="AJ19" s="130">
        <f t="shared" si="7"/>
        <v>0.14478527607361963</v>
      </c>
      <c r="AK19" s="130"/>
      <c r="AL19" s="131">
        <f t="shared" si="8"/>
        <v>0.51303059581320454</v>
      </c>
      <c r="AM19" s="29"/>
      <c r="AN19" s="134">
        <f t="shared" si="9"/>
        <v>1.4062165058949624E-2</v>
      </c>
      <c r="AO19" s="135"/>
      <c r="AP19" s="55">
        <f>[1]!'EPG,DIVIDEND'</f>
        <v>0.82</v>
      </c>
      <c r="AQ19" s="259">
        <v>36677</v>
      </c>
      <c r="AR19" s="206">
        <v>0.20599999999999999</v>
      </c>
      <c r="AS19" s="43"/>
      <c r="AT19" s="183">
        <v>57.9375</v>
      </c>
      <c r="AU19" s="43"/>
      <c r="AV19" s="183">
        <v>50.9375</v>
      </c>
      <c r="AW19" s="43">
        <f>0.206+0.206</f>
        <v>0.41199999999999998</v>
      </c>
      <c r="AX19" s="183">
        <v>38.8125</v>
      </c>
    </row>
    <row r="20" spans="1:50" x14ac:dyDescent="0.2">
      <c r="A20" s="122" t="s">
        <v>74</v>
      </c>
      <c r="B20" s="66"/>
      <c r="C20" s="132" t="s">
        <v>75</v>
      </c>
      <c r="D20" s="66"/>
      <c r="E20" s="123">
        <f>[1]!KMI</f>
        <v>36.875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15.174897119341562</v>
      </c>
      <c r="N20" s="66"/>
      <c r="O20" s="125"/>
      <c r="P20" s="133"/>
      <c r="Q20" s="126"/>
      <c r="R20" s="66"/>
      <c r="S20" s="127">
        <v>1.17</v>
      </c>
      <c r="T20" s="126">
        <f t="shared" si="1"/>
        <v>31.517094017094021</v>
      </c>
      <c r="U20" s="128"/>
      <c r="V20" s="129"/>
      <c r="W20" s="130"/>
      <c r="X20" s="127">
        <v>1.24</v>
      </c>
      <c r="Y20" s="215"/>
      <c r="Z20" s="126">
        <f t="shared" si="3"/>
        <v>29.737903225806452</v>
      </c>
      <c r="AA20" s="128"/>
      <c r="AB20" s="127">
        <v>1.56</v>
      </c>
      <c r="AC20" s="215"/>
      <c r="AD20" s="126">
        <f t="shared" si="4"/>
        <v>23.637820512820511</v>
      </c>
      <c r="AE20" s="128"/>
      <c r="AF20" s="129">
        <f t="shared" si="5"/>
        <v>5.9829059829059887E-2</v>
      </c>
      <c r="AG20" s="130"/>
      <c r="AH20" s="113">
        <f t="shared" si="6"/>
        <v>-1.5025041736227046E-2</v>
      </c>
      <c r="AI20" s="130"/>
      <c r="AJ20" s="130">
        <f t="shared" si="7"/>
        <v>6.7871667419792059E-2</v>
      </c>
      <c r="AK20" s="130"/>
      <c r="AL20" s="131">
        <f t="shared" si="8"/>
        <v>0.83405572755417945</v>
      </c>
      <c r="AM20" s="29"/>
      <c r="AN20" s="134">
        <f t="shared" si="9"/>
        <v>5.4237288135593224E-3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37.4375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">
      <c r="A21" s="66" t="s">
        <v>65</v>
      </c>
      <c r="B21" s="66"/>
      <c r="C21" s="132" t="s">
        <v>66</v>
      </c>
      <c r="D21" s="66"/>
      <c r="E21" s="123">
        <f>[1]!PCG</f>
        <v>27.9375</v>
      </c>
      <c r="F21" s="66"/>
      <c r="G21" s="125">
        <v>2.88</v>
      </c>
      <c r="H21" s="133" t="s">
        <v>53</v>
      </c>
      <c r="I21" s="126">
        <f>E21/G21</f>
        <v>9.7005208333333339</v>
      </c>
      <c r="J21" s="66"/>
      <c r="K21" s="125">
        <v>3.48</v>
      </c>
      <c r="L21" s="67"/>
      <c r="M21" s="126">
        <f>E21/K21</f>
        <v>8.0280172413793096</v>
      </c>
      <c r="N21" s="66"/>
      <c r="O21" s="125">
        <v>2.88</v>
      </c>
      <c r="P21" s="133" t="s">
        <v>53</v>
      </c>
      <c r="Q21" s="126">
        <f>M21/O21</f>
        <v>2.787505986590038</v>
      </c>
      <c r="R21" s="66"/>
      <c r="S21" s="127">
        <v>1.79</v>
      </c>
      <c r="T21" s="126">
        <f>E21/S21</f>
        <v>15.60754189944134</v>
      </c>
      <c r="U21" s="128"/>
      <c r="V21" s="129">
        <f>(S21-K21)/K21</f>
        <v>-0.48563218390804597</v>
      </c>
      <c r="W21" s="130"/>
      <c r="X21" s="127">
        <v>2.5299999999999998</v>
      </c>
      <c r="Y21" s="215"/>
      <c r="Z21" s="126">
        <f t="shared" si="3"/>
        <v>11.042490118577076</v>
      </c>
      <c r="AA21" s="128"/>
      <c r="AB21" s="127">
        <v>2.74</v>
      </c>
      <c r="AC21" s="215"/>
      <c r="AD21" s="126">
        <f t="shared" si="4"/>
        <v>10.196167883211679</v>
      </c>
      <c r="AE21" s="128"/>
      <c r="AF21" s="129">
        <f t="shared" si="5"/>
        <v>0.41340782122905012</v>
      </c>
      <c r="AG21" s="130"/>
      <c r="AH21" s="113">
        <f t="shared" si="6"/>
        <v>-3.2729239924262916E-2</v>
      </c>
      <c r="AI21" s="130"/>
      <c r="AJ21" s="130">
        <f t="shared" si="7"/>
        <v>0.13451776649746192</v>
      </c>
      <c r="AK21" s="130"/>
      <c r="AL21" s="131">
        <f t="shared" si="8"/>
        <v>0.39207317073170739</v>
      </c>
      <c r="AM21" s="29"/>
      <c r="AN21" s="134">
        <f t="shared" si="9"/>
        <v>4.2953020134228186E-2</v>
      </c>
      <c r="AO21" s="135"/>
      <c r="AP21" s="55">
        <f>[1]!'PCG,DIVIDEND'</f>
        <v>1.2</v>
      </c>
      <c r="AQ21" s="259">
        <v>36690</v>
      </c>
      <c r="AR21" s="206">
        <v>0.3</v>
      </c>
      <c r="AS21" s="43"/>
      <c r="AT21" s="183">
        <v>28.8828125</v>
      </c>
      <c r="AU21" s="43"/>
      <c r="AV21" s="183">
        <v>24.625</v>
      </c>
      <c r="AW21" s="43">
        <f>0.3+0.3</f>
        <v>0.6</v>
      </c>
      <c r="AX21" s="183">
        <v>20.5</v>
      </c>
    </row>
    <row r="22" spans="1:50" x14ac:dyDescent="0.2">
      <c r="A22" s="122" t="s">
        <v>61</v>
      </c>
      <c r="B22" s="66"/>
      <c r="C22" s="132" t="s">
        <v>5</v>
      </c>
      <c r="D22" s="66"/>
      <c r="E22" s="123">
        <f>[1]!TRP</f>
        <v>9.4375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8.2065217391304355</v>
      </c>
      <c r="U22" s="128"/>
      <c r="V22" s="129"/>
      <c r="W22" s="130"/>
      <c r="X22" s="127">
        <v>0.77</v>
      </c>
      <c r="Y22" s="215"/>
      <c r="Z22" s="126">
        <f t="shared" si="3"/>
        <v>12.256493506493506</v>
      </c>
      <c r="AA22" s="128"/>
      <c r="AB22" s="127">
        <v>0.82</v>
      </c>
      <c r="AC22" s="215"/>
      <c r="AD22" s="126">
        <f t="shared" si="4"/>
        <v>11.509146341463415</v>
      </c>
      <c r="AE22" s="128"/>
      <c r="AF22" s="129">
        <f t="shared" si="5"/>
        <v>-0.33043478260869558</v>
      </c>
      <c r="AG22" s="130"/>
      <c r="AH22" s="113">
        <f t="shared" si="6"/>
        <v>0</v>
      </c>
      <c r="AI22" s="130"/>
      <c r="AJ22" s="130">
        <f t="shared" si="7"/>
        <v>0.23770491803278687</v>
      </c>
      <c r="AK22" s="130"/>
      <c r="AL22" s="131">
        <f t="shared" si="8"/>
        <v>0.12428571428571433</v>
      </c>
      <c r="AM22" s="29"/>
      <c r="AN22" s="134">
        <f t="shared" si="9"/>
        <v>8.4768211920529801E-2</v>
      </c>
      <c r="AO22" s="135"/>
      <c r="AP22" s="319">
        <f>AR22*4</f>
        <v>0.8</v>
      </c>
      <c r="AQ22" s="259">
        <v>36705</v>
      </c>
      <c r="AR22" s="206">
        <v>0.2</v>
      </c>
      <c r="AS22" s="43"/>
      <c r="AT22" s="183">
        <v>9.4375</v>
      </c>
      <c r="AU22" s="43"/>
      <c r="AV22" s="183">
        <v>7.625</v>
      </c>
      <c r="AW22" s="43">
        <f>0.2+0.2</f>
        <v>0.4</v>
      </c>
      <c r="AX22" s="183">
        <v>8.75</v>
      </c>
    </row>
    <row r="23" spans="1:50" x14ac:dyDescent="0.2">
      <c r="A23" s="122" t="s">
        <v>98</v>
      </c>
      <c r="B23" s="66"/>
      <c r="C23" s="132" t="s">
        <v>6</v>
      </c>
      <c r="D23" s="66"/>
      <c r="E23" s="123">
        <f>[1]!WMB</f>
        <v>46.75</v>
      </c>
      <c r="F23" s="66"/>
      <c r="G23" s="125">
        <v>2.08</v>
      </c>
      <c r="H23" s="133" t="s">
        <v>53</v>
      </c>
      <c r="I23" s="126">
        <f>E23/G23</f>
        <v>22.475961538461537</v>
      </c>
      <c r="J23" s="66"/>
      <c r="K23" s="125">
        <v>1.04</v>
      </c>
      <c r="L23" s="67"/>
      <c r="M23" s="126">
        <f>E23/K23</f>
        <v>44.951923076923073</v>
      </c>
      <c r="N23" s="66"/>
      <c r="O23" s="125">
        <v>2.08</v>
      </c>
      <c r="P23" s="133" t="s">
        <v>53</v>
      </c>
      <c r="Q23" s="126">
        <f>M23/O23</f>
        <v>21.611501479289938</v>
      </c>
      <c r="R23" s="66"/>
      <c r="S23" s="127">
        <v>0.82</v>
      </c>
      <c r="T23" s="126">
        <f>E23/S23</f>
        <v>57.012195121951223</v>
      </c>
      <c r="U23" s="128"/>
      <c r="V23" s="129">
        <f>(S23-K23)/K23</f>
        <v>-0.21153846153846162</v>
      </c>
      <c r="W23" s="130"/>
      <c r="X23" s="127">
        <v>1.1100000000000001</v>
      </c>
      <c r="Y23" s="215"/>
      <c r="Z23" s="126">
        <f t="shared" si="3"/>
        <v>42.117117117117111</v>
      </c>
      <c r="AA23" s="128"/>
      <c r="AB23" s="127">
        <v>1.17</v>
      </c>
      <c r="AC23" s="215"/>
      <c r="AD23" s="126">
        <f t="shared" si="4"/>
        <v>39.957264957264961</v>
      </c>
      <c r="AE23" s="128"/>
      <c r="AF23" s="129">
        <f t="shared" si="5"/>
        <v>0.35365853658536606</v>
      </c>
      <c r="AG23" s="130"/>
      <c r="AH23" s="113">
        <f t="shared" si="6"/>
        <v>1.5426251691474935E-2</v>
      </c>
      <c r="AI23" s="130"/>
      <c r="AJ23" s="130">
        <f t="shared" si="7"/>
        <v>0.12493207158249786</v>
      </c>
      <c r="AK23" s="130"/>
      <c r="AL23" s="131">
        <f t="shared" si="8"/>
        <v>0.54437627811860945</v>
      </c>
      <c r="AM23" s="29"/>
      <c r="AN23" s="134">
        <f t="shared" si="9"/>
        <v>1.2834224598930482E-2</v>
      </c>
      <c r="AO23" s="135"/>
      <c r="AP23" s="55">
        <f>[1]!'WMB,DIVIDEND'</f>
        <v>0.6</v>
      </c>
      <c r="AQ23" s="259">
        <v>36684</v>
      </c>
      <c r="AR23" s="206">
        <v>0.15</v>
      </c>
      <c r="AS23" s="43">
        <v>0.15</v>
      </c>
      <c r="AT23" s="183">
        <v>46.1875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">
      <c r="A25" s="122" t="s">
        <v>113</v>
      </c>
      <c r="B25" s="66"/>
      <c r="C25" s="114"/>
      <c r="D25" s="66"/>
      <c r="E25" s="123"/>
      <c r="F25" s="66"/>
      <c r="G25" s="138"/>
      <c r="H25" s="139"/>
      <c r="I25" s="140">
        <f>AVERAGE(I13:I23)</f>
        <v>17.066560701371042</v>
      </c>
      <c r="J25" s="67"/>
      <c r="K25" s="138"/>
      <c r="L25" s="139"/>
      <c r="M25" s="140">
        <f>AVERAGE(M13:M23)</f>
        <v>23.419283584023454</v>
      </c>
      <c r="N25" s="66"/>
      <c r="O25" s="138"/>
      <c r="P25" s="139"/>
      <c r="Q25" s="140">
        <f>AVERAGE(Q13:Q23)</f>
        <v>6.8486558779574613</v>
      </c>
      <c r="R25" s="67"/>
      <c r="S25" s="138"/>
      <c r="T25" s="140">
        <f>AVERAGE(T13:T23)</f>
        <v>30.020805065964623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23.987427677673644</v>
      </c>
      <c r="AA25" s="128"/>
      <c r="AB25" s="186"/>
      <c r="AC25" s="216"/>
      <c r="AD25" s="140">
        <f>AVERAGE(AD13:AD23)</f>
        <v>20.678012013221142</v>
      </c>
      <c r="AE25" s="128"/>
      <c r="AF25" s="141">
        <f>AVERAGE(AF13:AF23)</f>
        <v>0.23285186131338964</v>
      </c>
      <c r="AG25" s="130"/>
      <c r="AH25" s="142">
        <f>AVERAGE(AH13:AH23)</f>
        <v>-4.2051034692674434E-3</v>
      </c>
      <c r="AI25" s="143"/>
      <c r="AJ25" s="143">
        <f>AVERAGE(AJ13:AJ23)</f>
        <v>0.1747120135059923</v>
      </c>
      <c r="AK25" s="143"/>
      <c r="AL25" s="144">
        <f>AVERAGE(AL13:AL23)</f>
        <v>0.57370936870639799</v>
      </c>
      <c r="AM25" s="29"/>
      <c r="AN25" s="141">
        <f>AVERAGE(AN13:AN23)</f>
        <v>2.4150026578245023E-2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0">
        <v>2000</v>
      </c>
      <c r="Y28" s="331"/>
      <c r="Z28" s="332"/>
      <c r="AA28" s="66"/>
      <c r="AB28" s="330">
        <v>2001</v>
      </c>
      <c r="AC28" s="331"/>
      <c r="AD28" s="332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>
        <f>+Last_Week</f>
        <v>36756</v>
      </c>
      <c r="AV29" s="322">
        <f>+AV5</f>
        <v>36707</v>
      </c>
      <c r="AX29" s="322" t="str">
        <f>+AX6</f>
        <v xml:space="preserve">12/31/99 Closing </v>
      </c>
    </row>
    <row r="30" spans="1:50" ht="15.75" thickBot="1" x14ac:dyDescent="0.25">
      <c r="A30" s="298" t="s">
        <v>103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 t="s">
        <v>48</v>
      </c>
      <c r="AV30" s="225" t="s">
        <v>50</v>
      </c>
    </row>
    <row r="31" spans="1:50" x14ac:dyDescent="0.2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70.0625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72">
        <v>80</v>
      </c>
      <c r="Y31" s="67"/>
      <c r="Z31" s="273">
        <f>'[2]7-07-00'!$G$17</f>
        <v>154.66440677966102</v>
      </c>
      <c r="AA31" s="66"/>
      <c r="AB31" s="272">
        <v>175.3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-0.11243072050673</v>
      </c>
      <c r="AI31" s="266"/>
      <c r="AJ31" s="130">
        <f t="shared" ref="AJ31:AJ40" si="11">((+AU31+E31-AV31)/AV31)</f>
        <v>-0.4099006148403942</v>
      </c>
      <c r="AK31" s="12"/>
      <c r="AL31" s="131">
        <f t="shared" ref="AL31:AL40" si="12">((+AW31+E31-AX31)/AX31)</f>
        <v>-0.78615032430370091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78.9375</v>
      </c>
      <c r="AV31" s="1">
        <v>118.73</v>
      </c>
      <c r="AX31" s="183">
        <v>327.625</v>
      </c>
    </row>
    <row r="32" spans="1:50" x14ac:dyDescent="0.2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29.1875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272">
        <v>55.29</v>
      </c>
      <c r="Y32" s="67"/>
      <c r="Z32" s="273">
        <f>'[2]7-07-00'!$G$19</f>
        <v>54.394945155393046</v>
      </c>
      <c r="AA32" s="66"/>
      <c r="AB32" s="272">
        <v>158.18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0.11190476190476191</v>
      </c>
      <c r="AI32" s="266"/>
      <c r="AJ32" s="130">
        <f t="shared" si="11"/>
        <v>-0.3998046473370348</v>
      </c>
      <c r="AK32" s="12"/>
      <c r="AL32" s="131">
        <f t="shared" si="12"/>
        <v>-0.69316688567674112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26.25</v>
      </c>
      <c r="AV32" s="1">
        <v>48.63</v>
      </c>
      <c r="AX32" s="183">
        <v>95.125</v>
      </c>
    </row>
    <row r="33" spans="1:50" x14ac:dyDescent="0.2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26.375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272">
        <v>67.5</v>
      </c>
      <c r="Y33" s="67"/>
      <c r="Z33" s="273">
        <f>'[2]7-07-00'!$G$22</f>
        <v>86.069645765472302</v>
      </c>
      <c r="AA33" s="66"/>
      <c r="AB33" s="272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-7.4561403508771926E-2</v>
      </c>
      <c r="AI33" s="266"/>
      <c r="AJ33" s="130">
        <f t="shared" si="11"/>
        <v>-0.36476396917148368</v>
      </c>
      <c r="AK33" s="12"/>
      <c r="AL33" s="131">
        <f t="shared" si="12"/>
        <v>-0.69508670520231219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28.5</v>
      </c>
      <c r="AV33" s="1">
        <v>41.52</v>
      </c>
      <c r="AX33" s="183">
        <v>86.5</v>
      </c>
    </row>
    <row r="34" spans="1:50" x14ac:dyDescent="0.2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27.625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274">
        <f>'[2]7-07-00'!$I$33</f>
        <v>2400</v>
      </c>
      <c r="Y34" s="302"/>
      <c r="Z34" s="273">
        <f>'[2]7-07-00'!$J$33</f>
        <v>5.7713396354166671</v>
      </c>
      <c r="AA34" s="66"/>
      <c r="AB34" s="272" t="s">
        <v>87</v>
      </c>
      <c r="AC34" s="67"/>
      <c r="AD34" s="273" t="s">
        <v>87</v>
      </c>
      <c r="AE34" s="66"/>
      <c r="AF34" s="38"/>
      <c r="AG34" s="12"/>
      <c r="AH34" s="113">
        <f t="shared" si="10"/>
        <v>1.1441647597254004E-2</v>
      </c>
      <c r="AI34" s="266"/>
      <c r="AJ34" s="130">
        <f t="shared" si="11"/>
        <v>-0.1651556361438502</v>
      </c>
      <c r="AK34" s="12"/>
      <c r="AL34" s="131">
        <f t="shared" si="12"/>
        <v>-4.5356371490280781E-2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27.3125</v>
      </c>
      <c r="AV34" s="1">
        <v>33.090000000000003</v>
      </c>
      <c r="AX34" s="183">
        <v>28.9375</v>
      </c>
    </row>
    <row r="35" spans="1:50" x14ac:dyDescent="0.2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78.375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274">
        <v>1054.74</v>
      </c>
      <c r="Y35" s="302"/>
      <c r="Z35" s="273">
        <f>'[2]7-07-00'!$J$34</f>
        <v>34.558799868053406</v>
      </c>
      <c r="AA35" s="66"/>
      <c r="AB35" s="272">
        <v>2031</v>
      </c>
      <c r="AC35" s="67"/>
      <c r="AD35" s="273" t="s">
        <v>87</v>
      </c>
      <c r="AE35" s="66"/>
      <c r="AF35" s="38"/>
      <c r="AG35" s="12"/>
      <c r="AH35" s="113">
        <f t="shared" si="10"/>
        <v>0.30625000000000002</v>
      </c>
      <c r="AI35" s="266"/>
      <c r="AJ35" s="130">
        <f t="shared" si="11"/>
        <v>-0.109375</v>
      </c>
      <c r="AK35" s="12"/>
      <c r="AL35" s="131">
        <f t="shared" si="12"/>
        <v>-4.2748091603053436E-2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60</v>
      </c>
      <c r="AV35" s="1">
        <v>88</v>
      </c>
      <c r="AX35" s="183">
        <v>81.875</v>
      </c>
    </row>
    <row r="36" spans="1:50" x14ac:dyDescent="0.2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31.375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274">
        <f>'[2]7-07-00'!$I$35</f>
        <v>4650</v>
      </c>
      <c r="Y36" s="302"/>
      <c r="Z36" s="273">
        <f>'[2]7-07-00'!$J$35</f>
        <v>4.7806383064516131</v>
      </c>
      <c r="AA36" s="66"/>
      <c r="AB36" s="272" t="s">
        <v>87</v>
      </c>
      <c r="AC36" s="67"/>
      <c r="AD36" s="273" t="s">
        <v>87</v>
      </c>
      <c r="AE36" s="66"/>
      <c r="AF36" s="38"/>
      <c r="AG36" s="12"/>
      <c r="AH36" s="113">
        <f t="shared" si="10"/>
        <v>-9.8619329388560158E-3</v>
      </c>
      <c r="AI36" s="266"/>
      <c r="AJ36" s="130">
        <f t="shared" si="11"/>
        <v>0.19251235271759792</v>
      </c>
      <c r="AK36" s="12"/>
      <c r="AL36" s="131">
        <f t="shared" si="12"/>
        <v>-0.3725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31.6875</v>
      </c>
      <c r="AV36" s="1">
        <v>26.31</v>
      </c>
      <c r="AX36" s="183">
        <v>50</v>
      </c>
    </row>
    <row r="37" spans="1:50" x14ac:dyDescent="0.2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50.3125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274">
        <v>5183.7</v>
      </c>
      <c r="Y37" s="302"/>
      <c r="Z37" s="273">
        <f>'[2]7-07-00'!$J$36</f>
        <v>17.517848839462161</v>
      </c>
      <c r="AA37" s="66"/>
      <c r="AB37" s="272">
        <v>6600</v>
      </c>
      <c r="AC37" s="67"/>
      <c r="AD37" s="273" t="s">
        <v>87</v>
      </c>
      <c r="AE37" s="66"/>
      <c r="AF37" s="38"/>
      <c r="AG37" s="12"/>
      <c r="AH37" s="113">
        <f t="shared" si="10"/>
        <v>8.6369770580296892E-2</v>
      </c>
      <c r="AI37" s="266"/>
      <c r="AJ37" s="130">
        <f t="shared" si="11"/>
        <v>1.2527671563694954E-2</v>
      </c>
      <c r="AK37" s="12"/>
      <c r="AL37" s="131">
        <f t="shared" si="12"/>
        <v>0.17005813953488372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46.3125</v>
      </c>
      <c r="AV37" s="1">
        <v>49.69</v>
      </c>
      <c r="AX37" s="183">
        <v>43</v>
      </c>
    </row>
    <row r="38" spans="1:50" x14ac:dyDescent="0.2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147.6875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272">
        <v>244.75</v>
      </c>
      <c r="Y38" s="67"/>
      <c r="Z38" s="273">
        <f>'[2]7-07-00'!$G$56</f>
        <v>127.34589430306534</v>
      </c>
      <c r="AA38" s="66"/>
      <c r="AB38" s="272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5.1624388072986201E-2</v>
      </c>
      <c r="AI38" s="266"/>
      <c r="AJ38" s="130">
        <f t="shared" si="11"/>
        <v>0.50624681285058648</v>
      </c>
      <c r="AK38" s="12"/>
      <c r="AL38" s="131">
        <f t="shared" si="12"/>
        <v>0.6652572233967583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140.4375</v>
      </c>
      <c r="AV38" s="1">
        <v>98.05</v>
      </c>
      <c r="AX38" s="183">
        <v>88.6875</v>
      </c>
    </row>
    <row r="39" spans="1:50" x14ac:dyDescent="0.2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53.875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272">
        <v>268.14999999999998</v>
      </c>
      <c r="Y39" s="67"/>
      <c r="Z39" s="273">
        <f>'[2]7-07-00'!$G$57</f>
        <v>28.115766558591936</v>
      </c>
      <c r="AA39" s="66"/>
      <c r="AB39" s="272">
        <v>452.02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7.7499999999999999E-2</v>
      </c>
      <c r="AI39" s="266"/>
      <c r="AJ39" s="130">
        <f t="shared" si="11"/>
        <v>0.18719700308505943</v>
      </c>
      <c r="AK39" s="12"/>
      <c r="AL39" s="131">
        <f t="shared" si="12"/>
        <v>-0.45165394402035625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50</v>
      </c>
      <c r="AV39" s="1">
        <v>45.38</v>
      </c>
      <c r="AX39" s="183">
        <v>98.25</v>
      </c>
    </row>
    <row r="40" spans="1:50" x14ac:dyDescent="0.2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166.5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272">
        <v>1018</v>
      </c>
      <c r="Y40" s="67"/>
      <c r="Z40" s="273">
        <f>'[2]7-07-00'!$G$58</f>
        <v>22.470536133871551</v>
      </c>
      <c r="AA40" s="66"/>
      <c r="AB40" s="272">
        <v>1478.08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0.11</v>
      </c>
      <c r="AI40" s="266"/>
      <c r="AJ40" s="130">
        <f t="shared" si="11"/>
        <v>0.59681595856909953</v>
      </c>
      <c r="AK40" s="12"/>
      <c r="AL40" s="131">
        <f t="shared" si="12"/>
        <v>0.70769230769230773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150</v>
      </c>
      <c r="AV40" s="1">
        <v>104.27</v>
      </c>
      <c r="AX40" s="183">
        <v>97.5</v>
      </c>
    </row>
    <row r="41" spans="1:50" x14ac:dyDescent="0.2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5.582365112009411E-2</v>
      </c>
      <c r="AI42" s="282"/>
      <c r="AJ42" s="283">
        <f>AVERAGE(AJ31:AJ40)</f>
        <v>4.6299931293275476E-3</v>
      </c>
      <c r="AK42" s="284"/>
      <c r="AL42" s="285">
        <f>AVERAGE(AL31:AL40)</f>
        <v>-0.15436546516724953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27" t="s">
        <v>107</v>
      </c>
      <c r="Y44" s="328"/>
      <c r="Z44" s="328"/>
      <c r="AA44" s="328"/>
      <c r="AB44" s="329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6.5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105</v>
      </c>
      <c r="Y45" s="156"/>
      <c r="Z45" s="44"/>
      <c r="AA45" s="44"/>
      <c r="AB45" s="306" t="s">
        <v>106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AVERAGE(X64:X82)</f>
        <v>1.4089473684210523</v>
      </c>
      <c r="Y46" s="66"/>
      <c r="Z46" s="66"/>
      <c r="AA46" s="66"/>
      <c r="AB46" s="299">
        <f>AVERAGE(AB64:AB82)</f>
        <v>1.6484210526315786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MAX(X64:X82)</f>
        <v>1.5</v>
      </c>
      <c r="Y47" s="66"/>
      <c r="Z47" s="66"/>
      <c r="AA47" s="66"/>
      <c r="AB47" s="299">
        <f>MAX(AB64:AB82)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MIN(X64:X82)</f>
        <v>1.35</v>
      </c>
      <c r="Y48" s="66"/>
      <c r="Z48" s="66"/>
      <c r="AA48" s="66"/>
      <c r="AB48" s="300">
        <f>MIN(AB64:AB82)</f>
        <v>1.57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">
      <c r="A50" s="301" t="s">
        <v>102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">
      <c r="A51" s="301" t="s">
        <v>100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">
      <c r="A52" s="301" t="s">
        <v>110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">
      <c r="A53" s="301" t="s">
        <v>118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25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75" x14ac:dyDescent="0.25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25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75" x14ac:dyDescent="0.25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75" x14ac:dyDescent="0.25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75" x14ac:dyDescent="0.25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75" x14ac:dyDescent="0.25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75" x14ac:dyDescent="0.25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1.35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75" x14ac:dyDescent="0.25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1.45</v>
      </c>
      <c r="Y69" s="190"/>
      <c r="Z69" s="161"/>
      <c r="AA69" s="161"/>
      <c r="AB69" s="236">
        <v>1.7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75" x14ac:dyDescent="0.25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75" x14ac:dyDescent="0.25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1.71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ht="15.75" x14ac:dyDescent="0.25">
      <c r="A72" s="158" t="s">
        <v>104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1"/>
      <c r="U72" s="44"/>
      <c r="V72" s="44"/>
      <c r="W72" s="44"/>
      <c r="X72" s="190">
        <v>1.4</v>
      </c>
      <c r="Y72" s="190"/>
      <c r="Z72" s="161"/>
      <c r="AA72" s="161"/>
      <c r="AB72" s="236">
        <v>1.59</v>
      </c>
      <c r="AC72" s="190"/>
      <c r="AD72" s="162"/>
      <c r="AE72" s="162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4" s="6" customFormat="1" ht="15.75" x14ac:dyDescent="0.25">
      <c r="A73" s="163" t="s">
        <v>14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>
        <v>2</v>
      </c>
      <c r="T73" s="164"/>
      <c r="U73" s="165"/>
      <c r="V73" s="165"/>
      <c r="W73" s="165"/>
      <c r="X73" s="190">
        <v>1.4</v>
      </c>
      <c r="Y73" s="190"/>
      <c r="Z73" s="164"/>
      <c r="AA73" s="164"/>
      <c r="AB73" s="236">
        <v>1.65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75" x14ac:dyDescent="0.25">
      <c r="A74" s="163" t="s">
        <v>70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1.41</v>
      </c>
      <c r="Y74" s="190"/>
      <c r="Z74" s="164"/>
      <c r="AA74" s="164"/>
      <c r="AB74" s="160">
        <v>1.69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75" x14ac:dyDescent="0.25">
      <c r="A75" s="163" t="s">
        <v>15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1.65</v>
      </c>
      <c r="AC75" s="190"/>
      <c r="AD75" s="167"/>
      <c r="AE75" s="167"/>
      <c r="AF75" s="166"/>
      <c r="AG75" s="165"/>
      <c r="AH75" s="165"/>
      <c r="AI75" s="45"/>
      <c r="AJ75" s="45"/>
      <c r="AK75" s="45"/>
      <c r="AL75" s="46"/>
      <c r="AM75" s="46"/>
      <c r="AN75" s="46"/>
      <c r="AQ75" s="19"/>
      <c r="AR75" s="211"/>
    </row>
    <row r="76" spans="1:44" s="6" customFormat="1" ht="15.75" x14ac:dyDescent="0.25">
      <c r="A76" s="163" t="s">
        <v>16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>
        <v>2</v>
      </c>
      <c r="T76" s="164"/>
      <c r="U76" s="165"/>
      <c r="V76" s="165"/>
      <c r="W76" s="165"/>
      <c r="X76" s="190">
        <v>1.4</v>
      </c>
      <c r="Y76" s="190"/>
      <c r="Z76" s="164"/>
      <c r="AA76" s="164"/>
      <c r="AB76" s="160">
        <v>1.61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ht="15.75" x14ac:dyDescent="0.25">
      <c r="A77" s="163" t="s">
        <v>17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1.98</v>
      </c>
      <c r="T77" s="161"/>
      <c r="U77" s="168"/>
      <c r="V77" s="168"/>
      <c r="W77" s="168"/>
      <c r="X77" s="190">
        <v>1.41</v>
      </c>
      <c r="Y77" s="190"/>
      <c r="Z77" s="161"/>
      <c r="AA77" s="161"/>
      <c r="AB77" s="160">
        <v>1.65</v>
      </c>
      <c r="AC77" s="190"/>
      <c r="AD77" s="162"/>
      <c r="AE77" s="162"/>
      <c r="AF77" s="169"/>
      <c r="AG77" s="168"/>
      <c r="AH77" s="168"/>
      <c r="AI77" s="47"/>
      <c r="AJ77" s="47"/>
      <c r="AK77" s="47"/>
      <c r="AL77" s="49"/>
      <c r="AM77" s="49"/>
      <c r="AN77" s="49"/>
      <c r="AP77" s="1"/>
      <c r="AQ77" s="2"/>
      <c r="AR77" s="212"/>
    </row>
    <row r="78" spans="1:44" ht="15.75" x14ac:dyDescent="0.25">
      <c r="A78" s="163" t="s">
        <v>101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2</v>
      </c>
      <c r="T78" s="161"/>
      <c r="U78" s="168"/>
      <c r="V78" s="168"/>
      <c r="W78" s="168"/>
      <c r="X78" s="190">
        <v>1.4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75" x14ac:dyDescent="0.25">
      <c r="A79" s="163" t="s">
        <v>18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2.0099999999999998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236">
        <v>1.7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75" x14ac:dyDescent="0.25">
      <c r="A80" s="163" t="s">
        <v>108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/>
      <c r="T80" s="161"/>
      <c r="U80" s="168"/>
      <c r="V80" s="168"/>
      <c r="W80" s="168"/>
      <c r="X80" s="190">
        <v>1.43</v>
      </c>
      <c r="Y80" s="190"/>
      <c r="Z80" s="161"/>
      <c r="AA80" s="161"/>
      <c r="AB80" s="160">
        <v>1.7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75" x14ac:dyDescent="0.25">
      <c r="A81" s="163" t="s">
        <v>64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>
        <v>2</v>
      </c>
      <c r="T81" s="161"/>
      <c r="U81" s="168"/>
      <c r="V81" s="168"/>
      <c r="W81" s="168"/>
      <c r="X81" s="190">
        <v>1.38</v>
      </c>
      <c r="Y81" s="190"/>
      <c r="Z81" s="161"/>
      <c r="AA81" s="161"/>
      <c r="AB81" s="236">
        <v>1.57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75" x14ac:dyDescent="0.25">
      <c r="A82" s="163" t="s">
        <v>90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/>
      <c r="T82" s="161"/>
      <c r="U82" s="168"/>
      <c r="V82" s="168"/>
      <c r="W82" s="168"/>
      <c r="X82" s="190">
        <v>1.43</v>
      </c>
      <c r="Y82" s="190"/>
      <c r="Z82" s="161"/>
      <c r="AA82" s="161"/>
      <c r="AB82" s="160">
        <v>1.65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75" x14ac:dyDescent="0.25">
      <c r="A83" s="170"/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/>
      <c r="Y83" s="190"/>
      <c r="Z83" s="161"/>
      <c r="AA83" s="161"/>
      <c r="AB83" s="160"/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48"/>
      <c r="AQ83" s="149"/>
      <c r="AR83" s="209"/>
    </row>
    <row r="84" spans="1:44" ht="15.75" x14ac:dyDescent="0.25">
      <c r="A84" s="171" t="s">
        <v>19</v>
      </c>
      <c r="B84" s="172"/>
      <c r="C84" s="172"/>
      <c r="D84" s="172"/>
      <c r="E84" s="172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92">
        <f>AVERAGE(S64:S82)</f>
        <v>1.9949999999999999</v>
      </c>
      <c r="T84" s="174"/>
      <c r="U84" s="175"/>
      <c r="V84" s="175"/>
      <c r="W84" s="175"/>
      <c r="X84" s="197">
        <f>AVERAGE(X64:X82)</f>
        <v>1.4089473684210523</v>
      </c>
      <c r="Y84" s="197"/>
      <c r="Z84" s="174"/>
      <c r="AA84" s="174"/>
      <c r="AB84" s="262">
        <f>AVERAGE(AB64:AB82)</f>
        <v>1.6484210526315786</v>
      </c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75" x14ac:dyDescent="0.25">
      <c r="C85" s="1"/>
      <c r="U85" s="1"/>
      <c r="W85" s="1"/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75" x14ac:dyDescent="0.25">
      <c r="A86" s="4"/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75" x14ac:dyDescent="0.25">
      <c r="A87" s="4"/>
      <c r="B87" s="4"/>
      <c r="C87" s="17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77"/>
      <c r="T87" s="177"/>
      <c r="U87" s="178"/>
      <c r="V87" s="179"/>
      <c r="W87" s="178"/>
      <c r="X87" s="177"/>
      <c r="Y87" s="177"/>
      <c r="Z87" s="177"/>
      <c r="AA87" s="177"/>
      <c r="AB87" s="177"/>
      <c r="AC87" s="177"/>
      <c r="AD87" s="177"/>
      <c r="AE87" s="177"/>
      <c r="AF87" s="179"/>
      <c r="AG87" s="178"/>
      <c r="AH87" s="178"/>
      <c r="AP87" s="148"/>
      <c r="AQ87" s="149"/>
      <c r="AR87" s="209"/>
    </row>
    <row r="88" spans="1:44" ht="15.75" hidden="1" x14ac:dyDescent="0.25">
      <c r="A88" s="180" t="s">
        <v>63</v>
      </c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</row>
    <row r="89" spans="1:44" ht="15.75" x14ac:dyDescent="0.25"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178"/>
      <c r="V89" s="179"/>
      <c r="W89" s="178"/>
      <c r="X89" s="4"/>
      <c r="Y89" s="4"/>
      <c r="Z89" s="4"/>
      <c r="AA89" s="4"/>
      <c r="AB89" s="4"/>
      <c r="AC89" s="4"/>
      <c r="AD89" s="4"/>
      <c r="AE89" s="4"/>
      <c r="AF89" s="179"/>
      <c r="AG89" s="178"/>
      <c r="AH89" s="178"/>
    </row>
    <row r="90" spans="1:44" ht="15.75" x14ac:dyDescent="0.25">
      <c r="A90" s="4"/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x14ac:dyDescent="0.2">
      <c r="A91" s="5"/>
      <c r="B91" s="5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X91" s="5"/>
      <c r="Y91" s="5"/>
      <c r="Z91" s="5"/>
      <c r="AA91" s="5"/>
      <c r="AB91" s="5"/>
      <c r="AC91" s="5"/>
      <c r="AD91" s="5"/>
      <c r="AE91" s="5"/>
    </row>
    <row r="92" spans="1:44" x14ac:dyDescent="0.2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C108" s="3"/>
    </row>
    <row r="109" spans="1:31" x14ac:dyDescent="0.2">
      <c r="C109" s="3"/>
    </row>
    <row r="110" spans="1:31" x14ac:dyDescent="0.2">
      <c r="C110" s="3"/>
    </row>
    <row r="111" spans="1:31" x14ac:dyDescent="0.2">
      <c r="C111" s="3"/>
    </row>
    <row r="112" spans="1:31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6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2000-08-24T23:58:45Z</cp:lastPrinted>
  <dcterms:created xsi:type="dcterms:W3CDTF">1997-07-25T21:14:12Z</dcterms:created>
  <dcterms:modified xsi:type="dcterms:W3CDTF">2014-09-04T14:06:35Z</dcterms:modified>
</cp:coreProperties>
</file>