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5640" windowHeight="6465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ENRON!$A$1:$AN$64</definedName>
    <definedName name="Print_Area_MI">#REF!</definedName>
    <definedName name="_xlnm.Print_Titles" localSheetId="1">ENRON!$A:$C,ENRON!$1:$6</definedName>
    <definedName name="weekly">ENRON!$E$7:$AN$90</definedName>
  </definedNames>
  <calcPr calcId="152511" fullCalcOnLoad="1"/>
</workbook>
</file>

<file path=xl/calcChain.xml><?xml version="1.0" encoding="utf-8"?>
<calcChain xmlns="http://schemas.openxmlformats.org/spreadsheetml/2006/main">
  <c r="E7" i="2" l="1"/>
  <c r="I7" i="2" s="1"/>
  <c r="AL7" i="2"/>
  <c r="H6" i="1" s="1"/>
  <c r="AW7" i="2"/>
  <c r="E9" i="2"/>
  <c r="I9" i="2" s="1"/>
  <c r="M9" i="2"/>
  <c r="Q9" i="2" s="1"/>
  <c r="V9" i="2"/>
  <c r="AD9" i="2"/>
  <c r="AF9" i="2"/>
  <c r="AJ9" i="2"/>
  <c r="E10" i="2"/>
  <c r="M10" i="2" s="1"/>
  <c r="Q10" i="2" s="1"/>
  <c r="V10" i="2"/>
  <c r="AF10" i="2"/>
  <c r="E13" i="2"/>
  <c r="I13" i="2" s="1"/>
  <c r="I24" i="2" s="1"/>
  <c r="M13" i="2"/>
  <c r="Q13" i="2" s="1"/>
  <c r="V13" i="2"/>
  <c r="V24" i="2" s="1"/>
  <c r="AD13" i="2"/>
  <c r="AF13" i="2"/>
  <c r="AJ13" i="2"/>
  <c r="AL13" i="2"/>
  <c r="AP13" i="2"/>
  <c r="AN13" i="2" s="1"/>
  <c r="AX13" i="2"/>
  <c r="E14" i="2"/>
  <c r="I14" i="2" s="1"/>
  <c r="V14" i="2"/>
  <c r="Z14" i="2"/>
  <c r="AF14" i="2"/>
  <c r="AF24" i="2" s="1"/>
  <c r="AL14" i="2"/>
  <c r="AP14" i="2"/>
  <c r="AR14" i="2"/>
  <c r="AW14" i="2"/>
  <c r="E15" i="2"/>
  <c r="I15" i="2" s="1"/>
  <c r="V15" i="2"/>
  <c r="Z15" i="2"/>
  <c r="AF15" i="2"/>
  <c r="AP15" i="2"/>
  <c r="AW15" i="2"/>
  <c r="AL15" i="2" s="1"/>
  <c r="E16" i="2"/>
  <c r="M16" i="2"/>
  <c r="T16" i="2"/>
  <c r="V16" i="2"/>
  <c r="Z16" i="2"/>
  <c r="AD16" i="2"/>
  <c r="AF16" i="2"/>
  <c r="AH16" i="2"/>
  <c r="AJ16" i="2"/>
  <c r="AN16" i="2"/>
  <c r="AP16" i="2"/>
  <c r="AW16" i="2"/>
  <c r="AL16" i="2" s="1"/>
  <c r="E17" i="2"/>
  <c r="AD17" i="2" s="1"/>
  <c r="T17" i="2"/>
  <c r="V17" i="2"/>
  <c r="Z17" i="2"/>
  <c r="AF17" i="2"/>
  <c r="AH17" i="2"/>
  <c r="AJ17" i="2"/>
  <c r="AN17" i="2"/>
  <c r="AP17" i="2"/>
  <c r="AW17" i="2"/>
  <c r="AL17" i="2" s="1"/>
  <c r="AX17" i="2"/>
  <c r="E18" i="2"/>
  <c r="I18" i="2"/>
  <c r="M18" i="2"/>
  <c r="Q18" i="2" s="1"/>
  <c r="T18" i="2"/>
  <c r="V18" i="2"/>
  <c r="Z18" i="2"/>
  <c r="AD18" i="2"/>
  <c r="AF18" i="2"/>
  <c r="AH18" i="2"/>
  <c r="AJ18" i="2"/>
  <c r="AN18" i="2"/>
  <c r="AP18" i="2"/>
  <c r="AW18" i="2"/>
  <c r="AL18" i="2" s="1"/>
  <c r="E19" i="2"/>
  <c r="M19" i="2" s="1"/>
  <c r="T19" i="2"/>
  <c r="Z19" i="2"/>
  <c r="AF19" i="2"/>
  <c r="AJ19" i="2"/>
  <c r="AP19" i="2"/>
  <c r="AN19" i="2" s="1"/>
  <c r="AW19" i="2"/>
  <c r="AL19" i="2" s="1"/>
  <c r="E20" i="2"/>
  <c r="M20" i="2" s="1"/>
  <c r="Q20" i="2" s="1"/>
  <c r="I20" i="2"/>
  <c r="T20" i="2"/>
  <c r="V20" i="2"/>
  <c r="Z20" i="2"/>
  <c r="AD20" i="2"/>
  <c r="AF20" i="2"/>
  <c r="AH20" i="2"/>
  <c r="AN20" i="2"/>
  <c r="AP20" i="2"/>
  <c r="AW20" i="2"/>
  <c r="AL20" i="2" s="1"/>
  <c r="E21" i="2"/>
  <c r="AH21" i="2" s="1"/>
  <c r="Z21" i="2"/>
  <c r="AF21" i="2"/>
  <c r="AN21" i="2"/>
  <c r="AP21" i="2"/>
  <c r="AW21" i="2"/>
  <c r="AL21" i="2" s="1"/>
  <c r="E22" i="2"/>
  <c r="I22" i="2"/>
  <c r="M22" i="2"/>
  <c r="Q22" i="2" s="1"/>
  <c r="T22" i="2"/>
  <c r="V22" i="2"/>
  <c r="Z22" i="2"/>
  <c r="AD22" i="2"/>
  <c r="AF22" i="2"/>
  <c r="AH22" i="2"/>
  <c r="AJ22" i="2"/>
  <c r="AN22" i="2"/>
  <c r="AP22" i="2"/>
  <c r="AW22" i="2"/>
  <c r="AL22" i="2" s="1"/>
  <c r="X29" i="2"/>
  <c r="AB29" i="2"/>
  <c r="X30" i="2"/>
  <c r="AB30" i="2"/>
  <c r="X31" i="2"/>
  <c r="AB31" i="2"/>
  <c r="AT34" i="2"/>
  <c r="AT47" i="2" s="1"/>
  <c r="AV34" i="2"/>
  <c r="AX34" i="2"/>
  <c r="A36" i="2"/>
  <c r="C36" i="2"/>
  <c r="E36" i="2"/>
  <c r="AJ36" i="2" s="1"/>
  <c r="Z36" i="2"/>
  <c r="AD36" i="2"/>
  <c r="AH36" i="2"/>
  <c r="AL36" i="2"/>
  <c r="AN36" i="2"/>
  <c r="A37" i="2"/>
  <c r="C37" i="2"/>
  <c r="E37" i="2"/>
  <c r="AH37" i="2" s="1"/>
  <c r="Z37" i="2"/>
  <c r="AD37" i="2"/>
  <c r="A38" i="2"/>
  <c r="C38" i="2"/>
  <c r="E38" i="2"/>
  <c r="AH38" i="2" s="1"/>
  <c r="Z38" i="2"/>
  <c r="AD38" i="2"/>
  <c r="AJ38" i="2"/>
  <c r="AL38" i="2"/>
  <c r="AN38" i="2"/>
  <c r="A39" i="2"/>
  <c r="C39" i="2"/>
  <c r="E39" i="2"/>
  <c r="AH39" i="2" s="1"/>
  <c r="Z39" i="2"/>
  <c r="AJ39" i="2"/>
  <c r="C40" i="2"/>
  <c r="E40" i="2"/>
  <c r="AH40" i="2" s="1"/>
  <c r="Z40" i="2"/>
  <c r="AL40" i="2"/>
  <c r="AN40" i="2"/>
  <c r="E41" i="2"/>
  <c r="AL41" i="2" s="1"/>
  <c r="Z41" i="2"/>
  <c r="AJ41" i="2"/>
  <c r="A42" i="2"/>
  <c r="C42" i="2"/>
  <c r="E42" i="2"/>
  <c r="AL42" i="2" s="1"/>
  <c r="Z42" i="2"/>
  <c r="AJ42" i="2"/>
  <c r="AI44" i="2"/>
  <c r="AV47" i="2"/>
  <c r="E49" i="2"/>
  <c r="AF49" i="2"/>
  <c r="AH49" i="2"/>
  <c r="AJ49" i="2"/>
  <c r="AL49" i="2"/>
  <c r="AL53" i="2" s="1"/>
  <c r="AN49" i="2"/>
  <c r="E50" i="2"/>
  <c r="Z50" i="2" s="1"/>
  <c r="AF50" i="2"/>
  <c r="AL50" i="2"/>
  <c r="E51" i="2"/>
  <c r="Z51" i="2" s="1"/>
  <c r="AF51" i="2"/>
  <c r="AL51" i="2"/>
  <c r="S89" i="2"/>
  <c r="S7" i="2" s="1"/>
  <c r="V7" i="2" s="1"/>
  <c r="X89" i="2"/>
  <c r="X7" i="2" s="1"/>
  <c r="AB89" i="2"/>
  <c r="AB7" i="2" s="1"/>
  <c r="F7" i="1"/>
  <c r="B8" i="1"/>
  <c r="AL24" i="2" l="1"/>
  <c r="H9" i="1" s="1"/>
  <c r="Z7" i="2"/>
  <c r="B6" i="1" s="1"/>
  <c r="AF7" i="2"/>
  <c r="AN51" i="2"/>
  <c r="AN50" i="2"/>
  <c r="AH42" i="2"/>
  <c r="AH41" i="2"/>
  <c r="AH44" i="2" s="1"/>
  <c r="D10" i="1" s="1"/>
  <c r="AD21" i="2"/>
  <c r="AJ20" i="2"/>
  <c r="AH19" i="2"/>
  <c r="AD15" i="2"/>
  <c r="AD14" i="2"/>
  <c r="Z13" i="2"/>
  <c r="Z24" i="2" s="1"/>
  <c r="B9" i="1" s="1"/>
  <c r="AL10" i="2"/>
  <c r="H8" i="1" s="1"/>
  <c r="I10" i="2"/>
  <c r="Z9" i="2"/>
  <c r="B7" i="1" s="1"/>
  <c r="AN7" i="2"/>
  <c r="AJ51" i="2"/>
  <c r="AJ50" i="2"/>
  <c r="AJ53" i="2" s="1"/>
  <c r="AN39" i="2"/>
  <c r="AN44" i="2" s="1"/>
  <c r="T21" i="2"/>
  <c r="AD19" i="2"/>
  <c r="M17" i="2"/>
  <c r="M24" i="2" s="1"/>
  <c r="T13" i="2"/>
  <c r="AH10" i="2"/>
  <c r="D8" i="1" s="1"/>
  <c r="AP9" i="2"/>
  <c r="T9" i="2"/>
  <c r="AJ7" i="2"/>
  <c r="F6" i="1" s="1"/>
  <c r="T7" i="2"/>
  <c r="AJ10" i="2"/>
  <c r="F8" i="1" s="1"/>
  <c r="AH51" i="2"/>
  <c r="AH50" i="2"/>
  <c r="AL39" i="2"/>
  <c r="AN37" i="2"/>
  <c r="AN15" i="2"/>
  <c r="T15" i="2"/>
  <c r="AN14" i="2"/>
  <c r="AN24" i="2" s="1"/>
  <c r="T14" i="2"/>
  <c r="AL9" i="2"/>
  <c r="H7" i="1" s="1"/>
  <c r="AH7" i="2"/>
  <c r="D6" i="1" s="1"/>
  <c r="AL37" i="2"/>
  <c r="AL44" i="2" s="1"/>
  <c r="H10" i="1" s="1"/>
  <c r="AD51" i="2"/>
  <c r="AD50" i="2"/>
  <c r="AN42" i="2"/>
  <c r="AN41" i="2"/>
  <c r="AJ40" i="2"/>
  <c r="AJ37" i="2"/>
  <c r="AJ44" i="2" s="1"/>
  <c r="F10" i="1" s="1"/>
  <c r="AJ21" i="2"/>
  <c r="AJ15" i="2"/>
  <c r="M15" i="2"/>
  <c r="Q15" i="2" s="1"/>
  <c r="AJ14" i="2"/>
  <c r="AJ24" i="2" s="1"/>
  <c r="F9" i="1" s="1"/>
  <c r="M14" i="2"/>
  <c r="Q14" i="2" s="1"/>
  <c r="Q24" i="2" s="1"/>
  <c r="AH13" i="2"/>
  <c r="AH24" i="2" s="1"/>
  <c r="D9" i="1" s="1"/>
  <c r="T10" i="2"/>
  <c r="AH9" i="2"/>
  <c r="D7" i="1" s="1"/>
  <c r="AD7" i="2"/>
  <c r="M7" i="2"/>
  <c r="Q7" i="2" s="1"/>
  <c r="AH15" i="2"/>
  <c r="AH14" i="2"/>
  <c r="AP10" i="2"/>
  <c r="AH53" i="2" l="1"/>
  <c r="T24" i="2"/>
  <c r="AD24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<sst xmlns="http://schemas.openxmlformats.org/spreadsheetml/2006/main" count="241" uniqueCount="130">
  <si>
    <t>ENE</t>
  </si>
  <si>
    <t>CGP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</si>
  <si>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</si>
  <si>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</si>
  <si>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</si>
  <si>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</si>
  <si>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</si>
  <si>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</si>
  <si>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</si>
  <si>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</si>
  <si>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</si>
  <si>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</si>
  <si>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</si>
  <si>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</si>
  <si>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</si>
  <si>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</si>
  <si>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</si>
  <si>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</si>
  <si>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</si>
  <si>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</si>
  <si>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</si>
  <si>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</si>
  <si>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</si>
  <si>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</si>
  <si>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</si>
  <si>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</si>
  <si>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</si>
  <si>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</si>
  <si>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</si>
  <si>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</si>
  <si>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</si>
  <si>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</si>
  <si>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</si>
  <si>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</si>
  <si>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</si>
  <si>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</si>
  <si>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</si>
  <si>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</si>
  <si>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</si>
  <si>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</si>
  <si>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</si>
  <si>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</si>
  <si>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</si>
  <si>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</si>
  <si>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</si>
  <si>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</si>
  <si>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</si>
  <si>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</si>
  <si>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</si>
  <si>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</si>
  <si>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</si>
  <si>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</si>
  <si>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</si>
  <si>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</si>
  <si>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</si>
  <si>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>Duke Energy</t>
  </si>
  <si>
    <t>DYN</t>
  </si>
  <si>
    <t>El Paso</t>
  </si>
  <si>
    <t>Transcanada Pipeline</t>
  </si>
  <si>
    <t>Sanders Morris</t>
  </si>
  <si>
    <t>PG&amp;E</t>
  </si>
  <si>
    <t>PCG</t>
  </si>
  <si>
    <t>First Albany</t>
  </si>
  <si>
    <t>SPX</t>
  </si>
  <si>
    <t>2000 EPS</t>
  </si>
  <si>
    <t>J P Morgan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</si>
  <si>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</si>
  <si>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</si>
  <si>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</si>
  <si>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</si>
  <si>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</si>
  <si>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</si>
  <si>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</si>
  <si>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</si>
  <si>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</si>
  <si>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</si>
  <si>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</si>
  <si>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</si>
  <si>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</si>
  <si>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</si>
  <si>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</si>
  <si>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</si>
  <si>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</si>
  <si>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</si>
  <si>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</si>
  <si>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</si>
  <si>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</si>
  <si>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</si>
  <si>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</si>
  <si>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</si>
  <si>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</si>
  <si>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</si>
  <si>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</si>
  <si>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</si>
  <si>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</si>
  <si>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2000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</si>
  <si>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</si>
  <si>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</si>
  <si>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</si>
  <si>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</si>
  <si>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</si>
  <si>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</si>
  <si>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</si>
  <si>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</si>
  <si>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FRIDAY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</si>
  <si>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</si>
  <si>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</si>
  <si>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</si>
  <si>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</si>
  <si>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</si>
  <si>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</si>
  <si>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</si>
  <si>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</si>
  <si>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</si>
  <si>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</si>
  <si>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</si>
  <si>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</si>
  <si>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</si>
  <si>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</si>
  <si>
    <t>UBS Warburg / PaineWebber</t>
  </si>
  <si>
    <t>Communications Peers</t>
  </si>
  <si>
    <t>Level3</t>
  </si>
  <si>
    <t>Global Crossing</t>
  </si>
  <si>
    <t>GX</t>
  </si>
  <si>
    <t>(a)</t>
  </si>
  <si>
    <t xml:space="preserve">(b) </t>
  </si>
  <si>
    <t xml:space="preserve">AES Corp. </t>
  </si>
  <si>
    <t>Dynegy</t>
  </si>
  <si>
    <t>(a) 2 for 1 stock split effective 6/2/00.</t>
  </si>
  <si>
    <t>(b) 2 for 1 stock split effective 8/22/00.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</si>
</sst>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7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64" fontId="36" fillId="0" borderId="34" xfId="0" applyFont="1" applyBorder="1" applyAlignment="1">
      <alignment horizontal="center"/>
    </xf>
    <xf numFmtId="169" fontId="36" fillId="0" borderId="35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170" fontId="11" fillId="0" borderId="0" xfId="0" quotePrefix="1" applyNumberFormat="1" applyFont="1" applyFill="1" applyBorder="1" applyAlignment="1" applyProtection="1">
      <alignment horizontal="center"/>
    </xf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6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7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37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0" xfId="0" applyNumberFormat="1" applyFont="1" applyBorder="1" applyAlignment="1" applyProtection="1">
      <alignment horizontal="center"/>
    </xf>
    <xf numFmtId="164" fontId="17" fillId="0" borderId="25" xfId="0" applyFont="1" applyFill="1" applyBorder="1"/>
    <xf numFmtId="164" fontId="17" fillId="0" borderId="38" xfId="0" applyFont="1" applyFill="1" applyBorder="1" applyAlignment="1">
      <alignment horizontal="center"/>
    </xf>
    <xf numFmtId="164" fontId="17" fillId="0" borderId="37" xfId="0" applyFont="1" applyFill="1" applyBorder="1"/>
    <xf numFmtId="10" fontId="17" fillId="0" borderId="25" xfId="0" applyNumberFormat="1" applyFont="1" applyFill="1" applyBorder="1" applyProtection="1"/>
    <xf numFmtId="164" fontId="4" fillId="0" borderId="38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200" fontId="38" fillId="0" borderId="6" xfId="2" applyNumberFormat="1" applyFont="1" applyFill="1" applyBorder="1"/>
    <xf numFmtId="164" fontId="5" fillId="0" borderId="6" xfId="0" quotePrefix="1" applyFont="1" applyBorder="1" applyAlignment="1">
      <alignment horizontal="left"/>
    </xf>
    <xf numFmtId="167" fontId="5" fillId="0" borderId="5" xfId="0" applyNumberFormat="1" applyFont="1" applyFill="1" applyBorder="1" applyAlignment="1" applyProtection="1">
      <alignment horizontal="center"/>
    </xf>
    <xf numFmtId="186" fontId="5" fillId="0" borderId="5" xfId="1" applyNumberFormat="1" applyFont="1" applyFill="1" applyBorder="1" applyAlignment="1">
      <alignment horizontal="center"/>
    </xf>
    <xf numFmtId="200" fontId="38" fillId="0" borderId="6" xfId="2" applyNumberFormat="1" applyFont="1" applyFill="1" applyBorder="1" applyAlignment="1">
      <alignment horizontal="center"/>
    </xf>
    <xf numFmtId="164" fontId="33" fillId="0" borderId="0" xfId="0" quotePrefix="1" applyFont="1" applyAlignment="1">
      <alignment horizontal="left"/>
    </xf>
    <xf numFmtId="169" fontId="34" fillId="0" borderId="41" xfId="3" quotePrefix="1" applyNumberFormat="1" applyFont="1" applyBorder="1" applyAlignment="1">
      <alignment horizontal="center"/>
    </xf>
    <xf numFmtId="164" fontId="4" fillId="0" borderId="0" xfId="0" applyFont="1" applyFill="1" applyAlignment="1">
      <alignment horizontal="left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" advise="1">
        <values>
          <value>
            <val>2904.13</val>
          </value>
        </values>
      </ddeItem>
      <ddeItem name=".SPX" advise="1">
        <values>
          <value>
            <val>1341.77</val>
          </value>
        </values>
      </ddeItem>
      <ddeItem name="AES" advise="1">
        <values>
          <value>
            <val>55.875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35.0625</val>
          </value>
        </values>
      </ddeItem>
      <ddeItem name="CGP">
        <values>
          <value>
            <val>82.1875</val>
          </value>
        </values>
      </ddeItem>
      <ddeItem name="CGP,DIVIDEND" advise="1">
        <values>
          <value>
            <val>0.25</val>
          </value>
        </values>
      </ddeItem>
      <ddeItem name="D" advise="1">
        <values>
          <value>
            <val>60.3125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86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77.75</val>
          </value>
        </values>
      </ddeItem>
      <ddeItem name="EPG">
        <values>
          <value>
            <val>68</val>
          </value>
        </values>
      </ddeItem>
      <ddeItem name="EPG,DIVIDEND">
        <values>
          <value>
            <val>0.82</val>
          </value>
        </values>
      </ddeItem>
      <ddeItem name="GX" advise="1">
        <values>
          <value>
            <val>16.125</val>
          </value>
        </values>
      </ddeItem>
      <ddeItem name="INAP.O" advise="1">
        <values>
          <value>
            <val>11.4375</val>
          </value>
        </values>
      </ddeItem>
      <ddeItem name="ISLD.O" advise="1">
        <values>
          <value>
            <val>6.125</val>
          </value>
        </values>
      </ddeItem>
      <ddeItem name="KMI" advise="1">
        <values>
          <value>
            <val>42.4375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33.5</val>
          </value>
        </values>
      </ddeItem>
      <ddeItem name="NPW" advise="1">
        <values>
          <value>
            <val>8.6875</val>
          </value>
        </values>
      </ddeItem>
      <ddeItem name="NRG" advise="1">
        <values>
          <value>
            <val>23.9375</val>
          </value>
        </values>
      </ddeItem>
      <ddeItem name="PCG">
        <values>
          <value>
            <val>27.9375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39.8125</val>
          </value>
        </values>
      </ddeItem>
      <ddeItem name="SOE" advise="1">
        <values>
          <value>
            <val>23.5</val>
          </value>
        </values>
      </ddeItem>
      <ddeItem name="TRP">
        <values>
          <value>
            <val>9.6875</val>
          </value>
        </values>
      </ddeItem>
      <ddeItem name="WCG" advise="1">
        <values>
          <value>
            <val>13.875</val>
          </value>
        </values>
      </ddeItem>
      <ddeItem name="WMB">
        <values>
          <value>
            <val>40.625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B34" t="str">
            <v>LVLT</v>
          </cell>
          <cell r="J34">
            <v>34.558799868053406</v>
          </cell>
        </row>
        <row r="35"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2"/>
    </sheetView>
  </sheetViews>
  <sheetFormatPr defaultRowHeight="15.75" x14ac:dyDescent="0.25"/>
  <cols>
    <col min="1" max="1" width="23.6640625" style="236" bestFit="1" customWidth="1"/>
    <col min="2" max="2" width="8.88671875" style="237"/>
    <col min="3" max="3" width="2" style="236" customWidth="1"/>
    <col min="4" max="4" width="7.77734375" style="236" customWidth="1"/>
    <col min="5" max="5" width="1.109375" style="236" customWidth="1"/>
    <col min="6" max="6" width="7.88671875" style="236" customWidth="1"/>
    <col min="7" max="7" width="1.21875" style="236" customWidth="1"/>
    <col min="8" max="8" width="7.21875" style="236" customWidth="1"/>
    <col min="9" max="9" width="0.77734375" style="236" customWidth="1"/>
    <col min="10" max="16384" width="8.88671875" style="236"/>
  </cols>
  <sheetData>
    <row r="1" spans="1:10" ht="18.75" customHeight="1" x14ac:dyDescent="0.25">
      <c r="A1" s="236" t="s">
        <v>76</v>
      </c>
    </row>
    <row r="2" spans="1:10" ht="18" customHeight="1" x14ac:dyDescent="0.25">
      <c r="A2" s="296" t="s">
        <v>19</v>
      </c>
    </row>
    <row r="3" spans="1:10" ht="16.5" thickBot="1" x14ac:dyDescent="0.3"/>
    <row r="4" spans="1:10" ht="16.5" thickBot="1" x14ac:dyDescent="0.3">
      <c r="B4" s="238">
        <v>2000</v>
      </c>
      <c r="D4" s="395" t="s">
        <v>77</v>
      </c>
      <c r="E4" s="396"/>
      <c r="F4" s="396"/>
      <c r="G4" s="396"/>
      <c r="H4" s="397"/>
    </row>
    <row r="5" spans="1:10" ht="32.25" thickBot="1" x14ac:dyDescent="0.3">
      <c r="B5" s="239" t="s">
        <v>37</v>
      </c>
      <c r="D5" s="240" t="s">
        <v>23</v>
      </c>
      <c r="E5" s="241"/>
      <c r="F5" s="242" t="s">
        <v>24</v>
      </c>
      <c r="G5" s="243"/>
      <c r="H5" s="244" t="s">
        <v>25</v>
      </c>
    </row>
    <row r="6" spans="1:10" x14ac:dyDescent="0.25">
      <c r="A6" s="236" t="s">
        <v>78</v>
      </c>
      <c r="B6" s="245">
        <f>ENRON!Z7</f>
        <v>54.753521126760567</v>
      </c>
      <c r="D6" s="252">
        <f>ENRON!AH7</f>
        <v>-4.6012269938650305E-2</v>
      </c>
      <c r="E6" s="246"/>
      <c r="F6" s="247">
        <f>ENRON!AJ7</f>
        <v>-0.1128938806435798</v>
      </c>
      <c r="G6" s="246"/>
      <c r="H6" s="248">
        <f>ENRON!AL7</f>
        <v>0.76056338028169013</v>
      </c>
    </row>
    <row r="7" spans="1:10" x14ac:dyDescent="0.25">
      <c r="A7" s="236" t="s">
        <v>79</v>
      </c>
      <c r="B7" s="249">
        <f>ENRON!Z9</f>
        <v>23.242161787632082</v>
      </c>
      <c r="D7" s="253">
        <f>ENRON!AH9</f>
        <v>-1.8875208375983412E-2</v>
      </c>
      <c r="E7" s="250"/>
      <c r="F7" s="254">
        <f>ENRON!AJ9</f>
        <v>-6.4315598220687706E-2</v>
      </c>
      <c r="G7" s="250"/>
      <c r="H7" s="255">
        <f>ENRON!AL9</f>
        <v>-7.6808733648231139E-2</v>
      </c>
    </row>
    <row r="8" spans="1:10" x14ac:dyDescent="0.25">
      <c r="A8" s="236" t="s">
        <v>83</v>
      </c>
      <c r="B8" s="249" t="str">
        <f>ENRON!Z10</f>
        <v xml:space="preserve">N/A </v>
      </c>
      <c r="D8" s="253">
        <f>ENRON!AH10</f>
        <v>-4.0633784904251791E-2</v>
      </c>
      <c r="E8" s="250"/>
      <c r="F8" s="254">
        <f>ENRON!AJ10</f>
        <v>-0.20907232045131538</v>
      </c>
      <c r="G8" s="250"/>
      <c r="H8" s="255">
        <f>ENRON!AL10</f>
        <v>-0.28495420599561105</v>
      </c>
    </row>
    <row r="9" spans="1:10" x14ac:dyDescent="0.25">
      <c r="A9" s="236" t="s">
        <v>99</v>
      </c>
      <c r="B9" s="249">
        <f>ENRON!Z24</f>
        <v>25.632443287272849</v>
      </c>
      <c r="C9" s="288"/>
      <c r="D9" s="253">
        <f>ENRON!AH24</f>
        <v>-7.6950902898418301E-3</v>
      </c>
      <c r="E9" s="250"/>
      <c r="F9" s="254">
        <f>ENRON!AJ24</f>
        <v>1.1870772492748599E-2</v>
      </c>
      <c r="G9" s="289"/>
      <c r="H9" s="255">
        <f>ENRON!AL24</f>
        <v>0.77248215889069372</v>
      </c>
      <c r="I9" s="288"/>
      <c r="J9" s="288"/>
    </row>
    <row r="10" spans="1:10" ht="16.5" thickBot="1" x14ac:dyDescent="0.3">
      <c r="A10" s="392" t="s">
        <v>120</v>
      </c>
      <c r="B10" s="294" t="s">
        <v>82</v>
      </c>
      <c r="D10" s="295">
        <f>ENRON!AH44</f>
        <v>-8.6136807071724511E-2</v>
      </c>
      <c r="E10" s="292"/>
      <c r="F10" s="386">
        <f>ENRON!AJ44</f>
        <v>-0.45373798449792663</v>
      </c>
      <c r="G10" s="293"/>
      <c r="H10" s="393">
        <f>ENRON!AL44</f>
        <v>-0.65133590620810111</v>
      </c>
    </row>
    <row r="11" spans="1:10" x14ac:dyDescent="0.25">
      <c r="D11" s="290"/>
    </row>
    <row r="12" spans="1:10" x14ac:dyDescent="0.25">
      <c r="A12" s="251"/>
      <c r="F12" s="291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5"/>
  <sheetViews>
    <sheetView tabSelected="1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18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104</v>
      </c>
    </row>
    <row r="2" spans="1:50" ht="18" x14ac:dyDescent="0.25">
      <c r="A2" s="58" t="s">
        <v>19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36854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4">
        <v>2000</v>
      </c>
      <c r="Y4" s="405"/>
      <c r="Z4" s="406"/>
      <c r="AA4" s="183"/>
      <c r="AB4" s="404">
        <v>2001</v>
      </c>
      <c r="AC4" s="405"/>
      <c r="AD4" s="406"/>
      <c r="AE4" s="4"/>
      <c r="AF4" s="68" t="s">
        <v>20</v>
      </c>
      <c r="AG4" s="67"/>
      <c r="AH4" s="69" t="s">
        <v>21</v>
      </c>
      <c r="AI4" s="70"/>
      <c r="AJ4" s="70"/>
      <c r="AK4" s="70"/>
      <c r="AL4" s="71"/>
      <c r="AN4" s="13"/>
      <c r="AO4" s="22"/>
      <c r="AP4" s="25" t="s">
        <v>22</v>
      </c>
      <c r="AQ4" s="25"/>
      <c r="AR4" s="202"/>
      <c r="AS4" s="21" t="s">
        <v>23</v>
      </c>
      <c r="AT4" s="72"/>
      <c r="AU4" s="21" t="s">
        <v>24</v>
      </c>
      <c r="AV4" s="21"/>
      <c r="AW4" s="21" t="s">
        <v>25</v>
      </c>
      <c r="AX4" s="21"/>
    </row>
    <row r="5" spans="1:50" x14ac:dyDescent="0.2">
      <c r="A5" s="4"/>
      <c r="B5" s="4"/>
      <c r="C5" s="8"/>
      <c r="D5" s="4"/>
      <c r="E5" s="73" t="s">
        <v>26</v>
      </c>
      <c r="F5" s="4"/>
      <c r="G5" s="74" t="s">
        <v>27</v>
      </c>
      <c r="H5" s="75"/>
      <c r="I5" s="76"/>
      <c r="J5" s="4"/>
      <c r="K5" s="74" t="s">
        <v>27</v>
      </c>
      <c r="L5" s="75"/>
      <c r="M5" s="76"/>
      <c r="N5" s="4"/>
      <c r="O5" s="74" t="s">
        <v>27</v>
      </c>
      <c r="P5" s="75"/>
      <c r="Q5" s="76"/>
      <c r="R5" s="4"/>
      <c r="S5" s="74" t="s">
        <v>27</v>
      </c>
      <c r="T5" s="76"/>
      <c r="U5" s="67"/>
      <c r="V5" s="68" t="s">
        <v>28</v>
      </c>
      <c r="W5" s="77"/>
      <c r="X5" s="74" t="s">
        <v>27</v>
      </c>
      <c r="Y5" s="213"/>
      <c r="Z5" s="76"/>
      <c r="AA5" s="78"/>
      <c r="AB5" s="74" t="s">
        <v>27</v>
      </c>
      <c r="AC5" s="213"/>
      <c r="AD5" s="76"/>
      <c r="AE5" s="78"/>
      <c r="AF5" s="79" t="s">
        <v>28</v>
      </c>
      <c r="AG5" s="77"/>
      <c r="AH5" s="80" t="s">
        <v>29</v>
      </c>
      <c r="AI5" s="77"/>
      <c r="AJ5" s="77" t="s">
        <v>30</v>
      </c>
      <c r="AK5" s="77"/>
      <c r="AL5" s="81" t="s">
        <v>31</v>
      </c>
      <c r="AN5" s="82" t="s">
        <v>32</v>
      </c>
      <c r="AO5" s="83"/>
      <c r="AP5" s="26"/>
      <c r="AQ5" s="27" t="s">
        <v>33</v>
      </c>
      <c r="AR5" s="203" t="s">
        <v>33</v>
      </c>
      <c r="AS5" s="20"/>
      <c r="AT5" s="84">
        <v>36847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34</v>
      </c>
      <c r="B6" s="4"/>
      <c r="C6" s="86" t="s">
        <v>35</v>
      </c>
      <c r="D6" s="4"/>
      <c r="E6" s="86" t="s">
        <v>36</v>
      </c>
      <c r="F6" s="4"/>
      <c r="G6" s="87" t="s">
        <v>20</v>
      </c>
      <c r="H6" s="88"/>
      <c r="I6" s="89" t="s">
        <v>37</v>
      </c>
      <c r="J6" s="4"/>
      <c r="K6" s="87" t="s">
        <v>20</v>
      </c>
      <c r="L6" s="88"/>
      <c r="M6" s="89" t="s">
        <v>37</v>
      </c>
      <c r="N6" s="4"/>
      <c r="O6" s="87" t="s">
        <v>20</v>
      </c>
      <c r="P6" s="88"/>
      <c r="Q6" s="89" t="s">
        <v>37</v>
      </c>
      <c r="R6" s="4"/>
      <c r="S6" s="87" t="s">
        <v>20</v>
      </c>
      <c r="T6" s="89" t="s">
        <v>37</v>
      </c>
      <c r="U6" s="90"/>
      <c r="V6" s="91" t="s">
        <v>38</v>
      </c>
      <c r="W6" s="90"/>
      <c r="X6" s="87" t="s">
        <v>91</v>
      </c>
      <c r="Y6" s="218"/>
      <c r="Z6" s="89" t="s">
        <v>37</v>
      </c>
      <c r="AA6" s="92"/>
      <c r="AB6" s="87" t="s">
        <v>91</v>
      </c>
      <c r="AC6" s="218"/>
      <c r="AD6" s="89" t="s">
        <v>37</v>
      </c>
      <c r="AE6" s="92"/>
      <c r="AF6" s="91" t="s">
        <v>39</v>
      </c>
      <c r="AG6" s="90"/>
      <c r="AH6" s="93" t="s">
        <v>40</v>
      </c>
      <c r="AI6" s="90"/>
      <c r="AJ6" s="94" t="s">
        <v>41</v>
      </c>
      <c r="AK6" s="90"/>
      <c r="AL6" s="95" t="s">
        <v>41</v>
      </c>
      <c r="AN6" s="91" t="s">
        <v>42</v>
      </c>
      <c r="AO6" s="96"/>
      <c r="AP6" s="97" t="s">
        <v>43</v>
      </c>
      <c r="AQ6" s="24" t="s">
        <v>44</v>
      </c>
      <c r="AR6" s="204" t="s">
        <v>32</v>
      </c>
      <c r="AS6" s="97" t="s">
        <v>45</v>
      </c>
      <c r="AT6" s="224" t="s">
        <v>46</v>
      </c>
      <c r="AU6" s="97" t="s">
        <v>47</v>
      </c>
      <c r="AV6" s="98" t="s">
        <v>48</v>
      </c>
      <c r="AW6" s="226" t="s">
        <v>49</v>
      </c>
      <c r="AX6" s="98" t="s">
        <v>101</v>
      </c>
    </row>
    <row r="7" spans="1:50" ht="15.75" thickBot="1" x14ac:dyDescent="0.25">
      <c r="A7" s="99" t="s">
        <v>50</v>
      </c>
      <c r="B7" s="100"/>
      <c r="C7" s="101" t="s">
        <v>0</v>
      </c>
      <c r="D7" s="100"/>
      <c r="E7" s="102">
        <f>[1]!ENE</f>
        <v>77.75</v>
      </c>
      <c r="F7" s="100"/>
      <c r="G7" s="103">
        <v>2.16</v>
      </c>
      <c r="H7" s="104" t="s">
        <v>51</v>
      </c>
      <c r="I7" s="105">
        <f>E7/G7</f>
        <v>35.995370370370367</v>
      </c>
      <c r="J7" s="100"/>
      <c r="K7" s="103">
        <v>2.14</v>
      </c>
      <c r="L7" s="106" t="s">
        <v>52</v>
      </c>
      <c r="M7" s="105">
        <f>E7/K7</f>
        <v>36.331775700934578</v>
      </c>
      <c r="N7" s="100"/>
      <c r="O7" s="103">
        <v>2.16</v>
      </c>
      <c r="P7" s="104" t="s">
        <v>51</v>
      </c>
      <c r="Q7" s="105">
        <f>M7/O7</f>
        <v>16.820266528210453</v>
      </c>
      <c r="R7" s="100"/>
      <c r="S7" s="107">
        <f>+S89</f>
        <v>1.9988888888888892</v>
      </c>
      <c r="T7" s="105">
        <f>E7/S7</f>
        <v>38.89660922734852</v>
      </c>
      <c r="U7" s="108"/>
      <c r="V7" s="109">
        <f>(S7-K7)/K7</f>
        <v>-6.5939771547248116E-2</v>
      </c>
      <c r="W7" s="110"/>
      <c r="X7" s="256">
        <f>+X89</f>
        <v>1.42</v>
      </c>
      <c r="Y7" s="233"/>
      <c r="Z7" s="105">
        <f>E7/X7</f>
        <v>54.753521126760567</v>
      </c>
      <c r="AA7" s="108"/>
      <c r="AB7" s="256">
        <f>+AB89</f>
        <v>1.658235294117647</v>
      </c>
      <c r="AC7" s="217"/>
      <c r="AD7" s="105">
        <f>E7/AB7</f>
        <v>46.887194040439873</v>
      </c>
      <c r="AE7" s="108"/>
      <c r="AF7" s="109">
        <f>(X7-S7)/S7</f>
        <v>-0.28960533629794344</v>
      </c>
      <c r="AG7" s="110"/>
      <c r="AH7" s="111">
        <f>((+AS7+E7-AT7)/AT7)</f>
        <v>-4.6012269938650305E-2</v>
      </c>
      <c r="AI7" s="110"/>
      <c r="AJ7" s="110">
        <f>((+AU7+E7-AV7)/AV7)</f>
        <v>-0.1128938806435798</v>
      </c>
      <c r="AK7" s="110"/>
      <c r="AL7" s="112">
        <f>((+AW7+E7-AX7)/AX7)</f>
        <v>0.76056338028169013</v>
      </c>
      <c r="AM7" s="50"/>
      <c r="AN7" s="197">
        <f>AP7/E7</f>
        <v>6.4308681672025723E-3</v>
      </c>
      <c r="AO7" s="113"/>
      <c r="AP7" s="55">
        <v>0.5</v>
      </c>
      <c r="AQ7" s="297">
        <v>36775</v>
      </c>
      <c r="AR7" s="205">
        <v>0.125</v>
      </c>
      <c r="AS7" s="41"/>
      <c r="AT7" s="102">
        <v>81.5</v>
      </c>
      <c r="AU7" s="230"/>
      <c r="AV7" s="180">
        <v>87.64453125</v>
      </c>
      <c r="AW7" s="227">
        <f>0.125+0.125+0.125</f>
        <v>0.375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53</v>
      </c>
      <c r="B9" s="66"/>
      <c r="C9" s="114" t="s">
        <v>63</v>
      </c>
      <c r="D9" s="66"/>
      <c r="E9" s="300">
        <f>[1]!'.SPX'</f>
        <v>1341.77</v>
      </c>
      <c r="F9" s="124"/>
      <c r="G9" s="125">
        <v>40.53</v>
      </c>
      <c r="H9" s="117"/>
      <c r="I9" s="126">
        <f>E9/G9</f>
        <v>33.105600789538613</v>
      </c>
      <c r="J9" s="67"/>
      <c r="K9" s="125">
        <v>42.08</v>
      </c>
      <c r="L9" s="67"/>
      <c r="M9" s="126">
        <f>E9/K9</f>
        <v>31.886169201520914</v>
      </c>
      <c r="N9" s="124"/>
      <c r="O9" s="125">
        <v>40.53</v>
      </c>
      <c r="P9" s="117"/>
      <c r="Q9" s="126">
        <f>M9/O9</f>
        <v>0.78673005678561347</v>
      </c>
      <c r="R9" s="67"/>
      <c r="S9" s="127">
        <v>40.18</v>
      </c>
      <c r="T9" s="126">
        <f>E9/S9</f>
        <v>33.393977103036335</v>
      </c>
      <c r="U9" s="128"/>
      <c r="V9" s="129">
        <f>(S9-K9)/K9</f>
        <v>-4.5152091254752821E-2</v>
      </c>
      <c r="W9" s="130"/>
      <c r="X9" s="127">
        <v>57.73</v>
      </c>
      <c r="Y9" s="214"/>
      <c r="Z9" s="126">
        <f>E9/X9</f>
        <v>23.242161787632082</v>
      </c>
      <c r="AA9" s="128"/>
      <c r="AB9" s="127">
        <v>62.29</v>
      </c>
      <c r="AC9" s="214"/>
      <c r="AD9" s="126">
        <f>E9/AB9</f>
        <v>21.540696741049928</v>
      </c>
      <c r="AE9" s="128"/>
      <c r="AF9" s="129">
        <f>(X9-S9)/S9</f>
        <v>0.43678446988551511</v>
      </c>
      <c r="AG9" s="130"/>
      <c r="AH9" s="113">
        <f>((+AS9+E9-AT9)/AT9)</f>
        <v>-1.8875208375983412E-2</v>
      </c>
      <c r="AI9" s="130"/>
      <c r="AJ9" s="130">
        <f>((+AU9+E9-AV9)/AV9)</f>
        <v>-6.4315598220687706E-2</v>
      </c>
      <c r="AK9" s="130"/>
      <c r="AL9" s="131">
        <f>((+AW9+E9-AX9)/AX9)</f>
        <v>-7.6808733648231139E-2</v>
      </c>
      <c r="AM9" s="29"/>
      <c r="AN9" s="222">
        <v>1.1900000000000001E-2</v>
      </c>
      <c r="AO9" s="113"/>
      <c r="AP9" s="212">
        <f>AN9*E9</f>
        <v>15.967063000000001</v>
      </c>
      <c r="AQ9" s="40"/>
      <c r="AR9" s="205"/>
      <c r="AS9" s="200">
        <v>0.13400000000000001</v>
      </c>
      <c r="AT9" s="300">
        <v>1367.72</v>
      </c>
      <c r="AU9" s="200">
        <v>2.35</v>
      </c>
      <c r="AV9" s="182">
        <v>1436.51</v>
      </c>
      <c r="AW9" s="200">
        <v>14.638</v>
      </c>
      <c r="AX9" s="182">
        <v>1469.26</v>
      </c>
    </row>
    <row r="10" spans="1:50" x14ac:dyDescent="0.2">
      <c r="A10" s="122" t="s">
        <v>83</v>
      </c>
      <c r="B10" s="66"/>
      <c r="C10" s="114" t="s">
        <v>80</v>
      </c>
      <c r="D10" s="66"/>
      <c r="E10" s="300">
        <f>[1]!'.IXIC'</f>
        <v>2904.13</v>
      </c>
      <c r="F10" s="124"/>
      <c r="G10" s="125">
        <v>40.53</v>
      </c>
      <c r="H10" s="117"/>
      <c r="I10" s="126">
        <f>E10/G10</f>
        <v>71.65383666419936</v>
      </c>
      <c r="J10" s="67"/>
      <c r="K10" s="125">
        <v>42.08</v>
      </c>
      <c r="L10" s="67"/>
      <c r="M10" s="126">
        <f>E10/K10</f>
        <v>69.014496197718643</v>
      </c>
      <c r="N10" s="124"/>
      <c r="O10" s="125">
        <v>40.53</v>
      </c>
      <c r="P10" s="117"/>
      <c r="Q10" s="126">
        <f>M10/O10</f>
        <v>1.7028003009553081</v>
      </c>
      <c r="R10" s="67"/>
      <c r="S10" s="127">
        <v>40.18</v>
      </c>
      <c r="T10" s="126">
        <f>E10/S10</f>
        <v>72.277999004479838</v>
      </c>
      <c r="U10" s="128"/>
      <c r="V10" s="129">
        <f>(S10-K10)/K10</f>
        <v>-4.5152091254752821E-2</v>
      </c>
      <c r="W10" s="130"/>
      <c r="X10" s="258" t="s">
        <v>81</v>
      </c>
      <c r="Y10" s="214"/>
      <c r="Z10" s="259" t="s">
        <v>82</v>
      </c>
      <c r="AA10" s="128"/>
      <c r="AB10" s="258" t="s">
        <v>81</v>
      </c>
      <c r="AC10" s="214"/>
      <c r="AD10" s="259" t="s">
        <v>82</v>
      </c>
      <c r="AE10" s="128"/>
      <c r="AF10" s="129" t="e">
        <f>(X10-S10)/S10</f>
        <v>#VALUE!</v>
      </c>
      <c r="AG10" s="130"/>
      <c r="AH10" s="113">
        <f>((+AS10+E10-AT10)/AT10)</f>
        <v>-4.0633784904251791E-2</v>
      </c>
      <c r="AI10" s="130"/>
      <c r="AJ10" s="130">
        <f>((+AU10+E10-AV10)/AV10)</f>
        <v>-0.20907232045131538</v>
      </c>
      <c r="AK10" s="130"/>
      <c r="AL10" s="131">
        <f>((+AW10+E10-AX10)/AX10)</f>
        <v>-0.28495420599561105</v>
      </c>
      <c r="AM10" s="29"/>
      <c r="AN10" s="222">
        <v>2.0999999999999999E-3</v>
      </c>
      <c r="AO10" s="113"/>
      <c r="AP10" s="212">
        <f>AN10*E10</f>
        <v>6.0986729999999998</v>
      </c>
      <c r="AQ10" s="40"/>
      <c r="AR10" s="205"/>
      <c r="AS10" s="200">
        <v>7.2999999999999995E-2</v>
      </c>
      <c r="AT10" s="300">
        <v>3027.21</v>
      </c>
      <c r="AU10" s="200">
        <v>0.80500000000000005</v>
      </c>
      <c r="AV10" s="182">
        <v>3672.82</v>
      </c>
      <c r="AW10" s="200">
        <v>5.6130000000000004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0" t="s">
        <v>90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8"/>
      <c r="AT12" s="123"/>
      <c r="AU12" s="279"/>
      <c r="AV12" s="182"/>
      <c r="AW12" s="228"/>
      <c r="AX12" s="182"/>
    </row>
    <row r="13" spans="1:50" x14ac:dyDescent="0.2">
      <c r="A13" s="66" t="s">
        <v>126</v>
      </c>
      <c r="B13" s="394" t="s">
        <v>124</v>
      </c>
      <c r="C13" s="132" t="s">
        <v>71</v>
      </c>
      <c r="D13" s="66"/>
      <c r="E13" s="123">
        <f>[1]!AES</f>
        <v>55.875</v>
      </c>
      <c r="F13" s="66"/>
      <c r="G13" s="125">
        <v>4.72</v>
      </c>
      <c r="H13" s="133" t="s">
        <v>51</v>
      </c>
      <c r="I13" s="126">
        <f>E13/G13</f>
        <v>11.837923728813561</v>
      </c>
      <c r="J13" s="66"/>
      <c r="K13" s="125">
        <v>4.9400000000000004</v>
      </c>
      <c r="L13" s="67"/>
      <c r="M13" s="126">
        <f t="shared" ref="M13:M19" si="0">E13/K13</f>
        <v>11.31072874493927</v>
      </c>
      <c r="N13" s="66"/>
      <c r="O13" s="125">
        <v>4.72</v>
      </c>
      <c r="P13" s="133" t="s">
        <v>51</v>
      </c>
      <c r="Q13" s="126">
        <f>M13/O13</f>
        <v>2.3963408357922185</v>
      </c>
      <c r="R13" s="66"/>
      <c r="S13" s="127">
        <v>3.43</v>
      </c>
      <c r="T13" s="126">
        <f t="shared" ref="T13:T19" si="1">E13/S13</f>
        <v>16.290087463556851</v>
      </c>
      <c r="U13" s="128"/>
      <c r="V13" s="129">
        <f t="shared" ref="V13:V18" si="2">(S13-K13)/K13</f>
        <v>-0.30566801619433198</v>
      </c>
      <c r="W13" s="130"/>
      <c r="X13" s="127">
        <v>1.48</v>
      </c>
      <c r="Y13" s="214"/>
      <c r="Z13" s="126">
        <f t="shared" ref="Z13:Z22" si="3">E13/X13</f>
        <v>37.753378378378379</v>
      </c>
      <c r="AA13" s="128"/>
      <c r="AB13" s="127">
        <v>1.91</v>
      </c>
      <c r="AC13" s="214"/>
      <c r="AD13" s="126">
        <f t="shared" ref="AD13:AD22" si="4">E13/AB13</f>
        <v>29.253926701570681</v>
      </c>
      <c r="AE13" s="128"/>
      <c r="AF13" s="129">
        <f t="shared" ref="AF13:AF22" si="5">(X13-S13)/S13</f>
        <v>-0.56851311953352768</v>
      </c>
      <c r="AG13" s="130"/>
      <c r="AH13" s="113">
        <f t="shared" ref="AH13:AH22" si="6">((+AS13+E13-AT13)/AT13)</f>
        <v>-5.2966101694915252E-2</v>
      </c>
      <c r="AI13" s="130"/>
      <c r="AJ13" s="130">
        <f t="shared" ref="AJ13:AJ22" si="7">((+AU13+E13-AV13)/AV13)</f>
        <v>-0.1845390798700188</v>
      </c>
      <c r="AK13" s="130"/>
      <c r="AL13" s="131">
        <f t="shared" ref="AL13:AL22" si="8">((+AW13+E13-AX13)/AX13)</f>
        <v>0.49498327759197325</v>
      </c>
      <c r="AM13" s="29"/>
      <c r="AN13" s="134">
        <f t="shared" ref="AN13:AN22" si="9">AP13/E13</f>
        <v>0</v>
      </c>
      <c r="AO13" s="135"/>
      <c r="AP13" s="55">
        <f>[1]!'AES,DIVIDEND'</f>
        <v>0</v>
      </c>
      <c r="AQ13" s="257" t="s">
        <v>73</v>
      </c>
      <c r="AR13" s="205">
        <v>0</v>
      </c>
      <c r="AS13" s="43"/>
      <c r="AT13" s="123">
        <v>59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54</v>
      </c>
      <c r="B14" s="394"/>
      <c r="C14" s="132" t="s">
        <v>1</v>
      </c>
      <c r="D14" s="66"/>
      <c r="E14" s="123">
        <f>[1]!CGP</f>
        <v>82.1875</v>
      </c>
      <c r="F14" s="66"/>
      <c r="G14" s="125">
        <v>2.88</v>
      </c>
      <c r="H14" s="133" t="s">
        <v>51</v>
      </c>
      <c r="I14" s="126">
        <f>E14/G14</f>
        <v>28.537326388888889</v>
      </c>
      <c r="J14" s="66"/>
      <c r="K14" s="125">
        <v>3.48</v>
      </c>
      <c r="L14" s="67"/>
      <c r="M14" s="126">
        <f>E14/K14</f>
        <v>23.617097701149426</v>
      </c>
      <c r="N14" s="66"/>
      <c r="O14" s="125">
        <v>2.88</v>
      </c>
      <c r="P14" s="133" t="s">
        <v>51</v>
      </c>
      <c r="Q14" s="126">
        <f>M14/O14</f>
        <v>8.2003811462324396</v>
      </c>
      <c r="R14" s="66"/>
      <c r="S14" s="127">
        <v>2.02</v>
      </c>
      <c r="T14" s="126">
        <f>E14/S14</f>
        <v>40.686881188118811</v>
      </c>
      <c r="U14" s="128"/>
      <c r="V14" s="129">
        <f>(S14-K14)/K14</f>
        <v>-0.41954022988505746</v>
      </c>
      <c r="W14" s="130"/>
      <c r="X14" s="127">
        <v>2.91</v>
      </c>
      <c r="Y14" s="214"/>
      <c r="Z14" s="126">
        <f>E14/X14</f>
        <v>28.243127147766323</v>
      </c>
      <c r="AA14" s="128"/>
      <c r="AB14" s="127">
        <v>3.36</v>
      </c>
      <c r="AC14" s="214"/>
      <c r="AD14" s="126">
        <f>E14/AB14</f>
        <v>24.460565476190478</v>
      </c>
      <c r="AE14" s="128"/>
      <c r="AF14" s="129">
        <f>(X14-S14)/S14</f>
        <v>0.44059405940594065</v>
      </c>
      <c r="AG14" s="130"/>
      <c r="AH14" s="113">
        <f>((+AS14+E14-AT14)/AT14)</f>
        <v>4.4479745830023829E-2</v>
      </c>
      <c r="AI14" s="130"/>
      <c r="AJ14" s="130">
        <f>((+AU14+E14-AV14)/AV14)</f>
        <v>0.1087689713322091</v>
      </c>
      <c r="AK14" s="130"/>
      <c r="AL14" s="131">
        <f>((+AW14+E14-AX14)/AX14)</f>
        <v>1.3245149911816578</v>
      </c>
      <c r="AM14" s="29"/>
      <c r="AN14" s="134">
        <f>AP14/E14</f>
        <v>3.041825095057034E-3</v>
      </c>
      <c r="AO14" s="135"/>
      <c r="AP14" s="55">
        <f>[1]!'CGP,DIVIDEND'</f>
        <v>0.25</v>
      </c>
      <c r="AQ14" s="257">
        <v>36858</v>
      </c>
      <c r="AR14" s="205">
        <f>0.125/2</f>
        <v>6.25E-2</v>
      </c>
      <c r="AS14" s="43"/>
      <c r="AT14" s="123">
        <v>78.6875</v>
      </c>
      <c r="AU14" s="43"/>
      <c r="AV14" s="182">
        <v>74.125</v>
      </c>
      <c r="AW14" s="43">
        <f>0.0625+0.0625+0.0625</f>
        <v>0.1875</v>
      </c>
      <c r="AX14" s="182">
        <v>35.4375</v>
      </c>
    </row>
    <row r="15" spans="1:50" x14ac:dyDescent="0.2">
      <c r="A15" s="122" t="s">
        <v>74</v>
      </c>
      <c r="B15" s="394"/>
      <c r="C15" s="132" t="s">
        <v>75</v>
      </c>
      <c r="D15" s="66"/>
      <c r="E15" s="235">
        <f>[1]!D</f>
        <v>60.3125</v>
      </c>
      <c r="F15" s="66"/>
      <c r="G15" s="125">
        <v>3.24</v>
      </c>
      <c r="H15" s="117"/>
      <c r="I15" s="126">
        <f>E15/G15</f>
        <v>18.614969135802468</v>
      </c>
      <c r="J15" s="66"/>
      <c r="K15" s="125">
        <v>3.34</v>
      </c>
      <c r="L15" s="67"/>
      <c r="M15" s="126">
        <f t="shared" si="0"/>
        <v>18.057634730538922</v>
      </c>
      <c r="N15" s="66"/>
      <c r="O15" s="125">
        <v>3.24</v>
      </c>
      <c r="P15" s="117"/>
      <c r="Q15" s="126">
        <f>M15/O15</f>
        <v>5.5733440526354689</v>
      </c>
      <c r="R15" s="66"/>
      <c r="S15" s="127">
        <v>2.87</v>
      </c>
      <c r="T15" s="126">
        <f t="shared" si="1"/>
        <v>21.014808362369337</v>
      </c>
      <c r="U15" s="128"/>
      <c r="V15" s="129">
        <f t="shared" si="2"/>
        <v>-0.14071856287425144</v>
      </c>
      <c r="W15" s="130"/>
      <c r="X15" s="127">
        <v>3.31</v>
      </c>
      <c r="Y15" s="214"/>
      <c r="Z15" s="126">
        <f t="shared" si="3"/>
        <v>18.221299093655588</v>
      </c>
      <c r="AA15" s="128"/>
      <c r="AB15" s="127">
        <v>3.85</v>
      </c>
      <c r="AC15" s="214"/>
      <c r="AD15" s="126">
        <f t="shared" si="4"/>
        <v>15.665584415584416</v>
      </c>
      <c r="AE15" s="128"/>
      <c r="AF15" s="129">
        <f t="shared" si="5"/>
        <v>0.15331010452961671</v>
      </c>
      <c r="AG15" s="130"/>
      <c r="AH15" s="113">
        <f t="shared" si="6"/>
        <v>-3.7886340977068791E-2</v>
      </c>
      <c r="AI15" s="130"/>
      <c r="AJ15" s="130">
        <f t="shared" si="7"/>
        <v>3.84020445221602E-2</v>
      </c>
      <c r="AK15" s="130"/>
      <c r="AL15" s="131">
        <f t="shared" si="8"/>
        <v>0.58592356687898095</v>
      </c>
      <c r="AM15" s="29"/>
      <c r="AN15" s="134">
        <f t="shared" si="9"/>
        <v>4.2777202072538864E-2</v>
      </c>
      <c r="AO15" s="135"/>
      <c r="AP15" s="55">
        <f>[1]!'D,DIVIDEND'</f>
        <v>2.58</v>
      </c>
      <c r="AQ15" s="257">
        <v>36851</v>
      </c>
      <c r="AR15" s="205">
        <v>0.64500000000000002</v>
      </c>
      <c r="AS15" s="43"/>
      <c r="AT15" s="235">
        <v>62.6875</v>
      </c>
      <c r="AU15" s="43"/>
      <c r="AV15" s="182">
        <v>58.08203125</v>
      </c>
      <c r="AW15" s="43">
        <f>0.645+0.645+0.645</f>
        <v>1.9350000000000001</v>
      </c>
      <c r="AX15" s="182">
        <v>39.25</v>
      </c>
    </row>
    <row r="16" spans="1:50" x14ac:dyDescent="0.2">
      <c r="A16" s="122" t="s">
        <v>55</v>
      </c>
      <c r="B16" s="394"/>
      <c r="C16" s="132" t="s">
        <v>2</v>
      </c>
      <c r="D16" s="66"/>
      <c r="E16" s="123">
        <f>[1]!DUK</f>
        <v>86</v>
      </c>
      <c r="F16" s="66"/>
      <c r="G16" s="125"/>
      <c r="H16" s="133"/>
      <c r="I16" s="126"/>
      <c r="J16" s="66"/>
      <c r="K16" s="125">
        <v>2.95</v>
      </c>
      <c r="L16" s="67"/>
      <c r="M16" s="126">
        <f t="shared" si="0"/>
        <v>29.152542372881353</v>
      </c>
      <c r="N16" s="66"/>
      <c r="O16" s="125"/>
      <c r="P16" s="133"/>
      <c r="Q16" s="126"/>
      <c r="R16" s="66"/>
      <c r="S16" s="127">
        <v>3.38</v>
      </c>
      <c r="T16" s="126">
        <f t="shared" si="1"/>
        <v>25.443786982248522</v>
      </c>
      <c r="U16" s="128"/>
      <c r="V16" s="129">
        <f t="shared" si="2"/>
        <v>0.14576271186440667</v>
      </c>
      <c r="W16" s="130"/>
      <c r="X16" s="127">
        <v>4.1100000000000003</v>
      </c>
      <c r="Y16" s="214"/>
      <c r="Z16" s="126">
        <f t="shared" si="3"/>
        <v>20.924574209245741</v>
      </c>
      <c r="AA16" s="128"/>
      <c r="AB16" s="127">
        <v>4.54</v>
      </c>
      <c r="AC16" s="214"/>
      <c r="AD16" s="126">
        <f t="shared" si="4"/>
        <v>18.942731277533039</v>
      </c>
      <c r="AE16" s="128"/>
      <c r="AF16" s="129">
        <f t="shared" si="5"/>
        <v>0.21597633136094688</v>
      </c>
      <c r="AG16" s="130"/>
      <c r="AH16" s="113">
        <f t="shared" si="6"/>
        <v>-2.5495750708215296E-2</v>
      </c>
      <c r="AI16" s="130"/>
      <c r="AJ16" s="130">
        <f t="shared" si="7"/>
        <v>9.0996037710069349E-3</v>
      </c>
      <c r="AK16" s="130"/>
      <c r="AL16" s="131">
        <f t="shared" si="8"/>
        <v>0.75960099750623444</v>
      </c>
      <c r="AM16" s="29"/>
      <c r="AN16" s="134">
        <f t="shared" si="9"/>
        <v>2.5581395348837212E-2</v>
      </c>
      <c r="AO16" s="135"/>
      <c r="AP16" s="55">
        <f>[1]!'DUK,DIVIDEND'</f>
        <v>2.2000000000000002</v>
      </c>
      <c r="AQ16" s="299">
        <v>36845</v>
      </c>
      <c r="AR16" s="205">
        <v>0.55000000000000004</v>
      </c>
      <c r="AS16" s="43"/>
      <c r="AT16" s="123">
        <v>88.25</v>
      </c>
      <c r="AU16" s="43">
        <v>0.55000000000000004</v>
      </c>
      <c r="AV16" s="182">
        <v>85.76953125</v>
      </c>
      <c r="AW16" s="43">
        <f>0.55+0.55+0.55+0.55</f>
        <v>2.2000000000000002</v>
      </c>
      <c r="AX16" s="182">
        <v>50.125</v>
      </c>
    </row>
    <row r="17" spans="1:50" ht="15.75" x14ac:dyDescent="0.25">
      <c r="A17" s="122" t="s">
        <v>127</v>
      </c>
      <c r="B17" s="394" t="s">
        <v>125</v>
      </c>
      <c r="C17" s="132" t="s">
        <v>56</v>
      </c>
      <c r="D17" s="66"/>
      <c r="E17" s="123">
        <f>[1]!DYN</f>
        <v>48.25</v>
      </c>
      <c r="F17" s="66"/>
      <c r="G17" s="125"/>
      <c r="H17" s="133"/>
      <c r="I17" s="126"/>
      <c r="J17" s="66"/>
      <c r="K17" s="125">
        <v>0.7</v>
      </c>
      <c r="L17" s="67"/>
      <c r="M17" s="126">
        <f>E17/K17</f>
        <v>68.928571428571431</v>
      </c>
      <c r="N17" s="66"/>
      <c r="O17" s="125"/>
      <c r="P17" s="133"/>
      <c r="Q17" s="126"/>
      <c r="R17" s="66"/>
      <c r="S17" s="127">
        <v>0.57999999999999996</v>
      </c>
      <c r="T17" s="126">
        <f>E17/S17</f>
        <v>83.189655172413794</v>
      </c>
      <c r="U17" s="128"/>
      <c r="V17" s="129">
        <f>(S17-K17)/K17</f>
        <v>-0.17142857142857143</v>
      </c>
      <c r="W17" s="130"/>
      <c r="X17" s="127">
        <v>1.34</v>
      </c>
      <c r="Y17" s="214"/>
      <c r="Z17" s="126">
        <f t="shared" si="3"/>
        <v>36.007462686567159</v>
      </c>
      <c r="AA17" s="128"/>
      <c r="AB17" s="127">
        <v>1.73</v>
      </c>
      <c r="AC17" s="234"/>
      <c r="AD17" s="126">
        <f t="shared" si="4"/>
        <v>27.890173410404625</v>
      </c>
      <c r="AE17" s="128"/>
      <c r="AF17" s="129">
        <f t="shared" si="5"/>
        <v>1.3103448275862073</v>
      </c>
      <c r="AG17" s="130"/>
      <c r="AH17" s="113">
        <f t="shared" si="6"/>
        <v>5.208333333333333E-3</v>
      </c>
      <c r="AI17" s="130"/>
      <c r="AJ17" s="130">
        <f t="shared" si="7"/>
        <v>-0.15379872576556827</v>
      </c>
      <c r="AK17" s="130"/>
      <c r="AL17" s="131">
        <f t="shared" si="8"/>
        <v>1.7484920061696658</v>
      </c>
      <c r="AM17" s="29"/>
      <c r="AN17" s="134">
        <f t="shared" si="9"/>
        <v>6.2176165803108805E-3</v>
      </c>
      <c r="AO17" s="135"/>
      <c r="AP17" s="55">
        <f>[1]!'DYN,DIVIDEND'</f>
        <v>0.3</v>
      </c>
      <c r="AQ17" s="257">
        <v>36767</v>
      </c>
      <c r="AR17" s="205">
        <v>7.4999999999999997E-2</v>
      </c>
      <c r="AS17" s="43"/>
      <c r="AT17" s="123">
        <v>48</v>
      </c>
      <c r="AU17" s="43"/>
      <c r="AV17" s="182">
        <v>57.01953125</v>
      </c>
      <c r="AW17" s="43">
        <f>(0.04451+0.15)/2+0.075</f>
        <v>0.17225499999999999</v>
      </c>
      <c r="AX17" s="182">
        <f>24.3125/0.69/2</f>
        <v>17.617753623188406</v>
      </c>
    </row>
    <row r="18" spans="1:50" x14ac:dyDescent="0.2">
      <c r="A18" s="122" t="s">
        <v>57</v>
      </c>
      <c r="B18" s="34"/>
      <c r="C18" s="132" t="s">
        <v>3</v>
      </c>
      <c r="D18" s="66"/>
      <c r="E18" s="123">
        <f>[1]!EPG</f>
        <v>68</v>
      </c>
      <c r="F18" s="66"/>
      <c r="G18" s="125">
        <v>2.85</v>
      </c>
      <c r="H18" s="133" t="s">
        <v>51</v>
      </c>
      <c r="I18" s="126">
        <f>E18/G18</f>
        <v>23.859649122807017</v>
      </c>
      <c r="J18" s="66"/>
      <c r="K18" s="125">
        <v>3.18</v>
      </c>
      <c r="L18" s="67"/>
      <c r="M18" s="126">
        <f t="shared" si="0"/>
        <v>21.383647798742139</v>
      </c>
      <c r="N18" s="66"/>
      <c r="O18" s="125">
        <v>2.85</v>
      </c>
      <c r="P18" s="133" t="s">
        <v>51</v>
      </c>
      <c r="Q18" s="126">
        <f>M18/O18</f>
        <v>7.5030343153481187</v>
      </c>
      <c r="R18" s="66"/>
      <c r="S18" s="127">
        <v>1.83</v>
      </c>
      <c r="T18" s="126">
        <f t="shared" si="1"/>
        <v>37.158469945355186</v>
      </c>
      <c r="U18" s="128"/>
      <c r="V18" s="129">
        <f t="shared" si="2"/>
        <v>-0.42452830188679247</v>
      </c>
      <c r="W18" s="130"/>
      <c r="X18" s="127">
        <v>2.58</v>
      </c>
      <c r="Y18" s="214"/>
      <c r="Z18" s="126">
        <f t="shared" si="3"/>
        <v>26.356589147286822</v>
      </c>
      <c r="AA18" s="128"/>
      <c r="AB18" s="127">
        <v>3.16</v>
      </c>
      <c r="AC18" s="214"/>
      <c r="AD18" s="126">
        <f t="shared" si="4"/>
        <v>21.518987341772149</v>
      </c>
      <c r="AE18" s="128"/>
      <c r="AF18" s="129">
        <f t="shared" si="5"/>
        <v>0.4098360655737705</v>
      </c>
      <c r="AG18" s="130"/>
      <c r="AH18" s="113">
        <f t="shared" si="6"/>
        <v>4.7160731472569779E-2</v>
      </c>
      <c r="AI18" s="130"/>
      <c r="AJ18" s="130">
        <f t="shared" si="7"/>
        <v>0.10344827586206896</v>
      </c>
      <c r="AK18" s="130"/>
      <c r="AL18" s="131">
        <f t="shared" si="8"/>
        <v>0.76793558776167459</v>
      </c>
      <c r="AM18" s="29"/>
      <c r="AN18" s="134">
        <f t="shared" si="9"/>
        <v>1.2058823529411764E-2</v>
      </c>
      <c r="AO18" s="135"/>
      <c r="AP18" s="55">
        <f>[1]!'EPG,DIVIDEND'</f>
        <v>0.82</v>
      </c>
      <c r="AQ18" s="257">
        <v>36858</v>
      </c>
      <c r="AR18" s="205">
        <v>0.20599999999999999</v>
      </c>
      <c r="AS18" s="43"/>
      <c r="AT18" s="123">
        <v>64.9375</v>
      </c>
      <c r="AU18" s="43"/>
      <c r="AV18" s="182">
        <v>61.625</v>
      </c>
      <c r="AW18" s="43">
        <f>0.206+0.206+0.206</f>
        <v>0.61799999999999999</v>
      </c>
      <c r="AX18" s="182">
        <v>38.8125</v>
      </c>
    </row>
    <row r="19" spans="1:50" x14ac:dyDescent="0.2">
      <c r="A19" s="122" t="s">
        <v>68</v>
      </c>
      <c r="B19" s="34"/>
      <c r="C19" s="132" t="s">
        <v>69</v>
      </c>
      <c r="D19" s="66"/>
      <c r="E19" s="123">
        <f>[1]!KMI</f>
        <v>42.4375</v>
      </c>
      <c r="F19" s="66"/>
      <c r="G19" s="125"/>
      <c r="H19" s="133"/>
      <c r="I19" s="126"/>
      <c r="J19" s="66"/>
      <c r="K19" s="125">
        <v>2.4300000000000002</v>
      </c>
      <c r="L19" s="67"/>
      <c r="M19" s="126">
        <f t="shared" si="0"/>
        <v>17.463991769547324</v>
      </c>
      <c r="N19" s="66"/>
      <c r="O19" s="125"/>
      <c r="P19" s="133"/>
      <c r="Q19" s="126"/>
      <c r="R19" s="66"/>
      <c r="S19" s="127">
        <v>1.17</v>
      </c>
      <c r="T19" s="126">
        <f t="shared" si="1"/>
        <v>36.271367521367523</v>
      </c>
      <c r="U19" s="128"/>
      <c r="V19" s="129"/>
      <c r="W19" s="130"/>
      <c r="X19" s="127">
        <v>1.25</v>
      </c>
      <c r="Y19" s="214"/>
      <c r="Z19" s="126">
        <f t="shared" si="3"/>
        <v>33.950000000000003</v>
      </c>
      <c r="AA19" s="128"/>
      <c r="AB19" s="127">
        <v>1.59</v>
      </c>
      <c r="AC19" s="214"/>
      <c r="AD19" s="126">
        <f t="shared" si="4"/>
        <v>26.690251572327043</v>
      </c>
      <c r="AE19" s="128"/>
      <c r="AF19" s="129">
        <f t="shared" si="5"/>
        <v>6.8376068376068438E-2</v>
      </c>
      <c r="AG19" s="130"/>
      <c r="AH19" s="113">
        <f t="shared" si="6"/>
        <v>-1.8786127167630059E-2</v>
      </c>
      <c r="AI19" s="130"/>
      <c r="AJ19" s="130">
        <f t="shared" si="7"/>
        <v>3.786259541984726E-2</v>
      </c>
      <c r="AK19" s="130"/>
      <c r="AL19" s="131">
        <f t="shared" si="8"/>
        <v>1.1120743034055729</v>
      </c>
      <c r="AM19" s="29"/>
      <c r="AN19" s="134">
        <f t="shared" si="9"/>
        <v>4.7128129602356413E-3</v>
      </c>
      <c r="AO19" s="135"/>
      <c r="AP19" s="55">
        <f>[1]!'KMI,DIVIDEND'</f>
        <v>0.2</v>
      </c>
      <c r="AQ19" s="257">
        <v>36826</v>
      </c>
      <c r="AR19" s="205">
        <v>0.05</v>
      </c>
      <c r="AS19" s="43"/>
      <c r="AT19" s="123">
        <v>43.25</v>
      </c>
      <c r="AU19" s="43">
        <v>0.05</v>
      </c>
      <c r="AV19" s="182">
        <v>40.9375</v>
      </c>
      <c r="AW19" s="43">
        <f>0.05+0.05+0.05+0.05</f>
        <v>0.2</v>
      </c>
      <c r="AX19" s="182">
        <v>20.1875</v>
      </c>
    </row>
    <row r="20" spans="1:50" x14ac:dyDescent="0.2">
      <c r="A20" s="66" t="s">
        <v>60</v>
      </c>
      <c r="B20" s="66"/>
      <c r="C20" s="132" t="s">
        <v>61</v>
      </c>
      <c r="D20" s="66"/>
      <c r="E20" s="123">
        <f>[1]!PCG</f>
        <v>27.9375</v>
      </c>
      <c r="F20" s="66"/>
      <c r="G20" s="125">
        <v>2.88</v>
      </c>
      <c r="H20" s="133" t="s">
        <v>51</v>
      </c>
      <c r="I20" s="126">
        <f>E20/G20</f>
        <v>9.7005208333333339</v>
      </c>
      <c r="J20" s="66"/>
      <c r="K20" s="125">
        <v>3.48</v>
      </c>
      <c r="L20" s="67"/>
      <c r="M20" s="126">
        <f>E20/K20</f>
        <v>8.0280172413793096</v>
      </c>
      <c r="N20" s="66"/>
      <c r="O20" s="125">
        <v>2.88</v>
      </c>
      <c r="P20" s="133" t="s">
        <v>51</v>
      </c>
      <c r="Q20" s="126">
        <f>M20/O20</f>
        <v>2.787505986590038</v>
      </c>
      <c r="R20" s="66"/>
      <c r="S20" s="127">
        <v>1.79</v>
      </c>
      <c r="T20" s="126">
        <f>E20/S20</f>
        <v>15.60754189944134</v>
      </c>
      <c r="U20" s="128"/>
      <c r="V20" s="129">
        <f>(S20-K20)/K20</f>
        <v>-0.48563218390804597</v>
      </c>
      <c r="W20" s="130"/>
      <c r="X20" s="127">
        <v>2.5499999999999998</v>
      </c>
      <c r="Y20" s="214"/>
      <c r="Z20" s="126">
        <f t="shared" si="3"/>
        <v>10.955882352941178</v>
      </c>
      <c r="AA20" s="128"/>
      <c r="AB20" s="127">
        <v>2.77</v>
      </c>
      <c r="AC20" s="214"/>
      <c r="AD20" s="126">
        <f t="shared" si="4"/>
        <v>10.085740072202166</v>
      </c>
      <c r="AE20" s="128"/>
      <c r="AF20" s="129">
        <f t="shared" si="5"/>
        <v>0.42458100558659206</v>
      </c>
      <c r="AG20" s="130"/>
      <c r="AH20" s="113">
        <f t="shared" si="6"/>
        <v>-2.4017467248908297E-2</v>
      </c>
      <c r="AI20" s="130"/>
      <c r="AJ20" s="130">
        <f t="shared" si="7"/>
        <v>0.154106825883492</v>
      </c>
      <c r="AK20" s="130"/>
      <c r="AL20" s="131">
        <f t="shared" si="8"/>
        <v>0.40670731707317065</v>
      </c>
      <c r="AM20" s="29"/>
      <c r="AN20" s="134">
        <f t="shared" si="9"/>
        <v>4.2953020134228186E-2</v>
      </c>
      <c r="AO20" s="135"/>
      <c r="AP20" s="55">
        <f>[1]!'PCG,DIVIDEND'</f>
        <v>1.2</v>
      </c>
      <c r="AQ20" s="257">
        <v>36873</v>
      </c>
      <c r="AR20" s="205">
        <v>0.3</v>
      </c>
      <c r="AS20" s="43"/>
      <c r="AT20" s="123">
        <v>28.625</v>
      </c>
      <c r="AU20" s="43"/>
      <c r="AV20" s="182">
        <v>24.20703125</v>
      </c>
      <c r="AW20" s="43">
        <f>0.3+0.3+0.3</f>
        <v>0.89999999999999991</v>
      </c>
      <c r="AX20" s="182">
        <v>20.5</v>
      </c>
    </row>
    <row r="21" spans="1:50" x14ac:dyDescent="0.2">
      <c r="A21" s="122" t="s">
        <v>58</v>
      </c>
      <c r="B21" s="66"/>
      <c r="C21" s="132" t="s">
        <v>4</v>
      </c>
      <c r="D21" s="66"/>
      <c r="E21" s="123">
        <f>[1]!TRP</f>
        <v>9.6875</v>
      </c>
      <c r="F21" s="66"/>
      <c r="G21" s="125"/>
      <c r="H21" s="133"/>
      <c r="I21" s="126"/>
      <c r="J21" s="66"/>
      <c r="K21" s="125"/>
      <c r="L21" s="67"/>
      <c r="M21" s="126"/>
      <c r="N21" s="66"/>
      <c r="O21" s="125"/>
      <c r="P21" s="133"/>
      <c r="Q21" s="126"/>
      <c r="R21" s="66"/>
      <c r="S21" s="127">
        <v>1.1499999999999999</v>
      </c>
      <c r="T21" s="126">
        <f>E21/S21</f>
        <v>8.4239130434782616</v>
      </c>
      <c r="U21" s="128"/>
      <c r="V21" s="129"/>
      <c r="W21" s="130"/>
      <c r="X21" s="127">
        <v>0.78</v>
      </c>
      <c r="Y21" s="214"/>
      <c r="Z21" s="126">
        <f t="shared" si="3"/>
        <v>12.419871794871794</v>
      </c>
      <c r="AA21" s="128"/>
      <c r="AB21" s="127">
        <v>0.83</v>
      </c>
      <c r="AC21" s="214"/>
      <c r="AD21" s="126">
        <f t="shared" si="4"/>
        <v>11.671686746987952</v>
      </c>
      <c r="AE21" s="128"/>
      <c r="AF21" s="129">
        <f t="shared" si="5"/>
        <v>-0.32173913043478253</v>
      </c>
      <c r="AG21" s="130"/>
      <c r="AH21" s="113">
        <f t="shared" si="6"/>
        <v>1.3071895424836602E-2</v>
      </c>
      <c r="AI21" s="130"/>
      <c r="AJ21" s="130">
        <f t="shared" si="7"/>
        <v>4.0268456375838924E-2</v>
      </c>
      <c r="AK21" s="130"/>
      <c r="AL21" s="131">
        <f t="shared" si="8"/>
        <v>0.17571428571428568</v>
      </c>
      <c r="AM21" s="29"/>
      <c r="AN21" s="134">
        <f t="shared" si="9"/>
        <v>8.2580645161290323E-2</v>
      </c>
      <c r="AO21" s="135"/>
      <c r="AP21" s="298">
        <f>AR21*4</f>
        <v>0.8</v>
      </c>
      <c r="AQ21" s="257">
        <v>36887</v>
      </c>
      <c r="AR21" s="205">
        <v>0.2</v>
      </c>
      <c r="AS21" s="43"/>
      <c r="AT21" s="123">
        <v>9.5625</v>
      </c>
      <c r="AU21" s="43"/>
      <c r="AV21" s="182">
        <v>9.3125</v>
      </c>
      <c r="AW21" s="43">
        <f>0.2+0.2+0.2</f>
        <v>0.60000000000000009</v>
      </c>
      <c r="AX21" s="182">
        <v>8.75</v>
      </c>
    </row>
    <row r="22" spans="1:50" x14ac:dyDescent="0.2">
      <c r="A22" s="122" t="s">
        <v>92</v>
      </c>
      <c r="B22" s="66"/>
      <c r="C22" s="132" t="s">
        <v>5</v>
      </c>
      <c r="D22" s="66"/>
      <c r="E22" s="123">
        <f>[1]!WMB</f>
        <v>40.625</v>
      </c>
      <c r="F22" s="66"/>
      <c r="G22" s="125">
        <v>2.08</v>
      </c>
      <c r="H22" s="133" t="s">
        <v>51</v>
      </c>
      <c r="I22" s="126">
        <f>E22/G22</f>
        <v>19.53125</v>
      </c>
      <c r="J22" s="66"/>
      <c r="K22" s="125">
        <v>1.04</v>
      </c>
      <c r="L22" s="67"/>
      <c r="M22" s="126">
        <f>E22/K22</f>
        <v>39.0625</v>
      </c>
      <c r="N22" s="66"/>
      <c r="O22" s="125">
        <v>2.08</v>
      </c>
      <c r="P22" s="133" t="s">
        <v>51</v>
      </c>
      <c r="Q22" s="126">
        <f>M22/O22</f>
        <v>18.780048076923077</v>
      </c>
      <c r="R22" s="66"/>
      <c r="S22" s="127">
        <v>0.82</v>
      </c>
      <c r="T22" s="126">
        <f>E22/S22</f>
        <v>49.542682926829272</v>
      </c>
      <c r="U22" s="128"/>
      <c r="V22" s="129">
        <f>(S22-K22)/K22</f>
        <v>-0.21153846153846162</v>
      </c>
      <c r="W22" s="130"/>
      <c r="X22" s="127">
        <v>1.29</v>
      </c>
      <c r="Y22" s="214"/>
      <c r="Z22" s="126">
        <f t="shared" si="3"/>
        <v>31.492248062015502</v>
      </c>
      <c r="AA22" s="128"/>
      <c r="AB22" s="127">
        <v>1.21</v>
      </c>
      <c r="AC22" s="214"/>
      <c r="AD22" s="126">
        <f t="shared" si="4"/>
        <v>33.574380165289256</v>
      </c>
      <c r="AE22" s="128"/>
      <c r="AF22" s="129">
        <f t="shared" si="5"/>
        <v>0.57317073170731725</v>
      </c>
      <c r="AG22" s="130"/>
      <c r="AH22" s="113">
        <f t="shared" si="6"/>
        <v>-2.7719821162444147E-2</v>
      </c>
      <c r="AI22" s="130"/>
      <c r="AJ22" s="130">
        <f t="shared" si="7"/>
        <v>-3.491124260355033E-2</v>
      </c>
      <c r="AK22" s="130"/>
      <c r="AL22" s="131">
        <f t="shared" si="8"/>
        <v>0.3488752556237219</v>
      </c>
      <c r="AM22" s="29"/>
      <c r="AN22" s="134">
        <f t="shared" si="9"/>
        <v>1.4769230769230769E-2</v>
      </c>
      <c r="AO22" s="135"/>
      <c r="AP22" s="55">
        <f>[1]!'WMB,DIVIDEND'</f>
        <v>0.6</v>
      </c>
      <c r="AQ22" s="257">
        <v>36761</v>
      </c>
      <c r="AR22" s="205">
        <v>0.15</v>
      </c>
      <c r="AS22" s="43">
        <v>0.15</v>
      </c>
      <c r="AT22" s="123">
        <v>41.9375</v>
      </c>
      <c r="AU22" s="43">
        <v>0.15</v>
      </c>
      <c r="AV22" s="182">
        <v>42.25</v>
      </c>
      <c r="AW22" s="43">
        <f>0.15+0.15+0.15+0.15</f>
        <v>0.6</v>
      </c>
      <c r="AX22" s="182">
        <v>30.5625</v>
      </c>
    </row>
    <row r="23" spans="1:50" ht="10.5" customHeight="1" x14ac:dyDescent="0.2">
      <c r="A23" s="33"/>
      <c r="B23" s="33"/>
      <c r="C23" s="34"/>
      <c r="D23" s="33"/>
      <c r="E23" s="123"/>
      <c r="F23" s="33"/>
      <c r="G23" s="35"/>
      <c r="H23" s="36"/>
      <c r="I23" s="31"/>
      <c r="J23" s="66"/>
      <c r="K23" s="35"/>
      <c r="L23" s="10"/>
      <c r="M23" s="31"/>
      <c r="N23" s="33"/>
      <c r="O23" s="35"/>
      <c r="P23" s="36"/>
      <c r="Q23" s="31"/>
      <c r="R23" s="66"/>
      <c r="S23" s="35"/>
      <c r="T23" s="31"/>
      <c r="U23" s="10"/>
      <c r="V23" s="129"/>
      <c r="W23" s="130"/>
      <c r="X23" s="35"/>
      <c r="Y23" s="10"/>
      <c r="Z23" s="31"/>
      <c r="AA23" s="10"/>
      <c r="AB23" s="35"/>
      <c r="AC23" s="10"/>
      <c r="AD23" s="195"/>
      <c r="AE23" s="10"/>
      <c r="AF23" s="129"/>
      <c r="AG23" s="130"/>
      <c r="AH23" s="113"/>
      <c r="AI23" s="130"/>
      <c r="AJ23" s="130"/>
      <c r="AK23" s="130"/>
      <c r="AL23" s="131"/>
      <c r="AM23" s="29"/>
      <c r="AN23" s="129"/>
      <c r="AO23" s="113"/>
      <c r="AP23" s="136"/>
      <c r="AQ23" s="137"/>
      <c r="AR23" s="206"/>
      <c r="AS23" s="30"/>
      <c r="AT23" s="57"/>
      <c r="AU23" s="232"/>
      <c r="AV23" s="23"/>
      <c r="AW23" s="229"/>
      <c r="AX23" s="23"/>
    </row>
    <row r="24" spans="1:50" x14ac:dyDescent="0.2">
      <c r="A24" s="122" t="s">
        <v>100</v>
      </c>
      <c r="B24" s="66"/>
      <c r="C24" s="114"/>
      <c r="D24" s="66"/>
      <c r="E24" s="123"/>
      <c r="F24" s="66"/>
      <c r="G24" s="138"/>
      <c r="H24" s="139"/>
      <c r="I24" s="140">
        <f>AVERAGE(I13:I22)</f>
        <v>18.680273201607545</v>
      </c>
      <c r="J24" s="67"/>
      <c r="K24" s="138"/>
      <c r="L24" s="139"/>
      <c r="M24" s="140">
        <f>AVERAGE(M13:M22)</f>
        <v>26.333859087527685</v>
      </c>
      <c r="N24" s="66"/>
      <c r="O24" s="138"/>
      <c r="P24" s="139"/>
      <c r="Q24" s="140">
        <f>AVERAGE(Q13:Q22)</f>
        <v>7.540109068920227</v>
      </c>
      <c r="R24" s="67"/>
      <c r="S24" s="138"/>
      <c r="T24" s="140">
        <f>AVERAGE(T13:T22)</f>
        <v>33.362919450517886</v>
      </c>
      <c r="U24" s="128"/>
      <c r="V24" s="141">
        <f>AVERAGE(V13:V22)</f>
        <v>-0.25166145198138817</v>
      </c>
      <c r="W24" s="130"/>
      <c r="X24" s="198"/>
      <c r="Y24" s="220"/>
      <c r="Z24" s="140">
        <f>AVERAGE(Z13:Z22)</f>
        <v>25.632443287272849</v>
      </c>
      <c r="AA24" s="128"/>
      <c r="AB24" s="185"/>
      <c r="AC24" s="215"/>
      <c r="AD24" s="140">
        <f>AVERAGE(AD13:AD22)</f>
        <v>21.975402717986178</v>
      </c>
      <c r="AE24" s="128"/>
      <c r="AF24" s="141">
        <f>AVERAGE(AF13:AF22)</f>
        <v>0.27059369441581493</v>
      </c>
      <c r="AG24" s="130"/>
      <c r="AH24" s="142">
        <f>AVERAGE(AH13:AH22)</f>
        <v>-7.6950902898418301E-3</v>
      </c>
      <c r="AI24" s="143"/>
      <c r="AJ24" s="275">
        <f>AVERAGE(AJ13:AJ22)</f>
        <v>1.1870772492748599E-2</v>
      </c>
      <c r="AK24" s="143"/>
      <c r="AL24" s="385">
        <f>AVERAGE(AL13:AL22)</f>
        <v>0.77248215889069372</v>
      </c>
      <c r="AM24" s="29"/>
      <c r="AN24" s="141">
        <f>AVERAGE(AN13:AN22)</f>
        <v>2.3469257165114065E-2</v>
      </c>
      <c r="AO24" s="142"/>
      <c r="AP24" s="144"/>
      <c r="AQ24" s="145"/>
      <c r="AR24" s="207"/>
      <c r="AS24" s="37"/>
      <c r="AT24" s="223"/>
      <c r="AU24" s="37"/>
      <c r="AV24" s="53"/>
      <c r="AW24" s="223"/>
      <c r="AX24" s="53"/>
    </row>
    <row r="25" spans="1:50" x14ac:dyDescent="0.2">
      <c r="A25" s="146"/>
      <c r="B25" s="33"/>
      <c r="C25" s="34"/>
      <c r="D25" s="33"/>
      <c r="E25" s="33"/>
      <c r="F25" s="33"/>
      <c r="G25" s="66"/>
      <c r="H25" s="66"/>
      <c r="I25" s="66"/>
      <c r="J25" s="66"/>
      <c r="K25" s="66"/>
      <c r="L25" s="66"/>
      <c r="M25" s="66"/>
      <c r="N25" s="33"/>
      <c r="O25" s="66"/>
      <c r="P25" s="66"/>
      <c r="Q25" s="66"/>
      <c r="R25" s="66"/>
      <c r="S25" s="66"/>
      <c r="T25" s="66"/>
      <c r="U25" s="67"/>
      <c r="V25" s="38"/>
      <c r="W25" s="12"/>
      <c r="X25" s="66"/>
      <c r="Y25" s="66"/>
      <c r="Z25" s="66"/>
      <c r="AA25" s="66"/>
      <c r="AB25" s="66"/>
      <c r="AC25" s="66"/>
      <c r="AD25" s="193"/>
      <c r="AE25" s="66"/>
      <c r="AF25" s="38"/>
      <c r="AG25" s="12"/>
      <c r="AH25" s="12"/>
      <c r="AI25" s="12"/>
      <c r="AJ25" s="12"/>
      <c r="AK25" s="12"/>
      <c r="AL25" s="38"/>
      <c r="AM25" s="29"/>
      <c r="AN25" s="29"/>
      <c r="AO25" s="29"/>
      <c r="AP25" s="147"/>
      <c r="AQ25" s="148"/>
      <c r="AR25" s="208"/>
      <c r="AS25" s="11"/>
    </row>
    <row r="26" spans="1:50" x14ac:dyDescent="0.2">
      <c r="A26" s="146"/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ht="9.9499999999999993" customHeight="1" x14ac:dyDescent="0.2">
      <c r="A27" s="318"/>
      <c r="B27" s="9"/>
      <c r="C27" s="18"/>
      <c r="D27" s="9"/>
      <c r="E27" s="9"/>
      <c r="F27" s="9"/>
      <c r="G27" s="319"/>
      <c r="H27" s="319"/>
      <c r="I27" s="319"/>
      <c r="J27" s="319"/>
      <c r="K27" s="319"/>
      <c r="L27" s="319"/>
      <c r="M27" s="319"/>
      <c r="N27" s="9"/>
      <c r="O27" s="319"/>
      <c r="P27" s="319"/>
      <c r="Q27" s="319"/>
      <c r="R27" s="9"/>
      <c r="S27" s="9"/>
      <c r="T27" s="9"/>
      <c r="U27" s="9"/>
      <c r="V27" s="9"/>
      <c r="W27" s="9"/>
      <c r="X27" s="401" t="s">
        <v>97</v>
      </c>
      <c r="Y27" s="402"/>
      <c r="Z27" s="402"/>
      <c r="AA27" s="402"/>
      <c r="AB27" s="403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thickBot="1" x14ac:dyDescent="0.25">
      <c r="A28" s="324" t="s">
        <v>6</v>
      </c>
      <c r="B28" s="9"/>
      <c r="C28" s="18"/>
      <c r="D28" s="9"/>
      <c r="E28" s="9"/>
      <c r="F28" s="9"/>
      <c r="G28" s="319"/>
      <c r="H28" s="319"/>
      <c r="I28" s="319"/>
      <c r="J28" s="319"/>
      <c r="K28" s="319"/>
      <c r="L28" s="319"/>
      <c r="M28" s="319"/>
      <c r="N28" s="9"/>
      <c r="O28" s="319"/>
      <c r="P28" s="319"/>
      <c r="Q28" s="319"/>
      <c r="R28" s="319"/>
      <c r="S28" s="319"/>
      <c r="T28" s="319"/>
      <c r="U28" s="325"/>
      <c r="V28" s="320"/>
      <c r="W28" s="321"/>
      <c r="X28" s="326" t="s">
        <v>95</v>
      </c>
      <c r="Y28" s="327"/>
      <c r="Z28" s="328"/>
      <c r="AA28" s="328"/>
      <c r="AB28" s="326" t="s">
        <v>96</v>
      </c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x14ac:dyDescent="0.2">
      <c r="A29" s="146" t="s">
        <v>85</v>
      </c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281">
        <f>AVERAGE(X71:X86)</f>
        <v>1.42</v>
      </c>
      <c r="Y29" s="66"/>
      <c r="Z29" s="66"/>
      <c r="AA29" s="66"/>
      <c r="AB29" s="281">
        <f>AVERAGE(AB71:AB86)</f>
        <v>1.6587499999999999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86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1">
        <f>MAX(X71:X86)</f>
        <v>1.5</v>
      </c>
      <c r="Y30" s="66"/>
      <c r="Z30" s="66"/>
      <c r="AA30" s="66"/>
      <c r="AB30" s="281">
        <f>MAX(AB71:AB86)</f>
        <v>1.75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87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MIN(X71:X86)</f>
        <v>1.4</v>
      </c>
      <c r="Y31" s="66"/>
      <c r="Z31" s="66"/>
      <c r="AA31" s="66"/>
      <c r="AB31" s="282">
        <f>MIN(AB71:AB86)</f>
        <v>1.57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/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66"/>
      <c r="Y32" s="66"/>
      <c r="Z32" s="66"/>
      <c r="AA32" s="66"/>
      <c r="AB32" s="66"/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s="323" customFormat="1" ht="9.9499999999999993" customHeight="1" x14ac:dyDescent="0.2">
      <c r="B33" s="9"/>
      <c r="C33" s="18"/>
      <c r="D33" s="9"/>
      <c r="E33" s="9"/>
      <c r="F33" s="9"/>
      <c r="G33" s="319"/>
      <c r="H33" s="319"/>
      <c r="I33" s="319"/>
      <c r="J33" s="319"/>
      <c r="K33" s="319"/>
      <c r="L33" s="319"/>
      <c r="M33" s="319"/>
      <c r="N33" s="9"/>
      <c r="O33" s="319"/>
      <c r="P33" s="319"/>
      <c r="Q33" s="319"/>
      <c r="R33" s="319"/>
      <c r="S33" s="319"/>
      <c r="T33" s="319"/>
      <c r="U33" s="325"/>
      <c r="V33" s="320"/>
      <c r="W33" s="321"/>
      <c r="X33" s="401">
        <v>2000</v>
      </c>
      <c r="Y33" s="402"/>
      <c r="Z33" s="403"/>
      <c r="AA33" s="319"/>
      <c r="AB33" s="401">
        <v>2001</v>
      </c>
      <c r="AC33" s="402"/>
      <c r="AD33" s="403"/>
      <c r="AE33" s="319"/>
      <c r="AF33" s="320"/>
      <c r="AG33" s="321"/>
      <c r="AH33" s="338" t="s">
        <v>21</v>
      </c>
      <c r="AI33" s="339"/>
      <c r="AJ33" s="339"/>
      <c r="AK33" s="339"/>
      <c r="AL33" s="340"/>
      <c r="AN33" s="341"/>
      <c r="AO33" s="9"/>
      <c r="AP33" s="147"/>
      <c r="AQ33" s="148"/>
      <c r="AR33" s="208"/>
      <c r="AS33" s="322"/>
    </row>
    <row r="34" spans="1:50" s="323" customFormat="1" ht="9.9499999999999993" customHeight="1" x14ac:dyDescent="0.2">
      <c r="B34" s="9"/>
      <c r="C34" s="18"/>
      <c r="D34" s="9"/>
      <c r="E34" s="9"/>
      <c r="F34" s="9"/>
      <c r="G34" s="319"/>
      <c r="H34" s="319"/>
      <c r="I34" s="319"/>
      <c r="J34" s="319"/>
      <c r="K34" s="319"/>
      <c r="L34" s="319"/>
      <c r="M34" s="319"/>
      <c r="N34" s="9"/>
      <c r="O34" s="319"/>
      <c r="P34" s="319"/>
      <c r="Q34" s="319"/>
      <c r="R34" s="319"/>
      <c r="S34" s="319"/>
      <c r="T34" s="319"/>
      <c r="U34" s="325"/>
      <c r="V34" s="320"/>
      <c r="W34" s="321"/>
      <c r="X34" s="358" t="s">
        <v>27</v>
      </c>
      <c r="Y34" s="325"/>
      <c r="Z34" s="377"/>
      <c r="AA34" s="319"/>
      <c r="AB34" s="358" t="s">
        <v>27</v>
      </c>
      <c r="AC34" s="325"/>
      <c r="AD34" s="377"/>
      <c r="AE34" s="319"/>
      <c r="AF34" s="320"/>
      <c r="AG34" s="321"/>
      <c r="AH34" s="355" t="s">
        <v>29</v>
      </c>
      <c r="AI34" s="351"/>
      <c r="AJ34" s="351" t="s">
        <v>30</v>
      </c>
      <c r="AK34" s="351"/>
      <c r="AL34" s="356" t="s">
        <v>31</v>
      </c>
      <c r="AN34" s="357" t="s">
        <v>32</v>
      </c>
      <c r="AO34" s="9"/>
      <c r="AP34" s="147"/>
      <c r="AQ34" s="148"/>
      <c r="AR34" s="208"/>
      <c r="AS34" s="322"/>
      <c r="AT34" s="378">
        <f>Last_Week</f>
        <v>36847</v>
      </c>
      <c r="AV34" s="378">
        <f>+AV5</f>
        <v>36798</v>
      </c>
      <c r="AX34" s="378" t="str">
        <f>+AX6</f>
        <v xml:space="preserve">12/31/99 Closing </v>
      </c>
    </row>
    <row r="35" spans="1:50" s="323" customFormat="1" ht="9.9499999999999993" customHeight="1" thickBot="1" x14ac:dyDescent="0.25">
      <c r="A35" s="324" t="s">
        <v>120</v>
      </c>
      <c r="B35" s="9"/>
      <c r="C35" s="18"/>
      <c r="D35" s="9"/>
      <c r="E35" s="9"/>
      <c r="F35" s="9"/>
      <c r="G35" s="319"/>
      <c r="H35" s="319"/>
      <c r="I35" s="319"/>
      <c r="J35" s="319"/>
      <c r="K35" s="319"/>
      <c r="L35" s="319"/>
      <c r="M35" s="319"/>
      <c r="N35" s="9"/>
      <c r="O35" s="319"/>
      <c r="P35" s="319"/>
      <c r="Q35" s="319"/>
      <c r="R35" s="319"/>
      <c r="S35" s="319"/>
      <c r="T35" s="319"/>
      <c r="U35" s="325"/>
      <c r="V35" s="320"/>
      <c r="W35" s="321"/>
      <c r="X35" s="369" t="s">
        <v>88</v>
      </c>
      <c r="Y35" s="379"/>
      <c r="Z35" s="380" t="s">
        <v>89</v>
      </c>
      <c r="AA35" s="381"/>
      <c r="AB35" s="369" t="s">
        <v>88</v>
      </c>
      <c r="AC35" s="379"/>
      <c r="AD35" s="380" t="s">
        <v>89</v>
      </c>
      <c r="AE35" s="379"/>
      <c r="AF35" s="382"/>
      <c r="AG35" s="382"/>
      <c r="AH35" s="372" t="s">
        <v>40</v>
      </c>
      <c r="AI35" s="373"/>
      <c r="AJ35" s="373" t="s">
        <v>41</v>
      </c>
      <c r="AK35" s="373"/>
      <c r="AL35" s="374" t="s">
        <v>41</v>
      </c>
      <c r="AM35" s="383"/>
      <c r="AN35" s="375" t="s">
        <v>42</v>
      </c>
      <c r="AO35" s="9"/>
      <c r="AP35" s="147"/>
      <c r="AQ35" s="148"/>
      <c r="AR35" s="208"/>
      <c r="AS35" s="322"/>
      <c r="AT35" s="224"/>
      <c r="AV35" s="224" t="s">
        <v>48</v>
      </c>
    </row>
    <row r="36" spans="1:50" x14ac:dyDescent="0.2">
      <c r="A36" s="179" t="str">
        <f>'[2]7-07-00'!$A$17</f>
        <v>Akamai*</v>
      </c>
      <c r="B36" s="66"/>
      <c r="C36" s="114" t="str">
        <f>'[2]7-07-00'!$B$17</f>
        <v>AKAM</v>
      </c>
      <c r="D36" s="66"/>
      <c r="E36" s="123">
        <f>[1]!AKAM.O</f>
        <v>35.0625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387">
        <v>82.3</v>
      </c>
      <c r="Y36" s="67"/>
      <c r="Z36" s="266">
        <f>'[2]7-07-00'!$G$17</f>
        <v>154.66440677966102</v>
      </c>
      <c r="AA36" s="66"/>
      <c r="AB36" s="387">
        <v>189.4</v>
      </c>
      <c r="AC36" s="67"/>
      <c r="AD36" s="266">
        <f>'[2]7-07-00'!$J$17</f>
        <v>70.611666666666665</v>
      </c>
      <c r="AE36" s="66"/>
      <c r="AF36" s="38"/>
      <c r="AG36" s="12"/>
      <c r="AH36" s="113">
        <f t="shared" ref="AH36:AH42" si="10">((+AS36+E36-AT36)/AT36)</f>
        <v>-0.15</v>
      </c>
      <c r="AI36" s="262"/>
      <c r="AJ36" s="130">
        <f t="shared" ref="AJ36:AJ42" si="11">((+AU36+E36-AV36)/AV36)</f>
        <v>-0.33234156501041356</v>
      </c>
      <c r="AK36" s="12"/>
      <c r="AL36" s="131">
        <f t="shared" ref="AL36:AL42" si="12">((+AW36+E36-AX36)/AX36)</f>
        <v>-0.89297977871041589</v>
      </c>
      <c r="AM36" s="29"/>
      <c r="AN36" s="134">
        <f t="shared" ref="AN36:AN42" si="13">AP36/E36</f>
        <v>0</v>
      </c>
      <c r="AO36" s="29"/>
      <c r="AP36" s="147">
        <v>0</v>
      </c>
      <c r="AQ36" s="148"/>
      <c r="AR36" s="208"/>
      <c r="AS36" s="11"/>
      <c r="AT36" s="182">
        <v>41.25</v>
      </c>
      <c r="AV36" s="182">
        <v>52.515625</v>
      </c>
      <c r="AX36" s="182">
        <v>327.625</v>
      </c>
    </row>
    <row r="37" spans="1:50" x14ac:dyDescent="0.2">
      <c r="A37" s="179" t="str">
        <f>'[2]7-07-00'!$A$19</f>
        <v>Digital Island*</v>
      </c>
      <c r="B37" s="66"/>
      <c r="C37" s="114" t="str">
        <f>'[2]7-07-00'!$B$19</f>
        <v>ISLD</v>
      </c>
      <c r="D37" s="66"/>
      <c r="E37" s="123">
        <f>[1]!ISLD.O</f>
        <v>6.125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87">
        <v>56</v>
      </c>
      <c r="Y37" s="67"/>
      <c r="Z37" s="266">
        <f>'[2]7-07-00'!$G$19</f>
        <v>54.394945155393046</v>
      </c>
      <c r="AA37" s="66"/>
      <c r="AB37" s="387">
        <v>177.4</v>
      </c>
      <c r="AC37" s="67"/>
      <c r="AD37" s="266">
        <f>'[2]7-07-00'!$J$19</f>
        <v>18.807860303413403</v>
      </c>
      <c r="AE37" s="66"/>
      <c r="AF37" s="38"/>
      <c r="AG37" s="12"/>
      <c r="AH37" s="113">
        <f t="shared" si="10"/>
        <v>-7.1090047393364927E-2</v>
      </c>
      <c r="AI37" s="262"/>
      <c r="AJ37" s="130">
        <f t="shared" si="11"/>
        <v>-0.67333333333333334</v>
      </c>
      <c r="AK37" s="12"/>
      <c r="AL37" s="131">
        <f t="shared" si="12"/>
        <v>-0.93561103810775292</v>
      </c>
      <c r="AM37" s="29"/>
      <c r="AN37" s="134">
        <f t="shared" si="13"/>
        <v>0</v>
      </c>
      <c r="AO37" s="29"/>
      <c r="AP37" s="147">
        <v>0</v>
      </c>
      <c r="AQ37" s="148"/>
      <c r="AR37" s="208"/>
      <c r="AS37" s="11"/>
      <c r="AT37" s="182">
        <v>6.59375</v>
      </c>
      <c r="AV37" s="182">
        <v>18.75</v>
      </c>
      <c r="AX37" s="182">
        <v>95.125</v>
      </c>
    </row>
    <row r="38" spans="1:50" x14ac:dyDescent="0.2">
      <c r="A38" s="179" t="str">
        <f>'[2]7-07-00'!$A$22</f>
        <v>InterNap</v>
      </c>
      <c r="B38" s="66"/>
      <c r="C38" s="114" t="str">
        <f>'[2]7-07-00'!$B$22</f>
        <v>INAP</v>
      </c>
      <c r="D38" s="66"/>
      <c r="E38" s="123">
        <f>[1]!INAP.O</f>
        <v>11.4375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87">
        <v>67.599999999999994</v>
      </c>
      <c r="Y38" s="67"/>
      <c r="Z38" s="266">
        <f>'[2]7-07-00'!$G$22</f>
        <v>86.069645765472302</v>
      </c>
      <c r="AA38" s="66"/>
      <c r="AB38" s="387">
        <v>204.2</v>
      </c>
      <c r="AC38" s="67"/>
      <c r="AD38" s="266">
        <f>'[2]7-07-00'!$J$22</f>
        <v>30.868436039719626</v>
      </c>
      <c r="AE38" s="66"/>
      <c r="AF38" s="38"/>
      <c r="AG38" s="12"/>
      <c r="AH38" s="113">
        <f t="shared" si="10"/>
        <v>-0.21794871794871795</v>
      </c>
      <c r="AI38" s="262"/>
      <c r="AJ38" s="130">
        <f t="shared" si="11"/>
        <v>-0.64603481624758219</v>
      </c>
      <c r="AK38" s="12"/>
      <c r="AL38" s="131">
        <f t="shared" si="12"/>
        <v>-0.86777456647398843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182">
        <v>14.625</v>
      </c>
      <c r="AV38" s="182">
        <v>32.3125</v>
      </c>
      <c r="AX38" s="182">
        <v>86.5</v>
      </c>
    </row>
    <row r="39" spans="1:50" x14ac:dyDescent="0.2">
      <c r="A39" s="179" t="str">
        <f>'[2]7-07-00'!$A$33</f>
        <v>Williams Communications**</v>
      </c>
      <c r="B39" s="66"/>
      <c r="C39" s="114" t="str">
        <f>'[2]7-07-00'!$B$33</f>
        <v>WCG</v>
      </c>
      <c r="D39" s="66"/>
      <c r="E39" s="123">
        <f>[1]!WCG</f>
        <v>13.875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87">
        <v>2258.9</v>
      </c>
      <c r="Y39" s="284"/>
      <c r="Z39" s="266">
        <f>'[2]7-07-00'!$J$33</f>
        <v>5.7713396354166671</v>
      </c>
      <c r="AA39" s="66"/>
      <c r="AB39" s="391" t="s">
        <v>81</v>
      </c>
      <c r="AC39" s="67"/>
      <c r="AD39" s="390" t="s">
        <v>81</v>
      </c>
      <c r="AE39" s="66"/>
      <c r="AF39" s="38"/>
      <c r="AG39" s="12"/>
      <c r="AH39" s="113">
        <f t="shared" si="10"/>
        <v>-0.12598425196850394</v>
      </c>
      <c r="AI39" s="262"/>
      <c r="AJ39" s="130">
        <f t="shared" si="11"/>
        <v>-0.30625000000000002</v>
      </c>
      <c r="AK39" s="12"/>
      <c r="AL39" s="131">
        <f t="shared" si="12"/>
        <v>-0.52051835853131745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182">
        <v>15.875</v>
      </c>
      <c r="AV39" s="182">
        <v>20</v>
      </c>
      <c r="AX39" s="182">
        <v>28.9375</v>
      </c>
    </row>
    <row r="40" spans="1:50" x14ac:dyDescent="0.2">
      <c r="A40" s="179" t="s">
        <v>121</v>
      </c>
      <c r="B40" s="66"/>
      <c r="C40" s="114" t="str">
        <f>'[2]7-07-00'!$B$34</f>
        <v>LVLT</v>
      </c>
      <c r="D40" s="66"/>
      <c r="E40" s="123">
        <f>[1]!LVLT.O</f>
        <v>33.5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87">
        <v>1125.3</v>
      </c>
      <c r="Y40" s="284"/>
      <c r="Z40" s="266">
        <f>'[2]7-07-00'!$J$34</f>
        <v>34.558799868053406</v>
      </c>
      <c r="AA40" s="66"/>
      <c r="AB40" s="387">
        <v>2021.8</v>
      </c>
      <c r="AC40" s="67"/>
      <c r="AD40" s="390" t="s">
        <v>81</v>
      </c>
      <c r="AE40" s="66"/>
      <c r="AF40" s="38"/>
      <c r="AG40" s="12"/>
      <c r="AH40" s="113">
        <f t="shared" si="10"/>
        <v>1.9011406844106463E-2</v>
      </c>
      <c r="AI40" s="262"/>
      <c r="AJ40" s="130">
        <f t="shared" si="11"/>
        <v>-0.56564019448946512</v>
      </c>
      <c r="AK40" s="12"/>
      <c r="AL40" s="131">
        <f t="shared" si="12"/>
        <v>-0.59083969465648856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182">
        <v>32.875</v>
      </c>
      <c r="AV40" s="182">
        <v>77.125</v>
      </c>
      <c r="AX40" s="182">
        <v>81.875</v>
      </c>
    </row>
    <row r="41" spans="1:50" x14ac:dyDescent="0.2">
      <c r="A41" s="179" t="s">
        <v>122</v>
      </c>
      <c r="B41" s="66"/>
      <c r="C41" s="114" t="s">
        <v>123</v>
      </c>
      <c r="D41" s="66"/>
      <c r="E41" s="123">
        <f>[1]!GX</f>
        <v>16.125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87">
        <v>4800</v>
      </c>
      <c r="Y41" s="284"/>
      <c r="Z41" s="266">
        <f>'[2]7-07-00'!$J$35</f>
        <v>4.7806383064516131</v>
      </c>
      <c r="AA41" s="66"/>
      <c r="AB41" s="387">
        <v>6400</v>
      </c>
      <c r="AC41" s="67"/>
      <c r="AD41" s="390" t="s">
        <v>81</v>
      </c>
      <c r="AE41" s="66"/>
      <c r="AF41" s="38"/>
      <c r="AG41" s="12"/>
      <c r="AH41" s="113">
        <f t="shared" si="10"/>
        <v>-7.6923076923076927E-3</v>
      </c>
      <c r="AI41" s="262"/>
      <c r="AJ41" s="130">
        <f t="shared" si="11"/>
        <v>-0.47983870967741937</v>
      </c>
      <c r="AK41" s="12"/>
      <c r="AL41" s="131">
        <f t="shared" si="12"/>
        <v>-0.67749999999999999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182">
        <v>16.25</v>
      </c>
      <c r="AV41" s="182">
        <v>31</v>
      </c>
      <c r="AX41" s="182">
        <v>50</v>
      </c>
    </row>
    <row r="42" spans="1:50" x14ac:dyDescent="0.2">
      <c r="A42" s="179" t="str">
        <f>'[2]7-07-00'!$A$36</f>
        <v>Qwest</v>
      </c>
      <c r="B42" s="66"/>
      <c r="C42" s="114" t="str">
        <f>'[2]7-07-00'!$B$36</f>
        <v>Q</v>
      </c>
      <c r="D42" s="66"/>
      <c r="E42" s="123">
        <f>[1]!Q</f>
        <v>39.8125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87">
        <v>18997</v>
      </c>
      <c r="Y42" s="284"/>
      <c r="Z42" s="266">
        <f>'[2]7-07-00'!$J$36</f>
        <v>17.517848839462161</v>
      </c>
      <c r="AA42" s="66"/>
      <c r="AB42" s="387">
        <v>21450.3</v>
      </c>
      <c r="AC42" s="67"/>
      <c r="AD42" s="390" t="s">
        <v>81</v>
      </c>
      <c r="AE42" s="66"/>
      <c r="AF42" s="38"/>
      <c r="AG42" s="12"/>
      <c r="AH42" s="113">
        <f t="shared" si="10"/>
        <v>-4.9253731343283584E-2</v>
      </c>
      <c r="AI42" s="262"/>
      <c r="AJ42" s="130">
        <f t="shared" si="11"/>
        <v>-0.17272727272727273</v>
      </c>
      <c r="AK42" s="12"/>
      <c r="AL42" s="131">
        <f t="shared" si="12"/>
        <v>-7.4127906976744193E-2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182">
        <v>41.875</v>
      </c>
      <c r="AV42" s="182">
        <v>48.125</v>
      </c>
      <c r="AX42" s="182">
        <v>43</v>
      </c>
    </row>
    <row r="43" spans="1:50" x14ac:dyDescent="0.2">
      <c r="A43" s="179"/>
      <c r="B43" s="66"/>
      <c r="C43" s="114"/>
      <c r="D43" s="66"/>
      <c r="E43" s="261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7"/>
      <c r="Y43" s="284"/>
      <c r="Z43" s="266"/>
      <c r="AA43" s="66"/>
      <c r="AB43" s="265"/>
      <c r="AC43" s="67"/>
      <c r="AD43" s="266"/>
      <c r="AE43" s="66"/>
      <c r="AF43" s="38"/>
      <c r="AG43" s="12"/>
      <c r="AH43" s="272"/>
      <c r="AI43" s="262"/>
      <c r="AJ43" s="263"/>
      <c r="AK43" s="12"/>
      <c r="AL43" s="273"/>
      <c r="AM43" s="29"/>
      <c r="AN43" s="134"/>
      <c r="AO43" s="29"/>
      <c r="AP43" s="147"/>
      <c r="AQ43" s="148"/>
      <c r="AR43" s="208"/>
      <c r="AS43" s="11"/>
    </row>
    <row r="44" spans="1:50" x14ac:dyDescent="0.2">
      <c r="A44" s="179" t="s">
        <v>93</v>
      </c>
      <c r="B44" s="66"/>
      <c r="C44" s="114"/>
      <c r="D44" s="66"/>
      <c r="E44" s="261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268"/>
      <c r="Y44" s="139"/>
      <c r="Z44" s="269"/>
      <c r="AA44" s="66"/>
      <c r="AB44" s="270"/>
      <c r="AC44" s="139"/>
      <c r="AD44" s="271"/>
      <c r="AE44" s="66"/>
      <c r="AF44" s="38"/>
      <c r="AG44" s="12"/>
      <c r="AH44" s="274">
        <f>AVERAGE(AH36:AH42)</f>
        <v>-8.6136807071724511E-2</v>
      </c>
      <c r="AI44" s="275" t="e">
        <f>AVERAGE(AI36:AI42)</f>
        <v>#DIV/0!</v>
      </c>
      <c r="AJ44" s="275">
        <f>AVERAGE(AJ36:AJ42)</f>
        <v>-0.45373798449792663</v>
      </c>
      <c r="AK44" s="276"/>
      <c r="AL44" s="385">
        <f>AVERAGE(AL36:AL42)</f>
        <v>-0.65133590620810111</v>
      </c>
      <c r="AM44" s="29"/>
      <c r="AN44" s="277">
        <f>AVERAGE(AN36:AN42)</f>
        <v>0</v>
      </c>
      <c r="AO44" s="29"/>
      <c r="AP44" s="147"/>
      <c r="AQ44" s="148"/>
      <c r="AR44" s="208"/>
      <c r="AS44" s="11"/>
    </row>
    <row r="45" spans="1:50" x14ac:dyDescent="0.2">
      <c r="A45" s="146"/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3"/>
      <c r="Y45" s="66"/>
      <c r="Z45" s="66"/>
      <c r="AA45" s="66"/>
      <c r="AB45" s="303"/>
      <c r="AC45" s="66"/>
      <c r="AD45" s="193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7"/>
      <c r="AQ45" s="148"/>
      <c r="AR45" s="208"/>
      <c r="AS45" s="11"/>
    </row>
    <row r="46" spans="1:50" s="323" customFormat="1" ht="9.9499999999999993" customHeight="1" x14ac:dyDescent="0.2">
      <c r="A46" s="329"/>
      <c r="B46" s="329"/>
      <c r="C46" s="330"/>
      <c r="D46" s="329"/>
      <c r="E46" s="329"/>
      <c r="F46" s="329"/>
      <c r="K46" s="331">
        <v>1997</v>
      </c>
      <c r="L46" s="332"/>
      <c r="M46" s="333"/>
      <c r="N46" s="329"/>
      <c r="S46" s="334">
        <v>1998</v>
      </c>
      <c r="T46" s="335"/>
      <c r="U46" s="322"/>
      <c r="V46" s="319"/>
      <c r="W46" s="325"/>
      <c r="X46" s="398">
        <v>2000</v>
      </c>
      <c r="Y46" s="399"/>
      <c r="Z46" s="400"/>
      <c r="AA46" s="336"/>
      <c r="AB46" s="398">
        <v>2001</v>
      </c>
      <c r="AC46" s="399"/>
      <c r="AD46" s="400"/>
      <c r="AE46" s="329"/>
      <c r="AF46" s="337" t="s">
        <v>20</v>
      </c>
      <c r="AG46" s="325"/>
      <c r="AH46" s="338" t="s">
        <v>117</v>
      </c>
      <c r="AI46" s="339"/>
      <c r="AJ46" s="339"/>
      <c r="AK46" s="339"/>
      <c r="AL46" s="340"/>
      <c r="AN46" s="341"/>
      <c r="AO46" s="342"/>
      <c r="AP46" s="343" t="s">
        <v>22</v>
      </c>
      <c r="AQ46" s="343"/>
      <c r="AR46" s="344"/>
      <c r="AS46" s="345" t="s">
        <v>23</v>
      </c>
      <c r="AT46" s="346"/>
      <c r="AU46" s="345" t="s">
        <v>24</v>
      </c>
      <c r="AV46" s="345"/>
      <c r="AW46" s="345" t="s">
        <v>25</v>
      </c>
      <c r="AX46" s="345"/>
    </row>
    <row r="47" spans="1:50" s="323" customFormat="1" ht="9.9499999999999993" customHeight="1" x14ac:dyDescent="0.2">
      <c r="A47" s="329"/>
      <c r="B47" s="329"/>
      <c r="C47" s="330"/>
      <c r="D47" s="329"/>
      <c r="E47" s="347"/>
      <c r="F47" s="329"/>
      <c r="G47" s="348" t="s">
        <v>27</v>
      </c>
      <c r="H47" s="349"/>
      <c r="I47" s="350"/>
      <c r="J47" s="329"/>
      <c r="K47" s="348" t="s">
        <v>27</v>
      </c>
      <c r="L47" s="349"/>
      <c r="M47" s="350"/>
      <c r="N47" s="329"/>
      <c r="O47" s="348" t="s">
        <v>27</v>
      </c>
      <c r="P47" s="349"/>
      <c r="Q47" s="350"/>
      <c r="R47" s="329"/>
      <c r="S47" s="348" t="s">
        <v>27</v>
      </c>
      <c r="T47" s="350"/>
      <c r="U47" s="325"/>
      <c r="V47" s="337" t="s">
        <v>28</v>
      </c>
      <c r="W47" s="351"/>
      <c r="X47" s="348" t="s">
        <v>27</v>
      </c>
      <c r="Y47" s="352"/>
      <c r="Z47" s="350"/>
      <c r="AA47" s="353"/>
      <c r="AB47" s="348" t="s">
        <v>27</v>
      </c>
      <c r="AC47" s="352"/>
      <c r="AD47" s="350"/>
      <c r="AE47" s="353"/>
      <c r="AF47" s="354" t="s">
        <v>28</v>
      </c>
      <c r="AG47" s="351"/>
      <c r="AH47" s="355" t="s">
        <v>29</v>
      </c>
      <c r="AI47" s="351"/>
      <c r="AJ47" s="351" t="s">
        <v>30</v>
      </c>
      <c r="AK47" s="351"/>
      <c r="AL47" s="356" t="s">
        <v>31</v>
      </c>
      <c r="AN47" s="357" t="s">
        <v>32</v>
      </c>
      <c r="AO47" s="358"/>
      <c r="AP47" s="26"/>
      <c r="AQ47" s="27" t="s">
        <v>33</v>
      </c>
      <c r="AR47" s="203" t="s">
        <v>33</v>
      </c>
      <c r="AS47" s="359"/>
      <c r="AT47" s="360">
        <f>AT34</f>
        <v>36847</v>
      </c>
      <c r="AU47" s="359"/>
      <c r="AV47" s="360">
        <f>+AV5</f>
        <v>36798</v>
      </c>
      <c r="AW47" s="361"/>
      <c r="AX47" s="362"/>
    </row>
    <row r="48" spans="1:50" s="323" customFormat="1" ht="9.9499999999999993" customHeight="1" thickBot="1" x14ac:dyDescent="0.25">
      <c r="A48" s="363" t="s">
        <v>34</v>
      </c>
      <c r="B48" s="329"/>
      <c r="C48" s="347"/>
      <c r="D48" s="329"/>
      <c r="E48" s="347"/>
      <c r="F48" s="329"/>
      <c r="G48" s="364" t="s">
        <v>20</v>
      </c>
      <c r="H48" s="365"/>
      <c r="I48" s="366" t="s">
        <v>37</v>
      </c>
      <c r="J48" s="329"/>
      <c r="K48" s="364" t="s">
        <v>20</v>
      </c>
      <c r="L48" s="365"/>
      <c r="M48" s="366" t="s">
        <v>37</v>
      </c>
      <c r="N48" s="329"/>
      <c r="O48" s="364" t="s">
        <v>20</v>
      </c>
      <c r="P48" s="365"/>
      <c r="Q48" s="366" t="s">
        <v>37</v>
      </c>
      <c r="R48" s="329"/>
      <c r="S48" s="364" t="s">
        <v>20</v>
      </c>
      <c r="T48" s="366" t="s">
        <v>37</v>
      </c>
      <c r="U48" s="367"/>
      <c r="V48" s="368" t="s">
        <v>38</v>
      </c>
      <c r="W48" s="367"/>
      <c r="X48" s="369" t="s">
        <v>91</v>
      </c>
      <c r="Y48" s="370"/>
      <c r="Z48" s="371" t="s">
        <v>37</v>
      </c>
      <c r="AA48" s="347"/>
      <c r="AB48" s="369" t="s">
        <v>91</v>
      </c>
      <c r="AC48" s="370"/>
      <c r="AD48" s="371" t="s">
        <v>37</v>
      </c>
      <c r="AE48" s="347"/>
      <c r="AF48" s="368" t="s">
        <v>39</v>
      </c>
      <c r="AG48" s="367"/>
      <c r="AH48" s="372" t="s">
        <v>40</v>
      </c>
      <c r="AI48" s="367"/>
      <c r="AJ48" s="373" t="s">
        <v>41</v>
      </c>
      <c r="AK48" s="367"/>
      <c r="AL48" s="374" t="s">
        <v>41</v>
      </c>
      <c r="AN48" s="375" t="s">
        <v>42</v>
      </c>
      <c r="AO48" s="376"/>
      <c r="AP48" s="97" t="s">
        <v>43</v>
      </c>
      <c r="AQ48" s="24" t="s">
        <v>44</v>
      </c>
      <c r="AR48" s="204" t="s">
        <v>32</v>
      </c>
      <c r="AS48" s="97" t="s">
        <v>45</v>
      </c>
      <c r="AT48" s="224" t="s">
        <v>46</v>
      </c>
      <c r="AU48" s="97" t="s">
        <v>47</v>
      </c>
      <c r="AV48" s="98" t="s">
        <v>48</v>
      </c>
      <c r="AW48" s="226" t="s">
        <v>49</v>
      </c>
      <c r="AX48" s="98" t="s">
        <v>101</v>
      </c>
    </row>
    <row r="49" spans="1:50" x14ac:dyDescent="0.2">
      <c r="A49" s="92" t="s">
        <v>110</v>
      </c>
      <c r="B49" s="305" t="s">
        <v>111</v>
      </c>
      <c r="C49" s="92" t="s">
        <v>105</v>
      </c>
      <c r="D49" s="4"/>
      <c r="E49" s="123">
        <f>[1]!NPW</f>
        <v>8.6875</v>
      </c>
      <c r="F49" s="4"/>
      <c r="G49" s="92"/>
      <c r="H49" s="88"/>
      <c r="I49" s="92"/>
      <c r="J49" s="4"/>
      <c r="K49" s="92"/>
      <c r="L49" s="88"/>
      <c r="M49" s="92"/>
      <c r="N49" s="4"/>
      <c r="O49" s="92"/>
      <c r="P49" s="88"/>
      <c r="Q49" s="92"/>
      <c r="R49" s="4"/>
      <c r="S49" s="92"/>
      <c r="T49" s="92"/>
      <c r="U49" s="90"/>
      <c r="V49" s="92"/>
      <c r="W49" s="90"/>
      <c r="X49" s="127">
        <v>-3.91</v>
      </c>
      <c r="Y49" s="214"/>
      <c r="Z49" s="389" t="s">
        <v>81</v>
      </c>
      <c r="AA49" s="128"/>
      <c r="AB49" s="127">
        <v>-4.1500000000000004</v>
      </c>
      <c r="AC49" s="214"/>
      <c r="AD49" s="389" t="s">
        <v>81</v>
      </c>
      <c r="AE49" s="128"/>
      <c r="AF49" s="129" t="e">
        <f>(X49-S49)/S49</f>
        <v>#DIV/0!</v>
      </c>
      <c r="AG49" s="130"/>
      <c r="AH49" s="113">
        <f>((+AS49+E49-AT49)/AT49)</f>
        <v>-0.21022727272727273</v>
      </c>
      <c r="AI49" s="130"/>
      <c r="AJ49" s="130">
        <f>((+AU49+E49-AV49)/AV49)</f>
        <v>-0.58630952380952384</v>
      </c>
      <c r="AK49" s="130"/>
      <c r="AL49" s="131">
        <f>((+AW49+E49-AX49)/AX49)</f>
        <v>-0.58630952380952384</v>
      </c>
      <c r="AM49" s="29"/>
      <c r="AN49" s="134">
        <f>AP49/E49</f>
        <v>0</v>
      </c>
      <c r="AO49" s="135"/>
      <c r="AP49" s="136">
        <v>0</v>
      </c>
      <c r="AQ49" s="257"/>
      <c r="AR49" s="205"/>
      <c r="AS49" s="43"/>
      <c r="AT49" s="182">
        <v>11</v>
      </c>
      <c r="AU49" s="43"/>
      <c r="AV49" s="182">
        <v>21</v>
      </c>
      <c r="AW49" s="43">
        <v>0</v>
      </c>
      <c r="AX49" s="182">
        <v>21</v>
      </c>
    </row>
    <row r="50" spans="1:50" x14ac:dyDescent="0.2">
      <c r="A50" s="304" t="s">
        <v>108</v>
      </c>
      <c r="B50" s="305" t="s">
        <v>112</v>
      </c>
      <c r="C50" s="92" t="s">
        <v>106</v>
      </c>
      <c r="D50" s="4"/>
      <c r="E50" s="123">
        <f>[1]!SOE</f>
        <v>23.5</v>
      </c>
      <c r="F50" s="4"/>
      <c r="G50" s="92"/>
      <c r="H50" s="88"/>
      <c r="I50" s="92"/>
      <c r="J50" s="4"/>
      <c r="K50" s="92"/>
      <c r="L50" s="88"/>
      <c r="M50" s="92"/>
      <c r="N50" s="4"/>
      <c r="O50" s="92"/>
      <c r="P50" s="88"/>
      <c r="Q50" s="92"/>
      <c r="R50" s="4"/>
      <c r="S50" s="92"/>
      <c r="T50" s="92"/>
      <c r="U50" s="90"/>
      <c r="V50" s="92"/>
      <c r="W50" s="90"/>
      <c r="X50" s="127">
        <v>1.01</v>
      </c>
      <c r="Y50" s="214"/>
      <c r="Z50" s="126">
        <f>E50/X50</f>
        <v>23.267326732673268</v>
      </c>
      <c r="AA50" s="128"/>
      <c r="AB50" s="127">
        <v>1.1599999999999999</v>
      </c>
      <c r="AC50" s="214"/>
      <c r="AD50" s="126">
        <f>E50/AB50</f>
        <v>20.258620689655174</v>
      </c>
      <c r="AE50" s="128"/>
      <c r="AF50" s="129" t="e">
        <f>(X50-S50)/S50</f>
        <v>#DIV/0!</v>
      </c>
      <c r="AG50" s="130"/>
      <c r="AH50" s="113">
        <f>((+AS50+E50-AT50)/AT50)</f>
        <v>-0.06</v>
      </c>
      <c r="AI50" s="130"/>
      <c r="AJ50" s="130">
        <f>((+AU50+E50-AV50)/AV50)</f>
        <v>-0.25099601593625498</v>
      </c>
      <c r="AK50" s="130"/>
      <c r="AL50" s="131">
        <f>((+AW50+E50-AX50)/AX50)</f>
        <v>6.8181818181818177E-2</v>
      </c>
      <c r="AM50" s="29"/>
      <c r="AN50" s="134">
        <f>AP50/E50</f>
        <v>0</v>
      </c>
      <c r="AO50" s="135"/>
      <c r="AP50" s="136">
        <v>0</v>
      </c>
      <c r="AQ50" s="257"/>
      <c r="AR50" s="205"/>
      <c r="AS50" s="43"/>
      <c r="AT50" s="182">
        <v>25</v>
      </c>
      <c r="AU50" s="43"/>
      <c r="AV50" s="182">
        <v>31.375</v>
      </c>
      <c r="AW50" s="43"/>
      <c r="AX50" s="182">
        <v>22</v>
      </c>
    </row>
    <row r="51" spans="1:50" x14ac:dyDescent="0.2">
      <c r="A51" s="122" t="s">
        <v>109</v>
      </c>
      <c r="B51" s="305" t="s">
        <v>113</v>
      </c>
      <c r="C51" s="114" t="s">
        <v>107</v>
      </c>
      <c r="D51" s="33"/>
      <c r="E51" s="123">
        <f>[1]!NRG</f>
        <v>23.9375</v>
      </c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127">
        <v>1.05</v>
      </c>
      <c r="Y51" s="214"/>
      <c r="Z51" s="126">
        <f>E51/X51</f>
        <v>22.797619047619047</v>
      </c>
      <c r="AA51" s="128"/>
      <c r="AB51" s="127">
        <v>1.25</v>
      </c>
      <c r="AC51" s="214"/>
      <c r="AD51" s="126">
        <f>E51/AB51</f>
        <v>19.149999999999999</v>
      </c>
      <c r="AE51" s="128"/>
      <c r="AF51" s="129" t="e">
        <f>(X51-S51)/S51</f>
        <v>#DIV/0!</v>
      </c>
      <c r="AG51" s="130"/>
      <c r="AH51" s="113">
        <f>((+AS51+E51-AT51)/AT51)</f>
        <v>2.6809651474530832E-2</v>
      </c>
      <c r="AI51" s="130"/>
      <c r="AJ51" s="130">
        <f>((+AU51+E51-AV51)/AV51)</f>
        <v>-0.34417808219178081</v>
      </c>
      <c r="AK51" s="130"/>
      <c r="AL51" s="131">
        <f>((+AW51+E51-AX51)/AX51)</f>
        <v>0.59583333333333333</v>
      </c>
      <c r="AM51" s="29"/>
      <c r="AN51" s="134">
        <f>AP51/E51</f>
        <v>0</v>
      </c>
      <c r="AO51" s="135"/>
      <c r="AP51" s="136">
        <v>0</v>
      </c>
      <c r="AQ51" s="257"/>
      <c r="AR51" s="205"/>
      <c r="AS51" s="43"/>
      <c r="AT51" s="182">
        <v>23.3125</v>
      </c>
      <c r="AU51" s="43"/>
      <c r="AV51" s="182">
        <v>36.5</v>
      </c>
      <c r="AW51" s="43"/>
      <c r="AX51" s="182">
        <v>15</v>
      </c>
    </row>
    <row r="52" spans="1:50" x14ac:dyDescent="0.2">
      <c r="A52" s="122"/>
      <c r="B52" s="305"/>
      <c r="C52" s="114"/>
      <c r="D52" s="33"/>
      <c r="E52" s="12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306"/>
      <c r="Y52" s="214"/>
      <c r="Z52" s="126"/>
      <c r="AA52" s="128"/>
      <c r="AB52" s="306"/>
      <c r="AC52" s="214"/>
      <c r="AD52" s="126"/>
      <c r="AE52" s="128"/>
      <c r="AF52" s="130"/>
      <c r="AG52" s="130"/>
      <c r="AH52" s="113"/>
      <c r="AI52" s="130"/>
      <c r="AJ52" s="130"/>
      <c r="AK52" s="130"/>
      <c r="AL52" s="131"/>
      <c r="AM52" s="29"/>
      <c r="AN52" s="134"/>
      <c r="AO52" s="264"/>
      <c r="AP52" s="136"/>
      <c r="AQ52" s="257"/>
      <c r="AR52" s="205"/>
      <c r="AS52" s="43"/>
      <c r="AT52" s="384"/>
      <c r="AU52" s="43"/>
      <c r="AV52" s="182"/>
      <c r="AW52" s="43"/>
      <c r="AX52" s="182"/>
    </row>
    <row r="53" spans="1:50" ht="14.25" customHeight="1" x14ac:dyDescent="0.2">
      <c r="A53" s="66" t="s">
        <v>118</v>
      </c>
      <c r="B53" s="33"/>
      <c r="C53" s="34"/>
      <c r="D53" s="33"/>
      <c r="E53" s="123"/>
      <c r="F53" s="33"/>
      <c r="G53" s="35"/>
      <c r="H53" s="36"/>
      <c r="I53" s="31"/>
      <c r="J53" s="66"/>
      <c r="K53" s="35"/>
      <c r="L53" s="10"/>
      <c r="M53" s="31"/>
      <c r="N53" s="33"/>
      <c r="O53" s="35"/>
      <c r="P53" s="36"/>
      <c r="Q53" s="10"/>
      <c r="R53" s="67"/>
      <c r="S53" s="10"/>
      <c r="T53" s="10"/>
      <c r="U53" s="10"/>
      <c r="V53" s="130"/>
      <c r="W53" s="130"/>
      <c r="X53" s="309"/>
      <c r="Y53" s="307"/>
      <c r="Z53" s="308"/>
      <c r="AA53" s="10"/>
      <c r="AB53" s="309"/>
      <c r="AC53" s="307"/>
      <c r="AD53" s="308"/>
      <c r="AE53" s="10"/>
      <c r="AF53" s="130"/>
      <c r="AG53" s="130"/>
      <c r="AH53" s="274">
        <f>AVERAGE(AH49:AH51)</f>
        <v>-8.1139207084247308E-2</v>
      </c>
      <c r="AI53" s="143"/>
      <c r="AJ53" s="275">
        <f>AVERAGE(AJ49:AJ51)</f>
        <v>-0.39382787397918656</v>
      </c>
      <c r="AK53" s="143"/>
      <c r="AL53" s="385">
        <f>AVERAGE(AL49:AL51)</f>
        <v>2.5901875901875909E-2</v>
      </c>
      <c r="AM53" s="11"/>
      <c r="AN53" s="141"/>
      <c r="AO53" s="130"/>
      <c r="AP53" s="317"/>
      <c r="AQ53" s="310"/>
      <c r="AR53" s="311"/>
      <c r="AS53" s="312"/>
      <c r="AT53" s="313"/>
      <c r="AU53" s="314"/>
      <c r="AV53" s="315"/>
      <c r="AW53" s="316"/>
      <c r="AX53" s="315"/>
    </row>
    <row r="54" spans="1:50" ht="10.5" customHeight="1" x14ac:dyDescent="0.2">
      <c r="A54" s="33"/>
      <c r="B54" s="33"/>
      <c r="C54" s="34"/>
      <c r="D54" s="33"/>
      <c r="E54" s="123"/>
      <c r="F54" s="33"/>
      <c r="G54" s="10"/>
      <c r="H54" s="36"/>
      <c r="I54" s="10"/>
      <c r="J54" s="66"/>
      <c r="K54" s="10"/>
      <c r="L54" s="10"/>
      <c r="M54" s="10"/>
      <c r="N54" s="33"/>
      <c r="O54" s="10"/>
      <c r="P54" s="36"/>
      <c r="Q54" s="10"/>
      <c r="R54" s="67"/>
      <c r="S54" s="10"/>
      <c r="T54" s="10"/>
      <c r="U54" s="10"/>
      <c r="V54" s="130"/>
      <c r="W54" s="130"/>
      <c r="X54" s="10"/>
      <c r="Y54" s="10"/>
      <c r="Z54" s="10"/>
      <c r="AA54" s="10"/>
      <c r="AB54" s="10"/>
      <c r="AC54" s="10"/>
      <c r="AD54" s="286"/>
      <c r="AE54" s="10"/>
      <c r="AF54" s="130"/>
      <c r="AG54" s="130"/>
      <c r="AH54" s="130"/>
      <c r="AI54" s="130"/>
      <c r="AJ54" s="130"/>
      <c r="AK54" s="130"/>
      <c r="AL54" s="130"/>
      <c r="AM54" s="11"/>
      <c r="AN54" s="130"/>
      <c r="AO54" s="130"/>
      <c r="AP54" s="287"/>
      <c r="AQ54" s="137"/>
      <c r="AR54" s="301"/>
      <c r="AS54" s="302"/>
      <c r="AT54" s="57"/>
      <c r="AU54" s="279"/>
      <c r="AV54" s="229"/>
      <c r="AW54" s="229"/>
      <c r="AX54" s="229"/>
    </row>
    <row r="55" spans="1:50" ht="10.5" customHeight="1" x14ac:dyDescent="0.2">
      <c r="A55" s="33"/>
      <c r="B55" s="33"/>
      <c r="C55" s="34"/>
      <c r="D55" s="33"/>
      <c r="E55" s="123"/>
      <c r="F55" s="33"/>
      <c r="G55" s="10"/>
      <c r="H55" s="36"/>
      <c r="I55" s="10"/>
      <c r="J55" s="66"/>
      <c r="K55" s="10"/>
      <c r="L55" s="10"/>
      <c r="M55" s="10"/>
      <c r="N55" s="33"/>
      <c r="O55" s="10"/>
      <c r="P55" s="36"/>
      <c r="Q55" s="10"/>
      <c r="R55" s="67"/>
      <c r="S55" s="10"/>
      <c r="T55" s="10"/>
      <c r="U55" s="10"/>
      <c r="V55" s="130"/>
      <c r="W55" s="130"/>
      <c r="X55" s="10"/>
      <c r="Y55" s="10"/>
      <c r="Z55" s="10"/>
      <c r="AA55" s="10"/>
      <c r="AB55" s="10"/>
      <c r="AC55" s="10"/>
      <c r="AD55" s="286"/>
      <c r="AE55" s="10"/>
      <c r="AF55" s="130"/>
      <c r="AG55" s="130"/>
      <c r="AH55" s="130"/>
      <c r="AI55" s="130"/>
      <c r="AJ55" s="130"/>
      <c r="AK55" s="130"/>
      <c r="AL55" s="130"/>
      <c r="AM55" s="11"/>
      <c r="AN55" s="130"/>
      <c r="AO55" s="130"/>
      <c r="AP55" s="287"/>
      <c r="AQ55" s="137"/>
      <c r="AR55" s="301"/>
      <c r="AS55" s="302"/>
      <c r="AT55" s="57"/>
      <c r="AU55" s="279"/>
      <c r="AV55" s="229"/>
      <c r="AW55" s="229"/>
      <c r="AX55" s="229"/>
    </row>
    <row r="56" spans="1:50" ht="9.9499999999999993" customHeight="1" x14ac:dyDescent="0.2">
      <c r="A56" s="283" t="s">
        <v>128</v>
      </c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261"/>
      <c r="Y56" s="66"/>
      <c r="Z56" s="66"/>
      <c r="AA56" s="66"/>
      <c r="AB56" s="261"/>
      <c r="AC56" s="66"/>
      <c r="AD56" s="193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7"/>
      <c r="AQ56" s="148"/>
      <c r="AR56" s="208"/>
      <c r="AS56" s="11"/>
    </row>
    <row r="57" spans="1:50" ht="9.9499999999999993" customHeight="1" x14ac:dyDescent="0.2">
      <c r="A57" s="283" t="s">
        <v>129</v>
      </c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261"/>
      <c r="Y57" s="66"/>
      <c r="Z57" s="66"/>
      <c r="AA57" s="66"/>
      <c r="AB57" s="261"/>
      <c r="AC57" s="66"/>
      <c r="AD57" s="193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7"/>
      <c r="AQ57" s="148"/>
      <c r="AR57" s="208"/>
      <c r="AS57" s="11"/>
    </row>
    <row r="58" spans="1:50" ht="9.9499999999999993" customHeight="1" x14ac:dyDescent="0.2">
      <c r="A58" s="283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Y58" s="66"/>
      <c r="Z58" s="66"/>
      <c r="AA58" s="66"/>
      <c r="AB58" s="261"/>
      <c r="AC58" s="66"/>
      <c r="AD58" s="193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7"/>
      <c r="AQ58" s="148"/>
      <c r="AR58" s="208"/>
      <c r="AS58" s="11"/>
    </row>
    <row r="59" spans="1:50" ht="9.9499999999999993" customHeight="1" x14ac:dyDescent="0.2">
      <c r="A59" s="283" t="s">
        <v>94</v>
      </c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Y59" s="66"/>
      <c r="Z59" s="66"/>
      <c r="AA59" s="66"/>
      <c r="AB59" s="261"/>
      <c r="AC59" s="66"/>
      <c r="AD59" s="193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7"/>
      <c r="AQ59" s="148"/>
      <c r="AR59" s="208"/>
      <c r="AS59" s="11"/>
    </row>
    <row r="60" spans="1:50" ht="9.9499999999999993" customHeight="1" x14ac:dyDescent="0.2">
      <c r="A60" s="283" t="s">
        <v>103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66"/>
      <c r="AA60" s="66"/>
      <c r="AB60" s="66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4.5" customHeight="1" x14ac:dyDescent="0.2">
      <c r="A61" s="146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66"/>
      <c r="Y61" s="66"/>
      <c r="Z61" s="66"/>
      <c r="AA61" s="66"/>
      <c r="AB61" s="66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3" t="s">
        <v>114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66"/>
      <c r="Y62" s="66"/>
      <c r="Z62" s="66"/>
      <c r="AA62" s="66"/>
      <c r="AB62" s="66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3" t="s">
        <v>115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9.9499999999999993" customHeight="1" x14ac:dyDescent="0.2">
      <c r="A64" s="283" t="s">
        <v>116</v>
      </c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x14ac:dyDescent="0.2">
      <c r="A65" s="146"/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x14ac:dyDescent="0.2">
      <c r="A66" s="146"/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18" customHeight="1" x14ac:dyDescent="0.2">
      <c r="A67" s="122"/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199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ht="9.75" customHeight="1" x14ac:dyDescent="0.25">
      <c r="A68" s="54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7"/>
      <c r="U68" s="67"/>
      <c r="V68" s="12"/>
      <c r="W68" s="12"/>
      <c r="X68" s="67"/>
      <c r="Y68" s="67"/>
      <c r="Z68" s="66"/>
      <c r="AA68" s="66"/>
      <c r="AB68" s="139"/>
      <c r="AC68" s="67"/>
      <c r="AD68" s="66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ht="15.75" x14ac:dyDescent="0.25">
      <c r="A69" s="149" t="s">
        <v>6</v>
      </c>
      <c r="B69" s="150"/>
      <c r="C69" s="151"/>
      <c r="D69" s="75"/>
      <c r="E69" s="152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153" t="s">
        <v>7</v>
      </c>
      <c r="T69" s="190"/>
      <c r="U69" s="190"/>
      <c r="V69" s="190"/>
      <c r="W69" s="190"/>
      <c r="X69" s="153" t="s">
        <v>64</v>
      </c>
      <c r="Y69" s="153"/>
      <c r="Z69" s="190"/>
      <c r="AA69" s="190"/>
      <c r="AB69" s="192" t="s">
        <v>72</v>
      </c>
      <c r="AC69" s="216"/>
      <c r="AD69" s="48"/>
      <c r="AE69" s="48"/>
      <c r="AF69" s="48"/>
      <c r="AG69" s="44"/>
      <c r="AH69" s="44"/>
      <c r="AI69" s="44"/>
      <c r="AJ69" s="54"/>
      <c r="AK69" s="44"/>
      <c r="AL69" s="54"/>
      <c r="AM69" s="54"/>
      <c r="AN69" s="54"/>
      <c r="AR69" s="209"/>
    </row>
    <row r="70" spans="1:45" ht="12.75" customHeight="1" x14ac:dyDescent="0.25">
      <c r="A70" s="154" t="s">
        <v>8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5" t="s">
        <v>9</v>
      </c>
      <c r="T70" s="44"/>
      <c r="U70" s="44"/>
      <c r="V70" s="44"/>
      <c r="W70" s="44"/>
      <c r="X70" s="155" t="s">
        <v>9</v>
      </c>
      <c r="Y70" s="155"/>
      <c r="Z70" s="44"/>
      <c r="AA70" s="44"/>
      <c r="AB70" s="156" t="s">
        <v>9</v>
      </c>
      <c r="AC70" s="155"/>
      <c r="AD70" s="48"/>
      <c r="AE70" s="48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5" ht="15.75" x14ac:dyDescent="0.25">
      <c r="A71" s="157" t="s">
        <v>10</v>
      </c>
      <c r="B71" s="186"/>
      <c r="C71" s="186"/>
      <c r="D71" s="186"/>
      <c r="E71" s="186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8">
        <v>2</v>
      </c>
      <c r="T71" s="44"/>
      <c r="U71" s="44"/>
      <c r="V71" s="44"/>
      <c r="W71" s="44"/>
      <c r="X71" s="221">
        <v>1.4</v>
      </c>
      <c r="Y71" s="188"/>
      <c r="Z71" s="44"/>
      <c r="AA71" s="44"/>
      <c r="AB71" s="159">
        <v>1.65</v>
      </c>
      <c r="AC71" s="189"/>
      <c r="AD71" s="48"/>
      <c r="AE71" s="48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5" ht="15.75" x14ac:dyDescent="0.25">
      <c r="A72" s="157" t="s">
        <v>66</v>
      </c>
      <c r="B72" s="186"/>
      <c r="C72" s="186"/>
      <c r="D72" s="186"/>
      <c r="E72" s="186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8">
        <v>2</v>
      </c>
      <c r="T72" s="44"/>
      <c r="U72" s="44"/>
      <c r="V72" s="44"/>
      <c r="W72" s="44"/>
      <c r="X72" s="189">
        <v>1.43</v>
      </c>
      <c r="Y72" s="189"/>
      <c r="Z72" s="44"/>
      <c r="AA72" s="44"/>
      <c r="AB72" s="159">
        <v>1.65</v>
      </c>
      <c r="AC72" s="189"/>
      <c r="AD72" s="48"/>
      <c r="AE72" s="48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5" ht="15.75" x14ac:dyDescent="0.25">
      <c r="A73" s="157" t="s">
        <v>11</v>
      </c>
      <c r="B73" s="186"/>
      <c r="C73" s="186"/>
      <c r="D73" s="186"/>
      <c r="E73" s="186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8">
        <v>2</v>
      </c>
      <c r="T73" s="44"/>
      <c r="U73" s="44"/>
      <c r="V73" s="44"/>
      <c r="W73" s="44"/>
      <c r="X73" s="189">
        <v>1.42</v>
      </c>
      <c r="Y73" s="189"/>
      <c r="Z73" s="44"/>
      <c r="AA73" s="44"/>
      <c r="AB73" s="159">
        <v>1.65</v>
      </c>
      <c r="AC73" s="189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67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/>
      <c r="T74" s="44"/>
      <c r="U74" s="44"/>
      <c r="V74" s="44"/>
      <c r="W74" s="44"/>
      <c r="X74" s="285">
        <v>1.4</v>
      </c>
      <c r="Y74" s="189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70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/>
      <c r="T75" s="160"/>
      <c r="U75" s="44"/>
      <c r="V75" s="44"/>
      <c r="W75" s="44"/>
      <c r="X75" s="189">
        <v>1.4</v>
      </c>
      <c r="Y75" s="189"/>
      <c r="Z75" s="160"/>
      <c r="AA75" s="160"/>
      <c r="AB75" s="159">
        <v>1.65</v>
      </c>
      <c r="AC75" s="189"/>
      <c r="AD75" s="161"/>
      <c r="AE75" s="161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62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160"/>
      <c r="U76" s="44"/>
      <c r="V76" s="44"/>
      <c r="W76" s="44"/>
      <c r="X76" s="189">
        <v>1.5</v>
      </c>
      <c r="Y76" s="189"/>
      <c r="Z76" s="160"/>
      <c r="AA76" s="160"/>
      <c r="AB76" s="159">
        <v>1.75</v>
      </c>
      <c r="AC76" s="189"/>
      <c r="AD76" s="161"/>
      <c r="AE76" s="161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s="6" customFormat="1" ht="15.75" x14ac:dyDescent="0.25">
      <c r="A77" s="162" t="s">
        <v>12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>
        <v>2</v>
      </c>
      <c r="T77" s="163"/>
      <c r="U77" s="164"/>
      <c r="V77" s="164"/>
      <c r="W77" s="164"/>
      <c r="X77" s="189">
        <v>1.4</v>
      </c>
      <c r="Y77" s="189"/>
      <c r="Z77" s="163"/>
      <c r="AA77" s="163"/>
      <c r="AB77" s="159">
        <v>1.65</v>
      </c>
      <c r="AC77" s="189"/>
      <c r="AD77" s="166"/>
      <c r="AE77" s="166"/>
      <c r="AF77" s="165"/>
      <c r="AG77" s="164"/>
      <c r="AH77" s="164"/>
      <c r="AI77" s="45"/>
      <c r="AJ77" s="46"/>
      <c r="AK77" s="45"/>
      <c r="AL77" s="46"/>
      <c r="AM77" s="46"/>
      <c r="AN77" s="46"/>
      <c r="AQ77" s="19"/>
      <c r="AR77" s="210"/>
    </row>
    <row r="78" spans="1:45" s="6" customFormat="1" ht="15.75" x14ac:dyDescent="0.25">
      <c r="A78" s="162" t="s">
        <v>102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/>
      <c r="T78" s="163"/>
      <c r="U78" s="164"/>
      <c r="V78" s="164"/>
      <c r="W78" s="164"/>
      <c r="X78" s="189">
        <v>1.44</v>
      </c>
      <c r="Y78" s="189"/>
      <c r="Z78" s="163"/>
      <c r="AA78" s="163"/>
      <c r="AB78" s="159">
        <v>1.63</v>
      </c>
      <c r="AC78" s="189"/>
      <c r="AD78" s="166"/>
      <c r="AE78" s="166"/>
      <c r="AF78" s="165"/>
      <c r="AG78" s="164"/>
      <c r="AH78" s="164"/>
      <c r="AI78" s="45"/>
      <c r="AJ78" s="46"/>
      <c r="AK78" s="45"/>
      <c r="AL78" s="46"/>
      <c r="AM78" s="46"/>
      <c r="AN78" s="46"/>
      <c r="AQ78" s="19"/>
      <c r="AR78" s="210"/>
    </row>
    <row r="79" spans="1:45" s="6" customFormat="1" ht="15.75" x14ac:dyDescent="0.25">
      <c r="A79" s="162" t="s">
        <v>65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3"/>
      <c r="U79" s="164"/>
      <c r="V79" s="164"/>
      <c r="W79" s="164"/>
      <c r="X79" s="189">
        <v>1.41</v>
      </c>
      <c r="Y79" s="189"/>
      <c r="Z79" s="163"/>
      <c r="AA79" s="163"/>
      <c r="AB79" s="159">
        <v>1.69</v>
      </c>
      <c r="AC79" s="189"/>
      <c r="AD79" s="166"/>
      <c r="AE79" s="166"/>
      <c r="AF79" s="165"/>
      <c r="AG79" s="164"/>
      <c r="AH79" s="164"/>
      <c r="AI79" s="45"/>
      <c r="AJ79" s="46"/>
      <c r="AK79" s="45"/>
      <c r="AL79" s="46"/>
      <c r="AM79" s="46"/>
      <c r="AN79" s="46"/>
      <c r="AQ79" s="19"/>
      <c r="AR79" s="210"/>
    </row>
    <row r="80" spans="1:45" s="6" customFormat="1" ht="15.75" x14ac:dyDescent="0.25">
      <c r="A80" s="162" t="s">
        <v>13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3"/>
      <c r="U80" s="164"/>
      <c r="V80" s="164"/>
      <c r="W80" s="164"/>
      <c r="X80" s="189">
        <v>1.42</v>
      </c>
      <c r="Y80" s="189"/>
      <c r="Z80" s="163"/>
      <c r="AA80" s="163"/>
      <c r="AB80" s="159">
        <v>1.65</v>
      </c>
      <c r="AC80" s="189"/>
      <c r="AD80" s="166"/>
      <c r="AE80" s="166"/>
      <c r="AF80" s="165"/>
      <c r="AG80" s="164"/>
      <c r="AH80" s="164"/>
      <c r="AI80" s="45"/>
      <c r="AJ80" s="45"/>
      <c r="AK80" s="45"/>
      <c r="AL80" s="46"/>
      <c r="AM80" s="46"/>
      <c r="AN80" s="46"/>
      <c r="AQ80" s="19"/>
      <c r="AR80" s="210"/>
    </row>
    <row r="81" spans="1:44" s="6" customFormat="1" ht="15.75" x14ac:dyDescent="0.25">
      <c r="A81" s="162" t="s">
        <v>14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3"/>
      <c r="U81" s="164"/>
      <c r="V81" s="164"/>
      <c r="W81" s="164"/>
      <c r="X81" s="189">
        <v>1.41</v>
      </c>
      <c r="Y81" s="189"/>
      <c r="Z81" s="163"/>
      <c r="AA81" s="163"/>
      <c r="AB81" s="159">
        <v>1.61</v>
      </c>
      <c r="AC81" s="189"/>
      <c r="AD81" s="166"/>
      <c r="AE81" s="166"/>
      <c r="AF81" s="165"/>
      <c r="AG81" s="164"/>
      <c r="AH81" s="164"/>
      <c r="AI81" s="45"/>
      <c r="AJ81" s="45"/>
      <c r="AK81" s="45"/>
      <c r="AL81" s="46"/>
      <c r="AM81" s="46"/>
      <c r="AN81" s="46"/>
      <c r="AQ81" s="19"/>
      <c r="AR81" s="210"/>
    </row>
    <row r="82" spans="1:44" ht="15.75" x14ac:dyDescent="0.25">
      <c r="A82" s="162" t="s">
        <v>15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1.98</v>
      </c>
      <c r="T82" s="160"/>
      <c r="U82" s="167"/>
      <c r="V82" s="167"/>
      <c r="W82" s="167"/>
      <c r="X82" s="189">
        <v>1.45</v>
      </c>
      <c r="Y82" s="189"/>
      <c r="Z82" s="160"/>
      <c r="AA82" s="160"/>
      <c r="AB82" s="159">
        <v>1.7</v>
      </c>
      <c r="AC82" s="189"/>
      <c r="AD82" s="161"/>
      <c r="AE82" s="161"/>
      <c r="AF82" s="168"/>
      <c r="AG82" s="167"/>
      <c r="AH82" s="167"/>
      <c r="AI82" s="47"/>
      <c r="AJ82" s="47"/>
      <c r="AK82" s="47"/>
      <c r="AL82" s="49"/>
      <c r="AM82" s="49"/>
      <c r="AN82" s="49"/>
      <c r="AP82" s="1"/>
      <c r="AQ82" s="2"/>
      <c r="AR82" s="211"/>
    </row>
    <row r="83" spans="1:44" ht="15.75" x14ac:dyDescent="0.25">
      <c r="A83" s="162" t="s">
        <v>16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>
        <v>2.0099999999999998</v>
      </c>
      <c r="T83" s="160"/>
      <c r="U83" s="167"/>
      <c r="V83" s="167"/>
      <c r="W83" s="167"/>
      <c r="X83" s="189">
        <v>1.4</v>
      </c>
      <c r="Y83" s="189"/>
      <c r="Z83" s="160"/>
      <c r="AA83" s="160"/>
      <c r="AB83" s="159">
        <v>1.65</v>
      </c>
      <c r="AC83" s="189"/>
      <c r="AD83" s="161"/>
      <c r="AE83" s="161"/>
      <c r="AF83" s="168"/>
      <c r="AG83" s="167"/>
      <c r="AH83" s="167"/>
      <c r="AI83" s="47"/>
      <c r="AJ83" s="47"/>
      <c r="AK83" s="47"/>
      <c r="AL83" s="49"/>
      <c r="AM83" s="49"/>
      <c r="AN83" s="49"/>
      <c r="AP83" s="1"/>
      <c r="AQ83" s="2"/>
      <c r="AR83" s="211"/>
    </row>
    <row r="84" spans="1:44" ht="15.75" x14ac:dyDescent="0.25">
      <c r="A84" s="162" t="s">
        <v>98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0"/>
      <c r="U84" s="167"/>
      <c r="V84" s="167"/>
      <c r="W84" s="167"/>
      <c r="X84" s="189">
        <v>1.43</v>
      </c>
      <c r="Y84" s="189"/>
      <c r="Z84" s="160"/>
      <c r="AA84" s="160"/>
      <c r="AB84" s="159">
        <v>1.7</v>
      </c>
      <c r="AC84" s="189"/>
      <c r="AD84" s="161"/>
      <c r="AE84" s="161"/>
      <c r="AF84" s="168"/>
      <c r="AG84" s="167"/>
      <c r="AH84" s="167"/>
      <c r="AI84" s="47"/>
      <c r="AJ84" s="47"/>
      <c r="AK84" s="47"/>
      <c r="AL84" s="49"/>
      <c r="AM84" s="49"/>
      <c r="AN84" s="49"/>
      <c r="AP84" s="1"/>
      <c r="AQ84" s="2"/>
      <c r="AR84" s="211"/>
    </row>
    <row r="85" spans="1:44" ht="15.75" x14ac:dyDescent="0.25">
      <c r="A85" s="162" t="s">
        <v>59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>
        <v>2</v>
      </c>
      <c r="T85" s="160"/>
      <c r="U85" s="167"/>
      <c r="V85" s="167"/>
      <c r="W85" s="167"/>
      <c r="X85" s="189">
        <v>1.4</v>
      </c>
      <c r="Y85" s="189"/>
      <c r="Z85" s="160"/>
      <c r="AA85" s="160"/>
      <c r="AB85" s="159">
        <v>1.57</v>
      </c>
      <c r="AC85" s="189"/>
      <c r="AD85" s="161"/>
      <c r="AE85" s="161"/>
      <c r="AF85" s="168"/>
      <c r="AG85" s="167"/>
      <c r="AH85" s="167"/>
      <c r="AI85" s="47"/>
      <c r="AJ85" s="47"/>
      <c r="AK85" s="47"/>
      <c r="AL85" s="49"/>
      <c r="AM85" s="49"/>
      <c r="AN85" s="49"/>
      <c r="AP85" s="1"/>
      <c r="AQ85" s="2"/>
      <c r="AR85" s="211"/>
    </row>
    <row r="86" spans="1:44" ht="15.75" x14ac:dyDescent="0.25">
      <c r="A86" s="162" t="s">
        <v>84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/>
      <c r="T86" s="160"/>
      <c r="U86" s="167"/>
      <c r="V86" s="167"/>
      <c r="W86" s="167"/>
      <c r="X86" s="189">
        <v>1.41</v>
      </c>
      <c r="Y86" s="189"/>
      <c r="Z86" s="160"/>
      <c r="AA86" s="160"/>
      <c r="AB86" s="159">
        <v>1.69</v>
      </c>
      <c r="AC86" s="189"/>
      <c r="AD86" s="161"/>
      <c r="AE86" s="161"/>
      <c r="AF86" s="168"/>
      <c r="AG86" s="167"/>
      <c r="AH86" s="167"/>
      <c r="AI86" s="47"/>
      <c r="AJ86" s="47"/>
      <c r="AK86" s="47"/>
      <c r="AL86" s="49"/>
      <c r="AM86" s="49"/>
      <c r="AN86" s="49"/>
      <c r="AP86" s="1"/>
      <c r="AQ86" s="2"/>
      <c r="AR86" s="211"/>
    </row>
    <row r="87" spans="1:44" ht="15.75" x14ac:dyDescent="0.25">
      <c r="A87" s="388" t="s">
        <v>119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2</v>
      </c>
      <c r="T87" s="160"/>
      <c r="U87" s="167"/>
      <c r="V87" s="167"/>
      <c r="W87" s="167"/>
      <c r="X87" s="189">
        <v>1.42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9"/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/>
      <c r="T88" s="160"/>
      <c r="U88" s="167"/>
      <c r="V88" s="167"/>
      <c r="W88" s="167"/>
      <c r="X88" s="189"/>
      <c r="Y88" s="189"/>
      <c r="Z88" s="160"/>
      <c r="AA88" s="160"/>
      <c r="AB88" s="159"/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47"/>
      <c r="AQ88" s="148"/>
      <c r="AR88" s="208"/>
    </row>
    <row r="89" spans="1:44" ht="15.75" x14ac:dyDescent="0.25">
      <c r="A89" s="170" t="s">
        <v>17</v>
      </c>
      <c r="B89" s="171"/>
      <c r="C89" s="171"/>
      <c r="D89" s="171"/>
      <c r="E89" s="171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91">
        <f>AVERAGE(S71:S86)</f>
        <v>1.9988888888888892</v>
      </c>
      <c r="T89" s="173"/>
      <c r="U89" s="174"/>
      <c r="V89" s="174"/>
      <c r="W89" s="174"/>
      <c r="X89" s="196">
        <f>AVERAGE(X71:X87)</f>
        <v>1.42</v>
      </c>
      <c r="Y89" s="196"/>
      <c r="Z89" s="173"/>
      <c r="AA89" s="173"/>
      <c r="AB89" s="260">
        <f>AVERAGE(AB71:AB87)</f>
        <v>1.658235294117647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47"/>
      <c r="AQ89" s="148"/>
      <c r="AR89" s="208"/>
    </row>
    <row r="90" spans="1:44" ht="15.75" x14ac:dyDescent="0.25">
      <c r="C90" s="1"/>
      <c r="U90" s="1"/>
      <c r="W90" s="1"/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47"/>
      <c r="AQ90" s="148"/>
      <c r="AR90" s="208"/>
    </row>
    <row r="91" spans="1:44" ht="15.75" x14ac:dyDescent="0.25">
      <c r="A91" s="4"/>
      <c r="C91" s="1"/>
      <c r="U91" s="1"/>
      <c r="W91" s="1"/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47"/>
      <c r="AQ91" s="148"/>
      <c r="AR91" s="208"/>
    </row>
    <row r="92" spans="1:44" ht="15.75" x14ac:dyDescent="0.25">
      <c r="A92" s="4"/>
      <c r="B92" s="4"/>
      <c r="C92" s="17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176"/>
      <c r="T92" s="176"/>
      <c r="U92" s="177"/>
      <c r="V92" s="178"/>
      <c r="W92" s="177"/>
      <c r="X92" s="176"/>
      <c r="Y92" s="176"/>
      <c r="Z92" s="176"/>
      <c r="AA92" s="176"/>
      <c r="AB92" s="176"/>
      <c r="AC92" s="176"/>
      <c r="AD92" s="176"/>
      <c r="AE92" s="176"/>
      <c r="AF92" s="178"/>
      <c r="AG92" s="177"/>
      <c r="AH92" s="177"/>
      <c r="AP92" s="147"/>
      <c r="AQ92" s="148"/>
      <c r="AR92" s="208"/>
    </row>
    <row r="93" spans="1:44" ht="15.75" x14ac:dyDescent="0.25">
      <c r="A93" s="179"/>
      <c r="B93" s="4"/>
      <c r="C93" s="17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176"/>
      <c r="T93" s="176"/>
      <c r="U93" s="177"/>
      <c r="V93" s="178"/>
      <c r="W93" s="177"/>
      <c r="X93" s="176"/>
      <c r="Y93" s="176"/>
      <c r="Z93" s="176"/>
      <c r="AA93" s="176"/>
      <c r="AB93" s="176"/>
      <c r="AC93" s="176"/>
      <c r="AD93" s="176"/>
      <c r="AE93" s="176"/>
      <c r="AF93" s="178"/>
      <c r="AG93" s="177"/>
      <c r="AH93" s="177"/>
    </row>
    <row r="94" spans="1:44" ht="15.75" x14ac:dyDescent="0.25">
      <c r="B94" s="4"/>
      <c r="C94" s="17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177"/>
      <c r="V94" s="178"/>
      <c r="W94" s="177"/>
      <c r="X94" s="4"/>
      <c r="Y94" s="4"/>
      <c r="Z94" s="4"/>
      <c r="AA94" s="4"/>
      <c r="AB94" s="4"/>
      <c r="AC94" s="4"/>
      <c r="AD94" s="4"/>
      <c r="AE94" s="4"/>
      <c r="AF94" s="178"/>
      <c r="AG94" s="177"/>
      <c r="AH94" s="177"/>
    </row>
    <row r="95" spans="1:44" ht="15.75" x14ac:dyDescent="0.25">
      <c r="A95" s="4"/>
      <c r="B95" s="4"/>
      <c r="C95" s="17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177"/>
      <c r="V95" s="178"/>
      <c r="W95" s="177"/>
      <c r="X95" s="4"/>
      <c r="Y95" s="4"/>
      <c r="Z95" s="4"/>
      <c r="AA95" s="4"/>
      <c r="AB95" s="4"/>
      <c r="AC95" s="4"/>
      <c r="AD95" s="4"/>
      <c r="AE95" s="4"/>
      <c r="AF95" s="178"/>
      <c r="AG95" s="177"/>
      <c r="AH95" s="177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31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31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31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31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</sheetData>
  <mergeCells count="7">
    <mergeCell ref="X46:Z46"/>
    <mergeCell ref="AB46:AD46"/>
    <mergeCell ref="X27:AB27"/>
    <mergeCell ref="X4:Z4"/>
    <mergeCell ref="AB4:AD4"/>
    <mergeCell ref="X33:Z33"/>
    <mergeCell ref="AB33:AD33"/>
  </mergeCells>
  <printOptions horizontalCentered="1" verticalCentered="1"/>
  <pageMargins left="0.12" right="0" top="0" bottom="0" header="0.5" footer="0"/>
  <pageSetup scale="62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2000-11-24T18:07:06Z</cp:lastPrinted>
  <dcterms:created xsi:type="dcterms:W3CDTF">1997-07-25T21:14:12Z</dcterms:created>
  <dcterms:modified xsi:type="dcterms:W3CDTF">2014-09-04T14:08:48Z</dcterms:modified>
</cp:coreProperties>
</file>