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75" yWindow="390" windowWidth="12120" windowHeight="6120" tabRatio="838" firstSheet="11" activeTab="12"/>
  </bookViews>
  <sheets>
    <sheet name="Explaination about this model" sheetId="39" state="hidden" r:id="rId1"/>
    <sheet name="Org Chart" sheetId="41" r:id="rId2"/>
    <sheet name="Summary" sheetId="38" state="hidden" r:id="rId3"/>
    <sheet name="Assumptions" sheetId="24" r:id="rId4"/>
    <sheet name="Fin Stats and Ratios" sheetId="42" r:id="rId5"/>
    <sheet name="Debt" sheetId="43" r:id="rId6"/>
    <sheet name="Lev. Consolid" sheetId="37" r:id="rId7"/>
    <sheet name="Unlev. Consolid" sheetId="9" r:id="rId8"/>
    <sheet name="Consolid IS" sheetId="55" r:id="rId9"/>
    <sheet name="Consolid BS" sheetId="54" r:id="rId10"/>
    <sheet name="Consolid CF" sheetId="56" r:id="rId11"/>
    <sheet name="Pipeline Co DCF" sheetId="35" r:id="rId12"/>
    <sheet name="Pipeline Co IS" sheetId="53" r:id="rId13"/>
    <sheet name="Pipeline Co BS" sheetId="51" r:id="rId14"/>
    <sheet name="Pipeline Co CF" sheetId="52" r:id="rId15"/>
    <sheet name="Pipeline Vols" sheetId="44" r:id="rId16"/>
    <sheet name="Consumers DCF" sheetId="48" r:id="rId17"/>
    <sheet name="Corp DCF" sheetId="49" r:id="rId18"/>
    <sheet name="Curves" sheetId="45" r:id="rId19"/>
    <sheet name="Scenarios" sheetId="46" r:id="rId20"/>
    <sheet name="Cons. BS" sheetId="12" state="hidden" r:id="rId21"/>
  </sheets>
  <externalReferences>
    <externalReference r:id="rId22"/>
    <externalReference r:id="rId23"/>
    <externalReference r:id="rId24"/>
    <externalReference r:id="rId25"/>
    <externalReference r:id="rId26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>'Consumers DCF'!$L$41</definedName>
    <definedName name="Asset1Loop">'Consumers DCF'!$F$43</definedName>
    <definedName name="Asset1NPVPrice">'Consumers DCF'!$L$43</definedName>
    <definedName name="Asset1PurPrice">'Consumers DCF'!$G$43</definedName>
    <definedName name="Asset2Drate">'Corp DCF'!$L$41</definedName>
    <definedName name="Asset2Loop">'Corp DCF'!$F$43</definedName>
    <definedName name="Asset2NPVPrice">'Corp DCF'!$L$43</definedName>
    <definedName name="Asset2PurPrice">'Corp DCF'!$G$43</definedName>
    <definedName name="Asset3Drate" localSheetId="16">'Consumers DCF'!$L$41</definedName>
    <definedName name="Asset3Drate" localSheetId="17">'Corp DCF'!$L$41</definedName>
    <definedName name="Asset3Drate" localSheetId="12">'Pipeline Co IS'!#REF!</definedName>
    <definedName name="Asset3Drate">'Pipeline Co DCF'!$L$43</definedName>
    <definedName name="Asset3Loop" localSheetId="16">'Consumers DCF'!$F$43</definedName>
    <definedName name="Asset3Loop" localSheetId="17">'Corp DCF'!$F$43</definedName>
    <definedName name="Asset3Loop" localSheetId="12">'Pipeline Co IS'!#REF!</definedName>
    <definedName name="Asset3Loop">'Pipeline Co DCF'!$F$45</definedName>
    <definedName name="Asset3NPVPrice" localSheetId="16">'Consumers DCF'!$L$43</definedName>
    <definedName name="Asset3NPVPrice" localSheetId="17">'Corp DCF'!$L$43</definedName>
    <definedName name="Asset3NPVPrice" localSheetId="12">'Pipeline Co IS'!#REF!</definedName>
    <definedName name="Asset3NPVPrice">'Pipeline Co DCF'!$L$45</definedName>
    <definedName name="Asset3PurPrice" localSheetId="16">'Consumers DCF'!$G$43</definedName>
    <definedName name="Asset3PurPrice" localSheetId="17">'Corp DCF'!$G$43</definedName>
    <definedName name="Asset3PurPrice" localSheetId="12">'Pipeline Co IS'!#REF!</definedName>
    <definedName name="Asset3PurPrice">'Pipeline Co DCF'!$G$45</definedName>
    <definedName name="Asset4DRate">#REF!</definedName>
    <definedName name="Asset4Loop">#REF!</definedName>
    <definedName name="Asset4NPVPrice">#REF!</definedName>
    <definedName name="Asset4PurPrice">#REF!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Consolid'!$O$84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Loop">'Unlev. Consolid'!$J$86</definedName>
    <definedName name="CM">[1]JuneYTD!#REF!</definedName>
    <definedName name="CNPVPrice">'Unlev. Consolid'!$O$86</definedName>
    <definedName name="Company">'[5]Print Controls'!$AD$5</definedName>
    <definedName name="ConsDRate">Assumptions!$D$23</definedName>
    <definedName name="CPurPrice">'Unlev. Consolid'!$K$86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Header">'[5]Print Controls'!$AE$13</definedName>
    <definedName name="DATEPRYR">[1]JuneYTD!#REF!</definedName>
    <definedName name="DESC">[1]JuneYTD!#REF!</definedName>
    <definedName name="dollarheader">'[5]P&amp;L'!$B$6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_xlnm.Print_Area" localSheetId="3">Assumptions!$A$3:$J$28</definedName>
    <definedName name="_xlnm.Print_Area" localSheetId="16">'Consumers DCF'!$A$47:$Q$117</definedName>
    <definedName name="_xlnm.Print_Area" localSheetId="17">'Corp DCF'!$A$47:$Q$117</definedName>
    <definedName name="_xlnm.Print_Area" localSheetId="18">Curves!$A$1:$N$51</definedName>
    <definedName name="_xlnm.Print_Area" localSheetId="5">Debt!$A$1:$N$28</definedName>
    <definedName name="_xlnm.Print_Area" localSheetId="6">'Lev. Consolid'!$A$1:$O$46</definedName>
    <definedName name="_xlnm.Print_Area" localSheetId="13">'Pipeline Co BS'!$A$1:$T$76</definedName>
    <definedName name="_xlnm.Print_Area" localSheetId="14">'Pipeline Co CF'!$A$1:$S$62</definedName>
    <definedName name="_xlnm.Print_Area" localSheetId="11">'Pipeline Co DCF'!$A$1:$R$46</definedName>
    <definedName name="_xlnm.Print_Area" localSheetId="12">'Pipeline Co IS'!$A$1:$Q$71</definedName>
    <definedName name="_xlnm.Print_Area" localSheetId="19">Scenarios!$A$1:$M$29</definedName>
    <definedName name="_xlnm.Print_Area" localSheetId="7">'Unlev. Consolid'!$A$1:$S$89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itles_Rptg_Grp_Wks">[1]JuneYTD!#REF!</definedName>
    <definedName name="UCMLPEquity">'Unlev. Consolid'!#REF!</definedName>
    <definedName name="UCMLPLoop">'Unlev. Consolid'!#REF!</definedName>
    <definedName name="UCMLPNPV">'Unlev. Consolid'!#REF!</definedName>
    <definedName name="YTDBB">[1]JuneYTD!#REF!</definedName>
  </definedNames>
  <calcPr calcId="152511" calcMode="manual" iterate="1"/>
</workbook>
</file>

<file path=xl/calcChain.xml><?xml version="1.0" encoding="utf-8"?>
<calcChain xmlns="http://schemas.openxmlformats.org/spreadsheetml/2006/main">
  <c r="B8" i="37" l="1"/>
  <c r="A1" i="24"/>
  <c r="F1" i="24"/>
  <c r="F6" i="24"/>
  <c r="D13" i="24"/>
  <c r="G14" i="24"/>
  <c r="J16" i="24"/>
  <c r="G17" i="24"/>
  <c r="J18" i="24"/>
  <c r="G19" i="24"/>
  <c r="G23" i="24"/>
  <c r="D33" i="24"/>
  <c r="D38" i="24"/>
  <c r="D41" i="24"/>
  <c r="B44" i="24"/>
  <c r="D44" i="24"/>
  <c r="A1" i="12"/>
  <c r="D9" i="12"/>
  <c r="D10" i="12"/>
  <c r="D11" i="12"/>
  <c r="D12" i="12"/>
  <c r="D13" i="12"/>
  <c r="D14" i="12"/>
  <c r="D15" i="12"/>
  <c r="B16" i="12"/>
  <c r="C16" i="12"/>
  <c r="D18" i="12"/>
  <c r="D19" i="12"/>
  <c r="D20" i="12" s="1"/>
  <c r="B20" i="12"/>
  <c r="C20" i="12"/>
  <c r="C23" i="12" s="1"/>
  <c r="D21" i="12"/>
  <c r="D28" i="12"/>
  <c r="D29" i="12"/>
  <c r="D30" i="12"/>
  <c r="D31" i="12"/>
  <c r="D32" i="12"/>
  <c r="D33" i="12"/>
  <c r="B34" i="12"/>
  <c r="C34" i="12"/>
  <c r="D34" i="12"/>
  <c r="C36" i="12"/>
  <c r="D37" i="12"/>
  <c r="B38" i="12"/>
  <c r="B45" i="12" s="1"/>
  <c r="D40" i="12"/>
  <c r="D41" i="12"/>
  <c r="D42" i="12"/>
  <c r="D43" i="12" s="1"/>
  <c r="B43" i="12"/>
  <c r="C43" i="12"/>
  <c r="A1" i="48"/>
  <c r="A2" i="48"/>
  <c r="B41" i="24" s="1"/>
  <c r="H19" i="48"/>
  <c r="I19" i="48" s="1"/>
  <c r="J19" i="48"/>
  <c r="K19" i="48" s="1"/>
  <c r="L19" i="48" s="1"/>
  <c r="M19" i="48" s="1"/>
  <c r="N19" i="48" s="1"/>
  <c r="O19" i="48" s="1"/>
  <c r="P19" i="48" s="1"/>
  <c r="Q19" i="48" s="1"/>
  <c r="H20" i="48"/>
  <c r="I20" i="48" s="1"/>
  <c r="J20" i="48" s="1"/>
  <c r="K20" i="48" s="1"/>
  <c r="L20" i="48" s="1"/>
  <c r="M20" i="48" s="1"/>
  <c r="N20" i="48" s="1"/>
  <c r="O20" i="48" s="1"/>
  <c r="P20" i="48" s="1"/>
  <c r="Q20" i="48" s="1"/>
  <c r="G21" i="48"/>
  <c r="H26" i="48"/>
  <c r="I26" i="48" s="1"/>
  <c r="J26" i="48" s="1"/>
  <c r="K26" i="48" s="1"/>
  <c r="L26" i="48" s="1"/>
  <c r="M26" i="48" s="1"/>
  <c r="N26" i="48" s="1"/>
  <c r="O26" i="48" s="1"/>
  <c r="P26" i="48" s="1"/>
  <c r="Q26" i="48" s="1"/>
  <c r="H27" i="48"/>
  <c r="I27" i="48"/>
  <c r="J27" i="48"/>
  <c r="K27" i="48" s="1"/>
  <c r="L27" i="48" s="1"/>
  <c r="M27" i="48" s="1"/>
  <c r="N27" i="48" s="1"/>
  <c r="O27" i="48" s="1"/>
  <c r="P27" i="48" s="1"/>
  <c r="Q27" i="48" s="1"/>
  <c r="B28" i="48"/>
  <c r="D28" i="48"/>
  <c r="E28" i="48"/>
  <c r="F28" i="48"/>
  <c r="G28" i="48"/>
  <c r="D33" i="48"/>
  <c r="E33" i="48"/>
  <c r="F33" i="48"/>
  <c r="R33" i="48"/>
  <c r="R37" i="48"/>
  <c r="H40" i="48"/>
  <c r="L41" i="48"/>
  <c r="M41" i="48"/>
  <c r="I43" i="48"/>
  <c r="D51" i="48"/>
  <c r="E51" i="48"/>
  <c r="F51" i="48"/>
  <c r="G51" i="48"/>
  <c r="D52" i="48"/>
  <c r="E52" i="48"/>
  <c r="F52" i="48"/>
  <c r="G52" i="48"/>
  <c r="H52" i="48" s="1"/>
  <c r="I52" i="48" s="1"/>
  <c r="J52" i="48" s="1"/>
  <c r="K52" i="48" s="1"/>
  <c r="L52" i="48" s="1"/>
  <c r="M52" i="48" s="1"/>
  <c r="N52" i="48" s="1"/>
  <c r="O52" i="48" s="1"/>
  <c r="P52" i="48" s="1"/>
  <c r="Q52" i="48"/>
  <c r="D53" i="48"/>
  <c r="E53" i="48"/>
  <c r="F53" i="48"/>
  <c r="G53" i="48"/>
  <c r="H53" i="48"/>
  <c r="I53" i="48" s="1"/>
  <c r="J53" i="48" s="1"/>
  <c r="K53" i="48" s="1"/>
  <c r="L53" i="48" s="1"/>
  <c r="M53" i="48" s="1"/>
  <c r="N53" i="48" s="1"/>
  <c r="O53" i="48" s="1"/>
  <c r="P53" i="48" s="1"/>
  <c r="Q53" i="48" s="1"/>
  <c r="D54" i="48"/>
  <c r="E54" i="48"/>
  <c r="F54" i="48"/>
  <c r="G54" i="48"/>
  <c r="H54" i="48" s="1"/>
  <c r="I54" i="48" s="1"/>
  <c r="J54" i="48" s="1"/>
  <c r="K54" i="48" s="1"/>
  <c r="L54" i="48" s="1"/>
  <c r="M54" i="48" s="1"/>
  <c r="N54" i="48" s="1"/>
  <c r="O54" i="48" s="1"/>
  <c r="P54" i="48" s="1"/>
  <c r="Q54" i="48" s="1"/>
  <c r="D55" i="48"/>
  <c r="E55" i="48"/>
  <c r="F55" i="48"/>
  <c r="G55" i="48"/>
  <c r="H55" i="48" s="1"/>
  <c r="I55" i="48" s="1"/>
  <c r="J55" i="48" s="1"/>
  <c r="K55" i="48" s="1"/>
  <c r="L55" i="48" s="1"/>
  <c r="M55" i="48"/>
  <c r="N55" i="48" s="1"/>
  <c r="O55" i="48" s="1"/>
  <c r="P55" i="48" s="1"/>
  <c r="Q55" i="48" s="1"/>
  <c r="D56" i="48"/>
  <c r="E56" i="48"/>
  <c r="F56" i="48"/>
  <c r="G56" i="48"/>
  <c r="H56" i="48" s="1"/>
  <c r="I56" i="48"/>
  <c r="J56" i="48"/>
  <c r="K56" i="48" s="1"/>
  <c r="L56" i="48" s="1"/>
  <c r="M56" i="48" s="1"/>
  <c r="N56" i="48"/>
  <c r="O56" i="48" s="1"/>
  <c r="P56" i="48" s="1"/>
  <c r="Q56" i="48" s="1"/>
  <c r="D57" i="48"/>
  <c r="E57" i="48"/>
  <c r="F57" i="48"/>
  <c r="G57" i="48"/>
  <c r="H57" i="48"/>
  <c r="I57" i="48" s="1"/>
  <c r="J57" i="48" s="1"/>
  <c r="K57" i="48"/>
  <c r="L57" i="48" s="1"/>
  <c r="M57" i="48" s="1"/>
  <c r="N57" i="48"/>
  <c r="O57" i="48" s="1"/>
  <c r="P57" i="48" s="1"/>
  <c r="Q57" i="48" s="1"/>
  <c r="D58" i="48"/>
  <c r="E58" i="48"/>
  <c r="F58" i="48"/>
  <c r="G58" i="48"/>
  <c r="H58" i="48"/>
  <c r="I58" i="48" s="1"/>
  <c r="J58" i="48"/>
  <c r="K58" i="48"/>
  <c r="L58" i="48" s="1"/>
  <c r="M58" i="48" s="1"/>
  <c r="N58" i="48" s="1"/>
  <c r="O58" i="48" s="1"/>
  <c r="P58" i="48" s="1"/>
  <c r="Q58" i="48" s="1"/>
  <c r="D75" i="48"/>
  <c r="E75" i="48"/>
  <c r="F75" i="48"/>
  <c r="G75" i="48"/>
  <c r="D76" i="48"/>
  <c r="E76" i="48"/>
  <c r="F76" i="48"/>
  <c r="G76" i="48"/>
  <c r="H76" i="48"/>
  <c r="I76" i="48"/>
  <c r="J76" i="48" s="1"/>
  <c r="K76" i="48" s="1"/>
  <c r="L76" i="48" s="1"/>
  <c r="M76" i="48"/>
  <c r="N76" i="48" s="1"/>
  <c r="O76" i="48" s="1"/>
  <c r="P76" i="48" s="1"/>
  <c r="Q76" i="48" s="1"/>
  <c r="D77" i="48"/>
  <c r="E77" i="48"/>
  <c r="F77" i="48"/>
  <c r="G77" i="48"/>
  <c r="H77" i="48"/>
  <c r="I77" i="48" s="1"/>
  <c r="J77" i="48"/>
  <c r="K77" i="48" s="1"/>
  <c r="L77" i="48" s="1"/>
  <c r="M77" i="48" s="1"/>
  <c r="N77" i="48" s="1"/>
  <c r="O77" i="48" s="1"/>
  <c r="P77" i="48" s="1"/>
  <c r="Q77" i="48" s="1"/>
  <c r="D78" i="48"/>
  <c r="E78" i="48"/>
  <c r="F78" i="48"/>
  <c r="G78" i="48"/>
  <c r="H78" i="48"/>
  <c r="I78" i="48"/>
  <c r="J78" i="48"/>
  <c r="K78" i="48" s="1"/>
  <c r="L78" i="48" s="1"/>
  <c r="M78" i="48" s="1"/>
  <c r="N78" i="48" s="1"/>
  <c r="O78" i="48" s="1"/>
  <c r="P78" i="48" s="1"/>
  <c r="Q78" i="48" s="1"/>
  <c r="D79" i="48"/>
  <c r="E79" i="48"/>
  <c r="F79" i="48"/>
  <c r="G79" i="48"/>
  <c r="H79" i="48" s="1"/>
  <c r="I79" i="48"/>
  <c r="J79" i="48" s="1"/>
  <c r="K79" i="48" s="1"/>
  <c r="L79" i="48" s="1"/>
  <c r="M79" i="48" s="1"/>
  <c r="N79" i="48" s="1"/>
  <c r="O79" i="48" s="1"/>
  <c r="P79" i="48" s="1"/>
  <c r="Q79" i="48"/>
  <c r="D80" i="48"/>
  <c r="E80" i="48"/>
  <c r="F80" i="48"/>
  <c r="G80" i="48"/>
  <c r="H80" i="48"/>
  <c r="I80" i="48"/>
  <c r="J80" i="48" s="1"/>
  <c r="K80" i="48"/>
  <c r="L80" i="48"/>
  <c r="M80" i="48" s="1"/>
  <c r="N80" i="48" s="1"/>
  <c r="O80" i="48" s="1"/>
  <c r="P80" i="48" s="1"/>
  <c r="Q80" i="48"/>
  <c r="D81" i="48"/>
  <c r="E81" i="48"/>
  <c r="F81" i="48"/>
  <c r="G81" i="48"/>
  <c r="H81" i="48" s="1"/>
  <c r="I81" i="48" s="1"/>
  <c r="J81" i="48"/>
  <c r="K81" i="48" s="1"/>
  <c r="L81" i="48" s="1"/>
  <c r="M81" i="48"/>
  <c r="N81" i="48" s="1"/>
  <c r="O81" i="48" s="1"/>
  <c r="P81" i="48" s="1"/>
  <c r="Q81" i="48" s="1"/>
  <c r="D82" i="48"/>
  <c r="D83" i="48" s="1"/>
  <c r="D13" i="48" s="1"/>
  <c r="E82" i="48"/>
  <c r="F82" i="48"/>
  <c r="G82" i="48"/>
  <c r="H82" i="48"/>
  <c r="I82" i="48" s="1"/>
  <c r="J82" i="48" s="1"/>
  <c r="K82" i="48" s="1"/>
  <c r="L82" i="48" s="1"/>
  <c r="M82" i="48"/>
  <c r="N82" i="48" s="1"/>
  <c r="O82" i="48" s="1"/>
  <c r="P82" i="48"/>
  <c r="Q82" i="48" s="1"/>
  <c r="G99" i="48"/>
  <c r="H99" i="48"/>
  <c r="H107" i="48" s="1"/>
  <c r="H33" i="48" s="1"/>
  <c r="I99" i="48"/>
  <c r="J99" i="48" s="1"/>
  <c r="G100" i="48"/>
  <c r="H100" i="48"/>
  <c r="I100" i="48"/>
  <c r="J100" i="48" s="1"/>
  <c r="K100" i="48"/>
  <c r="L100" i="48" s="1"/>
  <c r="M100" i="48" s="1"/>
  <c r="N100" i="48" s="1"/>
  <c r="O100" i="48" s="1"/>
  <c r="P100" i="48" s="1"/>
  <c r="Q100" i="48" s="1"/>
  <c r="G101" i="48"/>
  <c r="H101" i="48"/>
  <c r="I101" i="48"/>
  <c r="I107" i="48" s="1"/>
  <c r="I33" i="48" s="1"/>
  <c r="J101" i="48"/>
  <c r="K101" i="48"/>
  <c r="L101" i="48" s="1"/>
  <c r="M101" i="48" s="1"/>
  <c r="N101" i="48" s="1"/>
  <c r="O101" i="48" s="1"/>
  <c r="P101" i="48" s="1"/>
  <c r="Q101" i="48" s="1"/>
  <c r="G102" i="48"/>
  <c r="H102" i="48"/>
  <c r="I102" i="48"/>
  <c r="J102" i="48"/>
  <c r="K102" i="48" s="1"/>
  <c r="L102" i="48" s="1"/>
  <c r="M102" i="48" s="1"/>
  <c r="N102" i="48" s="1"/>
  <c r="O102" i="48" s="1"/>
  <c r="P102" i="48" s="1"/>
  <c r="Q102" i="48" s="1"/>
  <c r="G103" i="48"/>
  <c r="H103" i="48"/>
  <c r="I103" i="48"/>
  <c r="J103" i="48"/>
  <c r="K103" i="48"/>
  <c r="L103" i="48"/>
  <c r="M103" i="48"/>
  <c r="N103" i="48" s="1"/>
  <c r="O103" i="48" s="1"/>
  <c r="P103" i="48" s="1"/>
  <c r="Q103" i="48" s="1"/>
  <c r="G104" i="48"/>
  <c r="H104" i="48"/>
  <c r="I104" i="48"/>
  <c r="J104" i="48"/>
  <c r="K104" i="48" s="1"/>
  <c r="L104" i="48"/>
  <c r="M104" i="48"/>
  <c r="N104" i="48" s="1"/>
  <c r="O104" i="48" s="1"/>
  <c r="P104" i="48" s="1"/>
  <c r="Q104" i="48" s="1"/>
  <c r="G105" i="48"/>
  <c r="H105" i="48"/>
  <c r="I105" i="48"/>
  <c r="J105" i="48"/>
  <c r="K105" i="48" s="1"/>
  <c r="L105" i="48" s="1"/>
  <c r="M105" i="48" s="1"/>
  <c r="N105" i="48" s="1"/>
  <c r="O105" i="48"/>
  <c r="P105" i="48" s="1"/>
  <c r="Q105" i="48" s="1"/>
  <c r="G106" i="48"/>
  <c r="H106" i="48"/>
  <c r="I106" i="48"/>
  <c r="J106" i="48"/>
  <c r="K106" i="48" s="1"/>
  <c r="L106" i="48" s="1"/>
  <c r="M106" i="48" s="1"/>
  <c r="N106" i="48"/>
  <c r="O106" i="48" s="1"/>
  <c r="P106" i="48" s="1"/>
  <c r="Q106" i="48" s="1"/>
  <c r="B125" i="48"/>
  <c r="C125" i="48"/>
  <c r="H125" i="48"/>
  <c r="I125" i="48" s="1"/>
  <c r="J125" i="48"/>
  <c r="K125" i="48" s="1"/>
  <c r="L125" i="48" s="1"/>
  <c r="M125" i="48" s="1"/>
  <c r="N125" i="48" s="1"/>
  <c r="O125" i="48" s="1"/>
  <c r="P125" i="48" s="1"/>
  <c r="Q125" i="48" s="1"/>
  <c r="R125" i="48"/>
  <c r="H131" i="48"/>
  <c r="K131" i="48"/>
  <c r="O131" i="48"/>
  <c r="P131" i="48"/>
  <c r="A1" i="49"/>
  <c r="G19" i="49"/>
  <c r="H19" i="49" s="1"/>
  <c r="I19" i="49" s="1"/>
  <c r="J19" i="49" s="1"/>
  <c r="K19" i="49"/>
  <c r="L19" i="49" s="1"/>
  <c r="M19" i="49" s="1"/>
  <c r="N19" i="49" s="1"/>
  <c r="O19" i="49" s="1"/>
  <c r="P19" i="49" s="1"/>
  <c r="Q19" i="49" s="1"/>
  <c r="H20" i="49"/>
  <c r="I20" i="49"/>
  <c r="J20" i="49"/>
  <c r="K20" i="49" s="1"/>
  <c r="L20" i="49" s="1"/>
  <c r="M20" i="49" s="1"/>
  <c r="N20" i="49" s="1"/>
  <c r="O20" i="49" s="1"/>
  <c r="P20" i="49" s="1"/>
  <c r="Q20" i="49" s="1"/>
  <c r="G21" i="49"/>
  <c r="H26" i="49"/>
  <c r="I26" i="49" s="1"/>
  <c r="J26" i="49" s="1"/>
  <c r="K26" i="49"/>
  <c r="L26" i="49" s="1"/>
  <c r="M26" i="49"/>
  <c r="N26" i="49" s="1"/>
  <c r="O26" i="49" s="1"/>
  <c r="P26" i="49" s="1"/>
  <c r="Q26" i="49"/>
  <c r="H27" i="49"/>
  <c r="I27" i="49"/>
  <c r="J27" i="49"/>
  <c r="K27" i="49"/>
  <c r="L27" i="49" s="1"/>
  <c r="M27" i="49"/>
  <c r="N27" i="49" s="1"/>
  <c r="O27" i="49"/>
  <c r="P27" i="49" s="1"/>
  <c r="Q27" i="49" s="1"/>
  <c r="B28" i="49"/>
  <c r="D28" i="49"/>
  <c r="E28" i="49"/>
  <c r="F28" i="49"/>
  <c r="G28" i="49"/>
  <c r="D33" i="49"/>
  <c r="E33" i="49"/>
  <c r="F33" i="49"/>
  <c r="R33" i="49"/>
  <c r="R37" i="49"/>
  <c r="H40" i="49"/>
  <c r="L41" i="49"/>
  <c r="M41" i="49" s="1"/>
  <c r="I43" i="49"/>
  <c r="D51" i="49"/>
  <c r="E51" i="49"/>
  <c r="F51" i="49"/>
  <c r="G51" i="49"/>
  <c r="H51" i="49"/>
  <c r="I51" i="49"/>
  <c r="J51" i="49" s="1"/>
  <c r="K51" i="49"/>
  <c r="L51" i="49" s="1"/>
  <c r="M51" i="49"/>
  <c r="D52" i="49"/>
  <c r="E52" i="49"/>
  <c r="F52" i="49"/>
  <c r="G52" i="49"/>
  <c r="H52" i="49" s="1"/>
  <c r="D53" i="49"/>
  <c r="E53" i="49"/>
  <c r="F53" i="49"/>
  <c r="G53" i="49"/>
  <c r="H53" i="49"/>
  <c r="I53" i="49"/>
  <c r="J53" i="49" s="1"/>
  <c r="K53" i="49" s="1"/>
  <c r="L53" i="49"/>
  <c r="M53" i="49" s="1"/>
  <c r="N53" i="49" s="1"/>
  <c r="O53" i="49" s="1"/>
  <c r="P53" i="49" s="1"/>
  <c r="Q53" i="49" s="1"/>
  <c r="D54" i="49"/>
  <c r="E54" i="49"/>
  <c r="F54" i="49"/>
  <c r="G54" i="49"/>
  <c r="H54" i="49" s="1"/>
  <c r="I54" i="49"/>
  <c r="J54" i="49" s="1"/>
  <c r="K54" i="49" s="1"/>
  <c r="L54" i="49" s="1"/>
  <c r="M54" i="49" s="1"/>
  <c r="N54" i="49"/>
  <c r="O54" i="49" s="1"/>
  <c r="P54" i="49" s="1"/>
  <c r="Q54" i="49" s="1"/>
  <c r="D55" i="49"/>
  <c r="E55" i="49"/>
  <c r="E59" i="49" s="1"/>
  <c r="E11" i="49" s="1"/>
  <c r="F55" i="49"/>
  <c r="G55" i="49"/>
  <c r="H55" i="49"/>
  <c r="I55" i="49"/>
  <c r="J55" i="49" s="1"/>
  <c r="K55" i="49" s="1"/>
  <c r="L55" i="49" s="1"/>
  <c r="M55" i="49" s="1"/>
  <c r="N55" i="49" s="1"/>
  <c r="O55" i="49" s="1"/>
  <c r="P55" i="49" s="1"/>
  <c r="Q55" i="49"/>
  <c r="D56" i="49"/>
  <c r="E56" i="49"/>
  <c r="F56" i="49"/>
  <c r="G56" i="49"/>
  <c r="H56" i="49" s="1"/>
  <c r="I56" i="49" s="1"/>
  <c r="J56" i="49"/>
  <c r="K56" i="49" s="1"/>
  <c r="L56" i="49" s="1"/>
  <c r="M56" i="49" s="1"/>
  <c r="N56" i="49" s="1"/>
  <c r="O56" i="49" s="1"/>
  <c r="P56" i="49" s="1"/>
  <c r="Q56" i="49" s="1"/>
  <c r="D57" i="49"/>
  <c r="E57" i="49"/>
  <c r="F57" i="49"/>
  <c r="G57" i="49"/>
  <c r="H57" i="49"/>
  <c r="I57" i="49" s="1"/>
  <c r="J57" i="49" s="1"/>
  <c r="K57" i="49" s="1"/>
  <c r="L57" i="49" s="1"/>
  <c r="M57" i="49" s="1"/>
  <c r="N57" i="49" s="1"/>
  <c r="O57" i="49"/>
  <c r="P57" i="49" s="1"/>
  <c r="Q57" i="49" s="1"/>
  <c r="D58" i="49"/>
  <c r="E58" i="49"/>
  <c r="F58" i="49"/>
  <c r="G58" i="49"/>
  <c r="H58" i="49" s="1"/>
  <c r="I58" i="49"/>
  <c r="J58" i="49"/>
  <c r="K58" i="49" s="1"/>
  <c r="L58" i="49"/>
  <c r="M58" i="49" s="1"/>
  <c r="N58" i="49" s="1"/>
  <c r="O58" i="49" s="1"/>
  <c r="P58" i="49" s="1"/>
  <c r="Q58" i="49" s="1"/>
  <c r="G59" i="49"/>
  <c r="G11" i="49" s="1"/>
  <c r="B75" i="49"/>
  <c r="D75" i="49"/>
  <c r="E75" i="49"/>
  <c r="F75" i="49"/>
  <c r="G75" i="49"/>
  <c r="D76" i="49"/>
  <c r="E76" i="49"/>
  <c r="F76" i="49"/>
  <c r="G76" i="49"/>
  <c r="H76" i="49" s="1"/>
  <c r="I76" i="49" s="1"/>
  <c r="J76" i="49" s="1"/>
  <c r="K76" i="49" s="1"/>
  <c r="L76" i="49" s="1"/>
  <c r="M76" i="49" s="1"/>
  <c r="N76" i="49"/>
  <c r="O76" i="49"/>
  <c r="P76" i="49" s="1"/>
  <c r="Q76" i="49" s="1"/>
  <c r="D77" i="49"/>
  <c r="E77" i="49"/>
  <c r="E83" i="49" s="1"/>
  <c r="E13" i="49" s="1"/>
  <c r="F77" i="49"/>
  <c r="G77" i="49"/>
  <c r="H77" i="49"/>
  <c r="I77" i="49"/>
  <c r="J77" i="49"/>
  <c r="K77" i="49" s="1"/>
  <c r="L77" i="49" s="1"/>
  <c r="M77" i="49" s="1"/>
  <c r="N77" i="49" s="1"/>
  <c r="O77" i="49" s="1"/>
  <c r="P77" i="49" s="1"/>
  <c r="Q77" i="49"/>
  <c r="D78" i="49"/>
  <c r="E78" i="49"/>
  <c r="F78" i="49"/>
  <c r="G78" i="49"/>
  <c r="H78" i="49"/>
  <c r="I78" i="49" s="1"/>
  <c r="J78" i="49" s="1"/>
  <c r="K78" i="49" s="1"/>
  <c r="L78" i="49" s="1"/>
  <c r="M78" i="49" s="1"/>
  <c r="N78" i="49" s="1"/>
  <c r="O78" i="49" s="1"/>
  <c r="P78" i="49" s="1"/>
  <c r="Q78" i="49" s="1"/>
  <c r="D79" i="49"/>
  <c r="E79" i="49"/>
  <c r="F79" i="49"/>
  <c r="G79" i="49"/>
  <c r="H79" i="49"/>
  <c r="I79" i="49" s="1"/>
  <c r="J79" i="49" s="1"/>
  <c r="K79" i="49"/>
  <c r="L79" i="49" s="1"/>
  <c r="M79" i="49"/>
  <c r="N79" i="49"/>
  <c r="O79" i="49" s="1"/>
  <c r="P79" i="49" s="1"/>
  <c r="Q79" i="49" s="1"/>
  <c r="D80" i="49"/>
  <c r="E80" i="49"/>
  <c r="F80" i="49"/>
  <c r="G80" i="49"/>
  <c r="H80" i="49" s="1"/>
  <c r="I80" i="49"/>
  <c r="J80" i="49" s="1"/>
  <c r="K80" i="49" s="1"/>
  <c r="L80" i="49" s="1"/>
  <c r="M80" i="49" s="1"/>
  <c r="N80" i="49" s="1"/>
  <c r="O80" i="49" s="1"/>
  <c r="P80" i="49" s="1"/>
  <c r="Q80" i="49" s="1"/>
  <c r="D81" i="49"/>
  <c r="E81" i="49"/>
  <c r="F81" i="49"/>
  <c r="G81" i="49"/>
  <c r="H81" i="49" s="1"/>
  <c r="I81" i="49"/>
  <c r="J81" i="49"/>
  <c r="K81" i="49" s="1"/>
  <c r="L81" i="49" s="1"/>
  <c r="M81" i="49" s="1"/>
  <c r="N81" i="49" s="1"/>
  <c r="O81" i="49" s="1"/>
  <c r="P81" i="49" s="1"/>
  <c r="Q81" i="49"/>
  <c r="D82" i="49"/>
  <c r="E82" i="49"/>
  <c r="F82" i="49"/>
  <c r="G82" i="49"/>
  <c r="H82" i="49"/>
  <c r="I82" i="49"/>
  <c r="J82" i="49" s="1"/>
  <c r="K82" i="49"/>
  <c r="L82" i="49"/>
  <c r="M82" i="49" s="1"/>
  <c r="N82" i="49" s="1"/>
  <c r="O82" i="49" s="1"/>
  <c r="P82" i="49" s="1"/>
  <c r="Q82" i="49" s="1"/>
  <c r="G99" i="49"/>
  <c r="H99" i="49"/>
  <c r="I99" i="49"/>
  <c r="J99" i="49"/>
  <c r="G100" i="49"/>
  <c r="H100" i="49"/>
  <c r="I100" i="49"/>
  <c r="J100" i="49" s="1"/>
  <c r="K100" i="49" s="1"/>
  <c r="L100" i="49" s="1"/>
  <c r="M100" i="49"/>
  <c r="N100" i="49" s="1"/>
  <c r="O100" i="49" s="1"/>
  <c r="P100" i="49" s="1"/>
  <c r="Q100" i="49" s="1"/>
  <c r="G101" i="49"/>
  <c r="H101" i="49"/>
  <c r="I101" i="49"/>
  <c r="J101" i="49"/>
  <c r="K101" i="49" s="1"/>
  <c r="L101" i="49" s="1"/>
  <c r="M101" i="49" s="1"/>
  <c r="N101" i="49"/>
  <c r="O101" i="49" s="1"/>
  <c r="P101" i="49" s="1"/>
  <c r="Q101" i="49" s="1"/>
  <c r="G102" i="49"/>
  <c r="H102" i="49"/>
  <c r="I102" i="49"/>
  <c r="J102" i="49" s="1"/>
  <c r="K102" i="49" s="1"/>
  <c r="L102" i="49" s="1"/>
  <c r="M102" i="49" s="1"/>
  <c r="N102" i="49" s="1"/>
  <c r="O102" i="49" s="1"/>
  <c r="P102" i="49" s="1"/>
  <c r="Q102" i="49"/>
  <c r="G103" i="49"/>
  <c r="H103" i="49"/>
  <c r="I103" i="49"/>
  <c r="J103" i="49" s="1"/>
  <c r="K103" i="49" s="1"/>
  <c r="L103" i="49"/>
  <c r="M103" i="49" s="1"/>
  <c r="N103" i="49" s="1"/>
  <c r="O103" i="49" s="1"/>
  <c r="P103" i="49" s="1"/>
  <c r="Q103" i="49" s="1"/>
  <c r="G104" i="49"/>
  <c r="H104" i="49"/>
  <c r="I104" i="49"/>
  <c r="J104" i="49" s="1"/>
  <c r="K104" i="49" s="1"/>
  <c r="L104" i="49" s="1"/>
  <c r="M104" i="49" s="1"/>
  <c r="N104" i="49" s="1"/>
  <c r="O104" i="49" s="1"/>
  <c r="P104" i="49" s="1"/>
  <c r="Q104" i="49" s="1"/>
  <c r="G105" i="49"/>
  <c r="H105" i="49"/>
  <c r="I105" i="49"/>
  <c r="J105" i="49"/>
  <c r="K105" i="49" s="1"/>
  <c r="L105" i="49" s="1"/>
  <c r="M105" i="49" s="1"/>
  <c r="N105" i="49" s="1"/>
  <c r="O105" i="49" s="1"/>
  <c r="P105" i="49" s="1"/>
  <c r="Q105" i="49" s="1"/>
  <c r="G106" i="49"/>
  <c r="H106" i="49"/>
  <c r="I106" i="49"/>
  <c r="J106" i="49"/>
  <c r="K106" i="49"/>
  <c r="L106" i="49" s="1"/>
  <c r="M106" i="49" s="1"/>
  <c r="N106" i="49" s="1"/>
  <c r="O106" i="49" s="1"/>
  <c r="P106" i="49" s="1"/>
  <c r="Q106" i="49" s="1"/>
  <c r="H107" i="49"/>
  <c r="H33" i="49" s="1"/>
  <c r="B125" i="49"/>
  <c r="H125" i="49" s="1"/>
  <c r="I125" i="49" s="1"/>
  <c r="J125" i="49" s="1"/>
  <c r="K125" i="49" s="1"/>
  <c r="L125" i="49" s="1"/>
  <c r="M125" i="49" s="1"/>
  <c r="N125" i="49" s="1"/>
  <c r="O125" i="49" s="1"/>
  <c r="P125" i="49" s="1"/>
  <c r="Q125" i="49" s="1"/>
  <c r="R125" i="49" s="1"/>
  <c r="C125" i="49"/>
  <c r="H131" i="49"/>
  <c r="J131" i="49"/>
  <c r="K131" i="49"/>
  <c r="L131" i="49"/>
  <c r="M131" i="49"/>
  <c r="P131" i="49"/>
  <c r="R131" i="49"/>
  <c r="A1" i="45"/>
  <c r="A1" i="43"/>
  <c r="E7" i="43"/>
  <c r="H7" i="43"/>
  <c r="I7" i="43"/>
  <c r="J7" i="43"/>
  <c r="E8" i="43"/>
  <c r="H8" i="43"/>
  <c r="I8" i="43"/>
  <c r="J8" i="43" s="1"/>
  <c r="H9" i="43"/>
  <c r="I9" i="43"/>
  <c r="J9" i="43"/>
  <c r="G10" i="43"/>
  <c r="H10" i="43"/>
  <c r="I10" i="43"/>
  <c r="J10" i="43"/>
  <c r="A16" i="43"/>
  <c r="F17" i="43"/>
  <c r="F19" i="43" s="1"/>
  <c r="F18" i="43"/>
  <c r="G18" i="43"/>
  <c r="H18" i="43"/>
  <c r="I18" i="43"/>
  <c r="J18" i="43"/>
  <c r="E20" i="43"/>
  <c r="F20" i="43"/>
  <c r="G17" i="43" s="1"/>
  <c r="F21" i="43"/>
  <c r="G21" i="43"/>
  <c r="H21" i="43"/>
  <c r="I21" i="43"/>
  <c r="J21" i="43"/>
  <c r="A23" i="43"/>
  <c r="A30" i="43"/>
  <c r="A37" i="43"/>
  <c r="E39" i="43"/>
  <c r="F39" i="43"/>
  <c r="L39" i="43"/>
  <c r="M39" i="43"/>
  <c r="N39" i="43"/>
  <c r="F42" i="43"/>
  <c r="G42" i="43"/>
  <c r="H42" i="43"/>
  <c r="I42" i="43"/>
  <c r="J42" i="43"/>
  <c r="F46" i="43"/>
  <c r="G46" i="43"/>
  <c r="H46" i="43"/>
  <c r="I46" i="43"/>
  <c r="J46" i="43"/>
  <c r="E48" i="43"/>
  <c r="A49" i="43"/>
  <c r="F49" i="43"/>
  <c r="G49" i="43"/>
  <c r="H49" i="43"/>
  <c r="I49" i="43"/>
  <c r="J49" i="43"/>
  <c r="A50" i="43"/>
  <c r="F50" i="43"/>
  <c r="G50" i="43"/>
  <c r="H50" i="43"/>
  <c r="I50" i="43"/>
  <c r="J50" i="43"/>
  <c r="A51" i="43"/>
  <c r="F51" i="43"/>
  <c r="G51" i="43"/>
  <c r="H51" i="43"/>
  <c r="I51" i="43"/>
  <c r="J51" i="43"/>
  <c r="A59" i="43"/>
  <c r="E59" i="43"/>
  <c r="F59" i="43"/>
  <c r="G59" i="43"/>
  <c r="H59" i="43"/>
  <c r="I59" i="43"/>
  <c r="J59" i="43"/>
  <c r="K59" i="43"/>
  <c r="L59" i="43"/>
  <c r="M59" i="43"/>
  <c r="A60" i="43"/>
  <c r="E60" i="43"/>
  <c r="F60" i="43"/>
  <c r="G60" i="43"/>
  <c r="H60" i="43"/>
  <c r="I60" i="43"/>
  <c r="J60" i="43"/>
  <c r="K60" i="43"/>
  <c r="M60" i="43"/>
  <c r="N60" i="43"/>
  <c r="A61" i="43"/>
  <c r="E61" i="43"/>
  <c r="F61" i="43"/>
  <c r="G61" i="43"/>
  <c r="G39" i="43" s="1"/>
  <c r="H61" i="43"/>
  <c r="H39" i="43" s="1"/>
  <c r="I61" i="43"/>
  <c r="I39" i="43" s="1"/>
  <c r="J61" i="43"/>
  <c r="J39" i="43" s="1"/>
  <c r="L61" i="43"/>
  <c r="M61" i="43"/>
  <c r="N61" i="43"/>
  <c r="A66" i="43"/>
  <c r="A70" i="43"/>
  <c r="A74" i="43"/>
  <c r="A82" i="43"/>
  <c r="A87" i="43"/>
  <c r="A1" i="42"/>
  <c r="A5" i="42"/>
  <c r="C5" i="42"/>
  <c r="E5" i="42" s="1"/>
  <c r="A6" i="42"/>
  <c r="C6" i="42"/>
  <c r="E6" i="42" s="1"/>
  <c r="A7" i="42"/>
  <c r="C7" i="42"/>
  <c r="E7" i="42"/>
  <c r="D11" i="42"/>
  <c r="G15" i="42"/>
  <c r="D32" i="24" s="1"/>
  <c r="B19" i="37" s="1"/>
  <c r="G16" i="42"/>
  <c r="G8" i="43" s="1"/>
  <c r="G17" i="42"/>
  <c r="G9" i="43" s="1"/>
  <c r="E23" i="42"/>
  <c r="E25" i="42"/>
  <c r="A26" i="42"/>
  <c r="F32" i="42"/>
  <c r="F33" i="42"/>
  <c r="F34" i="42"/>
  <c r="F35" i="42"/>
  <c r="F36" i="42"/>
  <c r="F37" i="42"/>
  <c r="H37" i="42"/>
  <c r="L37" i="42"/>
  <c r="F38" i="42"/>
  <c r="A1" i="37"/>
  <c r="C5" i="37"/>
  <c r="G6" i="37"/>
  <c r="J5" i="37"/>
  <c r="B9" i="37"/>
  <c r="N13" i="37"/>
  <c r="D17" i="37"/>
  <c r="E17" i="37"/>
  <c r="F17" i="37"/>
  <c r="G17" i="37"/>
  <c r="H17" i="37"/>
  <c r="I17" i="37"/>
  <c r="J17" i="37"/>
  <c r="K17" i="37"/>
  <c r="L17" i="37"/>
  <c r="M17" i="37"/>
  <c r="N17" i="37"/>
  <c r="N19" i="37"/>
  <c r="B21" i="37"/>
  <c r="O27" i="37"/>
  <c r="N30" i="37"/>
  <c r="O30" i="37"/>
  <c r="B32" i="37"/>
  <c r="B40" i="37"/>
  <c r="I40" i="37"/>
  <c r="J40" i="37"/>
  <c r="B43" i="37"/>
  <c r="D70" i="37"/>
  <c r="D72" i="37"/>
  <c r="D73" i="37" s="1"/>
  <c r="D74" i="37" s="1"/>
  <c r="D76" i="37"/>
  <c r="D77" i="37" s="1"/>
  <c r="D78" i="37" s="1"/>
  <c r="A1" i="41"/>
  <c r="A1" i="51"/>
  <c r="A2" i="51"/>
  <c r="I11" i="51"/>
  <c r="J12" i="51"/>
  <c r="J13" i="51"/>
  <c r="J14" i="51"/>
  <c r="J15" i="51"/>
  <c r="K15" i="51"/>
  <c r="L15" i="51" s="1"/>
  <c r="M15" i="51" s="1"/>
  <c r="N15" i="51" s="1"/>
  <c r="O15" i="51" s="1"/>
  <c r="P15" i="51" s="1"/>
  <c r="Q15" i="51" s="1"/>
  <c r="R15" i="51" s="1"/>
  <c r="S15" i="51" s="1"/>
  <c r="T15" i="51" s="1"/>
  <c r="J16" i="51"/>
  <c r="K16" i="51" s="1"/>
  <c r="J36" i="52" s="1"/>
  <c r="L16" i="51"/>
  <c r="K36" i="52" s="1"/>
  <c r="M16" i="51"/>
  <c r="J17" i="51"/>
  <c r="K17" i="51" s="1"/>
  <c r="L17" i="51"/>
  <c r="M17" i="51" s="1"/>
  <c r="N17" i="51"/>
  <c r="J18" i="51"/>
  <c r="J19" i="51"/>
  <c r="J20" i="51"/>
  <c r="E21" i="51"/>
  <c r="F21" i="51"/>
  <c r="G21" i="51"/>
  <c r="J23" i="51"/>
  <c r="J24" i="51"/>
  <c r="J25" i="51"/>
  <c r="K25" i="51" s="1"/>
  <c r="L25" i="51"/>
  <c r="M25" i="51" s="1"/>
  <c r="N25" i="51" s="1"/>
  <c r="O25" i="51" s="1"/>
  <c r="P25" i="51" s="1"/>
  <c r="Q25" i="51" s="1"/>
  <c r="R25" i="51" s="1"/>
  <c r="S25" i="51" s="1"/>
  <c r="T25" i="51" s="1"/>
  <c r="E26" i="51"/>
  <c r="F26" i="51"/>
  <c r="G26" i="51"/>
  <c r="G33" i="51" s="1"/>
  <c r="G35" i="51" s="1"/>
  <c r="J27" i="51"/>
  <c r="J28" i="51"/>
  <c r="K28" i="51"/>
  <c r="L28" i="51" s="1"/>
  <c r="M28" i="51" s="1"/>
  <c r="N28" i="51" s="1"/>
  <c r="O28" i="51" s="1"/>
  <c r="P28" i="51"/>
  <c r="Q28" i="51" s="1"/>
  <c r="R28" i="51" s="1"/>
  <c r="S28" i="51" s="1"/>
  <c r="T28" i="51"/>
  <c r="J29" i="51"/>
  <c r="K29" i="51"/>
  <c r="L29" i="51" s="1"/>
  <c r="M29" i="51" s="1"/>
  <c r="N29" i="51" s="1"/>
  <c r="O29" i="51" s="1"/>
  <c r="P29" i="51" s="1"/>
  <c r="Q29" i="51"/>
  <c r="R29" i="51" s="1"/>
  <c r="S29" i="51" s="1"/>
  <c r="T29" i="51" s="1"/>
  <c r="J30" i="51"/>
  <c r="K30" i="51" s="1"/>
  <c r="L30" i="51" s="1"/>
  <c r="M30" i="51" s="1"/>
  <c r="N30" i="51" s="1"/>
  <c r="O30" i="51" s="1"/>
  <c r="P30" i="51" s="1"/>
  <c r="Q30" i="51" s="1"/>
  <c r="R30" i="51" s="1"/>
  <c r="S30" i="51" s="1"/>
  <c r="T30" i="51" s="1"/>
  <c r="E33" i="51"/>
  <c r="E35" i="51" s="1"/>
  <c r="F33" i="51"/>
  <c r="J38" i="51"/>
  <c r="J39" i="51"/>
  <c r="J40" i="51"/>
  <c r="K40" i="51"/>
  <c r="L40" i="51"/>
  <c r="J41" i="51"/>
  <c r="J42" i="51"/>
  <c r="K42" i="51" s="1"/>
  <c r="L42" i="51" s="1"/>
  <c r="M42" i="51"/>
  <c r="N42" i="51" s="1"/>
  <c r="O42" i="51" s="1"/>
  <c r="P42" i="51" s="1"/>
  <c r="Q42" i="51" s="1"/>
  <c r="R42" i="51" s="1"/>
  <c r="S42" i="51" s="1"/>
  <c r="T42" i="51" s="1"/>
  <c r="J43" i="51"/>
  <c r="K43" i="51"/>
  <c r="E48" i="51"/>
  <c r="F48" i="51"/>
  <c r="G48" i="51"/>
  <c r="E50" i="51"/>
  <c r="F50" i="51"/>
  <c r="F60" i="51" s="1"/>
  <c r="F74" i="51" s="1"/>
  <c r="G50" i="51"/>
  <c r="G60" i="51" s="1"/>
  <c r="J51" i="51"/>
  <c r="J52" i="51"/>
  <c r="K52" i="51" s="1"/>
  <c r="L52" i="51" s="1"/>
  <c r="M52" i="51"/>
  <c r="N52" i="51" s="1"/>
  <c r="O52" i="51" s="1"/>
  <c r="P52" i="51" s="1"/>
  <c r="Q52" i="51" s="1"/>
  <c r="R52" i="51" s="1"/>
  <c r="S52" i="51" s="1"/>
  <c r="T52" i="51" s="1"/>
  <c r="E60" i="51"/>
  <c r="J62" i="51"/>
  <c r="K62" i="51"/>
  <c r="L62" i="51"/>
  <c r="M62" i="51"/>
  <c r="N62" i="51" s="1"/>
  <c r="O62" i="51"/>
  <c r="P62" i="51"/>
  <c r="J63" i="51"/>
  <c r="K63" i="51" s="1"/>
  <c r="L63" i="51"/>
  <c r="J64" i="51"/>
  <c r="E72" i="51"/>
  <c r="F72" i="51"/>
  <c r="G72" i="51"/>
  <c r="E74" i="51"/>
  <c r="E76" i="51" s="1"/>
  <c r="D76" i="51"/>
  <c r="H76" i="51"/>
  <c r="I76" i="51"/>
  <c r="J101" i="51"/>
  <c r="A1" i="52"/>
  <c r="A2" i="52"/>
  <c r="G12" i="52"/>
  <c r="I12" i="52" s="1"/>
  <c r="I13" i="52"/>
  <c r="H14" i="52"/>
  <c r="I14" i="52"/>
  <c r="J25" i="52"/>
  <c r="I29" i="52"/>
  <c r="D30" i="52"/>
  <c r="E30" i="52"/>
  <c r="F30" i="52"/>
  <c r="I33" i="52"/>
  <c r="J33" i="52"/>
  <c r="K33" i="52"/>
  <c r="L33" i="52"/>
  <c r="N33" i="52"/>
  <c r="P33" i="52" s="1"/>
  <c r="D34" i="52"/>
  <c r="D43" i="52" s="1"/>
  <c r="D58" i="52" s="1"/>
  <c r="D62" i="52" s="1"/>
  <c r="E34" i="52"/>
  <c r="F34" i="52"/>
  <c r="F43" i="52" s="1"/>
  <c r="I35" i="52"/>
  <c r="J35" i="52"/>
  <c r="L35" i="52" s="1"/>
  <c r="N35" i="52" s="1"/>
  <c r="P35" i="52" s="1"/>
  <c r="R35" i="52" s="1"/>
  <c r="K35" i="52"/>
  <c r="M35" i="52"/>
  <c r="O35" i="52" s="1"/>
  <c r="Q35" i="52" s="1"/>
  <c r="S35" i="52" s="1"/>
  <c r="I36" i="52"/>
  <c r="E43" i="52"/>
  <c r="I46" i="52"/>
  <c r="J46" i="52"/>
  <c r="I47" i="52"/>
  <c r="I48" i="52"/>
  <c r="I49" i="52"/>
  <c r="J49" i="52"/>
  <c r="K49" i="52"/>
  <c r="L49" i="52" s="1"/>
  <c r="M49" i="52" s="1"/>
  <c r="N49" i="52" s="1"/>
  <c r="O49" i="52" s="1"/>
  <c r="P49" i="52" s="1"/>
  <c r="Q49" i="52" s="1"/>
  <c r="R49" i="52" s="1"/>
  <c r="S49" i="52" s="1"/>
  <c r="D56" i="52"/>
  <c r="E56" i="52"/>
  <c r="F56" i="52"/>
  <c r="G56" i="52"/>
  <c r="E60" i="52"/>
  <c r="F60" i="52"/>
  <c r="G60" i="52"/>
  <c r="G69" i="52"/>
  <c r="A1" i="35"/>
  <c r="A2" i="35"/>
  <c r="B38" i="24" s="1"/>
  <c r="A11" i="35"/>
  <c r="A13" i="35"/>
  <c r="A15" i="35"/>
  <c r="A19" i="35"/>
  <c r="D19" i="35"/>
  <c r="D35" i="35" s="1"/>
  <c r="E19" i="35"/>
  <c r="F19" i="35"/>
  <c r="A23" i="35"/>
  <c r="F23" i="35"/>
  <c r="A25" i="35"/>
  <c r="A27" i="35"/>
  <c r="D27" i="35"/>
  <c r="D33" i="35" s="1"/>
  <c r="E35" i="35"/>
  <c r="F35" i="35"/>
  <c r="D36" i="35"/>
  <c r="E36" i="35"/>
  <c r="F36" i="35"/>
  <c r="G36" i="35"/>
  <c r="D37" i="35"/>
  <c r="E37" i="35"/>
  <c r="F37" i="35"/>
  <c r="F38" i="35"/>
  <c r="G38" i="35"/>
  <c r="H38" i="35"/>
  <c r="I38" i="35"/>
  <c r="J38" i="35"/>
  <c r="K38" i="35"/>
  <c r="L38" i="35"/>
  <c r="R38" i="35"/>
  <c r="R40" i="35"/>
  <c r="H42" i="35"/>
  <c r="I45" i="35"/>
  <c r="G48" i="35"/>
  <c r="J143" i="53" s="1"/>
  <c r="A1" i="53"/>
  <c r="A2" i="53"/>
  <c r="A11" i="53"/>
  <c r="D11" i="53"/>
  <c r="E11" i="53"/>
  <c r="F11" i="53"/>
  <c r="G11" i="53"/>
  <c r="G17" i="53" s="1"/>
  <c r="A12" i="53"/>
  <c r="D12" i="53"/>
  <c r="E12" i="53"/>
  <c r="F12" i="53"/>
  <c r="A13" i="53"/>
  <c r="D13" i="53"/>
  <c r="E13" i="53"/>
  <c r="F13" i="53"/>
  <c r="A14" i="53"/>
  <c r="D14" i="53"/>
  <c r="E14" i="53"/>
  <c r="F14" i="53"/>
  <c r="G14" i="53"/>
  <c r="A15" i="53"/>
  <c r="D15" i="53"/>
  <c r="E15" i="53"/>
  <c r="F15" i="53"/>
  <c r="G15" i="53"/>
  <c r="H15" i="53"/>
  <c r="A16" i="53"/>
  <c r="D16" i="53"/>
  <c r="E16" i="53"/>
  <c r="F16" i="53"/>
  <c r="G16" i="53"/>
  <c r="F17" i="53"/>
  <c r="A20" i="53"/>
  <c r="D20" i="53"/>
  <c r="D25" i="53" s="1"/>
  <c r="D13" i="35" s="1"/>
  <c r="E17" i="9" s="1"/>
  <c r="E20" i="53"/>
  <c r="F20" i="53"/>
  <c r="A21" i="53"/>
  <c r="D21" i="53"/>
  <c r="E21" i="53"/>
  <c r="E25" i="53" s="1"/>
  <c r="E13" i="35" s="1"/>
  <c r="F17" i="9" s="1"/>
  <c r="F21" i="53"/>
  <c r="G21" i="53"/>
  <c r="A22" i="53"/>
  <c r="D22" i="53"/>
  <c r="E22" i="53"/>
  <c r="F22" i="53"/>
  <c r="G22" i="53"/>
  <c r="H22" i="53"/>
  <c r="A23" i="53"/>
  <c r="D23" i="53"/>
  <c r="E23" i="53"/>
  <c r="F23" i="53"/>
  <c r="G23" i="53"/>
  <c r="A24" i="53"/>
  <c r="D24" i="53"/>
  <c r="E24" i="53"/>
  <c r="F24" i="53"/>
  <c r="G24" i="53"/>
  <c r="H24" i="53"/>
  <c r="D28" i="53"/>
  <c r="E28" i="53"/>
  <c r="F28" i="53"/>
  <c r="G28" i="53"/>
  <c r="H28" i="53"/>
  <c r="D29" i="53"/>
  <c r="E29" i="53"/>
  <c r="E31" i="53" s="1"/>
  <c r="E15" i="35" s="1"/>
  <c r="F29" i="53"/>
  <c r="G29" i="53"/>
  <c r="I29" i="53"/>
  <c r="D30" i="53"/>
  <c r="E30" i="53"/>
  <c r="F30" i="53"/>
  <c r="G30" i="53"/>
  <c r="D31" i="53"/>
  <c r="D15" i="35" s="1"/>
  <c r="G35" i="53"/>
  <c r="G19" i="35" s="1"/>
  <c r="G35" i="35" s="1"/>
  <c r="G40" i="53"/>
  <c r="G44" i="53" s="1"/>
  <c r="G23" i="35" s="1"/>
  <c r="G41" i="53"/>
  <c r="D44" i="53"/>
  <c r="D23" i="35" s="1"/>
  <c r="E44" i="53"/>
  <c r="E23" i="35" s="1"/>
  <c r="F44" i="53"/>
  <c r="G49" i="53"/>
  <c r="G50" i="53"/>
  <c r="D53" i="53"/>
  <c r="E53" i="53"/>
  <c r="E27" i="35" s="1"/>
  <c r="E33" i="35" s="1"/>
  <c r="F53" i="53"/>
  <c r="F27" i="35" s="1"/>
  <c r="F33" i="35" s="1"/>
  <c r="G79" i="53"/>
  <c r="H79" i="53" s="1"/>
  <c r="I79" i="53" s="1"/>
  <c r="I11" i="53" s="1"/>
  <c r="L13" i="51" s="1"/>
  <c r="G80" i="53"/>
  <c r="G12" i="53" s="1"/>
  <c r="G81" i="53"/>
  <c r="G13" i="53" s="1"/>
  <c r="H81" i="53"/>
  <c r="H13" i="53" s="1"/>
  <c r="H82" i="53"/>
  <c r="H83" i="53"/>
  <c r="I83" i="53"/>
  <c r="I15" i="53" s="1"/>
  <c r="H84" i="53"/>
  <c r="D85" i="53"/>
  <c r="E85" i="53"/>
  <c r="F85" i="53"/>
  <c r="G101" i="53"/>
  <c r="H102" i="53"/>
  <c r="I102" i="53" s="1"/>
  <c r="H103" i="53"/>
  <c r="I103" i="53"/>
  <c r="H104" i="53"/>
  <c r="H23" i="53" s="1"/>
  <c r="I104" i="53"/>
  <c r="J104" i="53" s="1"/>
  <c r="H105" i="53"/>
  <c r="I105" i="53"/>
  <c r="D106" i="53"/>
  <c r="E106" i="53"/>
  <c r="F106" i="53"/>
  <c r="G121" i="53"/>
  <c r="H121" i="53"/>
  <c r="I121" i="53" s="1"/>
  <c r="J121" i="53" s="1"/>
  <c r="H122" i="53"/>
  <c r="I122" i="53" s="1"/>
  <c r="J122" i="53" s="1"/>
  <c r="J29" i="53" s="1"/>
  <c r="K122" i="53"/>
  <c r="K29" i="53" s="1"/>
  <c r="H123" i="53"/>
  <c r="H30" i="53" s="1"/>
  <c r="D124" i="53"/>
  <c r="E124" i="53"/>
  <c r="F124" i="53"/>
  <c r="G124" i="53"/>
  <c r="H124" i="53"/>
  <c r="H136" i="53"/>
  <c r="I136" i="53"/>
  <c r="J136" i="53"/>
  <c r="K136" i="53"/>
  <c r="L136" i="53"/>
  <c r="M136" i="53"/>
  <c r="N136" i="53"/>
  <c r="O136" i="53"/>
  <c r="P136" i="53"/>
  <c r="Q136" i="53"/>
  <c r="H138" i="53"/>
  <c r="I138" i="53" s="1"/>
  <c r="J138" i="53" s="1"/>
  <c r="K138" i="53" s="1"/>
  <c r="L138" i="53" s="1"/>
  <c r="M138" i="53" s="1"/>
  <c r="N138" i="53" s="1"/>
  <c r="O138" i="53" s="1"/>
  <c r="P138" i="53" s="1"/>
  <c r="Q138" i="53" s="1"/>
  <c r="I144" i="53"/>
  <c r="J144" i="53"/>
  <c r="K144" i="53"/>
  <c r="L144" i="53" s="1"/>
  <c r="M144" i="53"/>
  <c r="N144" i="53" s="1"/>
  <c r="O144" i="53" s="1"/>
  <c r="P144" i="53" s="1"/>
  <c r="Q144" i="53" s="1"/>
  <c r="A1" i="44"/>
  <c r="H9" i="44"/>
  <c r="I9" i="44" s="1"/>
  <c r="H10" i="44"/>
  <c r="I10" i="44"/>
  <c r="J10" i="44"/>
  <c r="K10" i="44"/>
  <c r="L10" i="44" s="1"/>
  <c r="M10" i="44"/>
  <c r="N10" i="44" s="1"/>
  <c r="O10" i="44" s="1"/>
  <c r="P10" i="44" s="1"/>
  <c r="Q10" i="44" s="1"/>
  <c r="R10" i="44" s="1"/>
  <c r="H12" i="44"/>
  <c r="I12" i="44"/>
  <c r="J12" i="44"/>
  <c r="K12" i="44" s="1"/>
  <c r="L12" i="44" s="1"/>
  <c r="M12" i="44" s="1"/>
  <c r="N12" i="44" s="1"/>
  <c r="O12" i="44" s="1"/>
  <c r="P12" i="44" s="1"/>
  <c r="Q12" i="44" s="1"/>
  <c r="R12" i="44" s="1"/>
  <c r="I13" i="44"/>
  <c r="J13" i="44"/>
  <c r="K13" i="44"/>
  <c r="L13" i="44"/>
  <c r="M13" i="44"/>
  <c r="N13" i="44"/>
  <c r="O13" i="44"/>
  <c r="P13" i="44"/>
  <c r="Q13" i="44"/>
  <c r="R13" i="44"/>
  <c r="F15" i="44"/>
  <c r="G15" i="44"/>
  <c r="H15" i="44"/>
  <c r="H17" i="44"/>
  <c r="I17" i="44" s="1"/>
  <c r="J17" i="44" s="1"/>
  <c r="K17" i="44" s="1"/>
  <c r="L17" i="44" s="1"/>
  <c r="M17" i="44"/>
  <c r="N17" i="44"/>
  <c r="O17" i="44" s="1"/>
  <c r="P17" i="44"/>
  <c r="Q17" i="44" s="1"/>
  <c r="R17" i="44" s="1"/>
  <c r="A1" i="46"/>
  <c r="C34" i="46"/>
  <c r="C41" i="46"/>
  <c r="A1" i="38"/>
  <c r="D3" i="38"/>
  <c r="D7" i="38"/>
  <c r="E7" i="38"/>
  <c r="F7" i="38" s="1"/>
  <c r="C9" i="38"/>
  <c r="D13" i="38"/>
  <c r="D15" i="38"/>
  <c r="E15" i="38"/>
  <c r="F15" i="38" s="1"/>
  <c r="A1" i="9"/>
  <c r="F3" i="9"/>
  <c r="A11" i="9"/>
  <c r="B11" i="9"/>
  <c r="B17" i="9" s="1"/>
  <c r="B26" i="9" s="1"/>
  <c r="A12" i="9"/>
  <c r="B12" i="9"/>
  <c r="B18" i="9" s="1"/>
  <c r="E18" i="9" s="1"/>
  <c r="A13" i="9"/>
  <c r="B13" i="9"/>
  <c r="F13" i="9"/>
  <c r="A17" i="9"/>
  <c r="A26" i="9" s="1"/>
  <c r="A31" i="9" s="1"/>
  <c r="A18" i="9"/>
  <c r="A27" i="9" s="1"/>
  <c r="A32" i="9" s="1"/>
  <c r="A19" i="9"/>
  <c r="A28" i="9" s="1"/>
  <c r="A33" i="9" s="1"/>
  <c r="E35" i="9"/>
  <c r="F35" i="9"/>
  <c r="G35" i="9"/>
  <c r="B40" i="9"/>
  <c r="A47" i="9"/>
  <c r="A49" i="9"/>
  <c r="S49" i="9"/>
  <c r="E50" i="9"/>
  <c r="F50" i="9"/>
  <c r="G50" i="9"/>
  <c r="G51" i="9"/>
  <c r="B53" i="9"/>
  <c r="H53" i="9"/>
  <c r="I53" i="9"/>
  <c r="J53" i="9" s="1"/>
  <c r="K53" i="9" s="1"/>
  <c r="L53" i="9" s="1"/>
  <c r="M53" i="9" s="1"/>
  <c r="N53" i="9" s="1"/>
  <c r="O53" i="9" s="1"/>
  <c r="P53" i="9" s="1"/>
  <c r="Q53" i="9" s="1"/>
  <c r="R53" i="9" s="1"/>
  <c r="B65" i="9"/>
  <c r="I66" i="9" s="1"/>
  <c r="J65" i="9"/>
  <c r="K65" i="9"/>
  <c r="L65" i="9" s="1"/>
  <c r="L66" i="9" s="1"/>
  <c r="H66" i="9"/>
  <c r="J66" i="9"/>
  <c r="K66" i="9"/>
  <c r="B68" i="9"/>
  <c r="A73" i="9"/>
  <c r="A74" i="9"/>
  <c r="B74" i="9"/>
  <c r="C74" i="9"/>
  <c r="D74" i="9"/>
  <c r="E74" i="9"/>
  <c r="H74" i="9"/>
  <c r="I74" i="9"/>
  <c r="J74" i="9"/>
  <c r="K74" i="9"/>
  <c r="A75" i="9"/>
  <c r="A76" i="9"/>
  <c r="H76" i="9"/>
  <c r="I76" i="9"/>
  <c r="J76" i="9"/>
  <c r="K76" i="9"/>
  <c r="L76" i="9"/>
  <c r="A77" i="9"/>
  <c r="B77" i="9"/>
  <c r="H77" i="9"/>
  <c r="I77" i="9"/>
  <c r="J77" i="9"/>
  <c r="K77" i="9"/>
  <c r="L77" i="9"/>
  <c r="A78" i="9"/>
  <c r="H78" i="9"/>
  <c r="I78" i="9"/>
  <c r="J78" i="9"/>
  <c r="K78" i="9"/>
  <c r="L78" i="9"/>
  <c r="A79" i="9"/>
  <c r="C79" i="9"/>
  <c r="A80" i="9"/>
  <c r="L83" i="9"/>
  <c r="N84" i="9"/>
  <c r="O84" i="9"/>
  <c r="P84" i="9" s="1"/>
  <c r="M86" i="9"/>
  <c r="K41" i="49" l="1"/>
  <c r="K121" i="53"/>
  <c r="J28" i="53"/>
  <c r="J102" i="53"/>
  <c r="I21" i="53"/>
  <c r="G11" i="35"/>
  <c r="G63" i="53"/>
  <c r="G26" i="9"/>
  <c r="G29" i="9" s="1"/>
  <c r="O26" i="9"/>
  <c r="O29" i="9" s="1"/>
  <c r="H26" i="9"/>
  <c r="H29" i="9" s="1"/>
  <c r="P26" i="9"/>
  <c r="P29" i="9" s="1"/>
  <c r="I26" i="9"/>
  <c r="I29" i="9" s="1"/>
  <c r="Q26" i="9"/>
  <c r="Q29" i="9" s="1"/>
  <c r="J26" i="9"/>
  <c r="J29" i="9" s="1"/>
  <c r="R26" i="9"/>
  <c r="R29" i="9" s="1"/>
  <c r="B31" i="9"/>
  <c r="K26" i="9"/>
  <c r="K29" i="9" s="1"/>
  <c r="M26" i="9"/>
  <c r="M29" i="9" s="1"/>
  <c r="N26" i="9"/>
  <c r="N29" i="9" s="1"/>
  <c r="F26" i="9"/>
  <c r="F29" i="9" s="1"/>
  <c r="L26" i="9"/>
  <c r="L29" i="9" s="1"/>
  <c r="E26" i="9"/>
  <c r="E29" i="9" s="1"/>
  <c r="I15" i="44"/>
  <c r="J9" i="44"/>
  <c r="J23" i="53"/>
  <c r="K104" i="53"/>
  <c r="H75" i="49"/>
  <c r="G83" i="49"/>
  <c r="G13" i="49" s="1"/>
  <c r="H19" i="9" s="1"/>
  <c r="H13" i="9"/>
  <c r="B19" i="9"/>
  <c r="H101" i="53"/>
  <c r="G20" i="53"/>
  <c r="G25" i="53" s="1"/>
  <c r="G13" i="35" s="1"/>
  <c r="H17" i="9" s="1"/>
  <c r="H20" i="9" s="1"/>
  <c r="G106" i="53"/>
  <c r="G53" i="53"/>
  <c r="G27" i="35" s="1"/>
  <c r="G33" i="35" s="1"/>
  <c r="H11" i="53"/>
  <c r="J103" i="53"/>
  <c r="I22" i="53"/>
  <c r="H14" i="53"/>
  <c r="I82" i="53"/>
  <c r="F31" i="53"/>
  <c r="F15" i="35" s="1"/>
  <c r="I23" i="53"/>
  <c r="F11" i="35"/>
  <c r="F71" i="53"/>
  <c r="F33" i="53"/>
  <c r="M33" i="52"/>
  <c r="B27" i="9"/>
  <c r="K143" i="53"/>
  <c r="I28" i="53"/>
  <c r="H21" i="53"/>
  <c r="J69" i="52"/>
  <c r="G34" i="52"/>
  <c r="J28" i="52"/>
  <c r="L43" i="51"/>
  <c r="L39" i="51"/>
  <c r="I24" i="53"/>
  <c r="J105" i="53"/>
  <c r="I81" i="53"/>
  <c r="F25" i="53"/>
  <c r="F13" i="35" s="1"/>
  <c r="G17" i="9" s="1"/>
  <c r="E17" i="53"/>
  <c r="L36" i="52"/>
  <c r="N16" i="51"/>
  <c r="I143" i="53"/>
  <c r="Q143" i="53"/>
  <c r="M143" i="53"/>
  <c r="L143" i="53"/>
  <c r="N143" i="53"/>
  <c r="O143" i="53"/>
  <c r="P143" i="53"/>
  <c r="L122" i="53"/>
  <c r="J83" i="53"/>
  <c r="J79" i="53"/>
  <c r="D5" i="37"/>
  <c r="C7" i="37" s="1"/>
  <c r="D23" i="12"/>
  <c r="A48" i="9"/>
  <c r="I84" i="53"/>
  <c r="H16" i="53"/>
  <c r="H80" i="53"/>
  <c r="H29" i="53"/>
  <c r="H31" i="53" s="1"/>
  <c r="H15" i="35" s="1"/>
  <c r="J26" i="51"/>
  <c r="I123" i="53"/>
  <c r="I124" i="53" s="1"/>
  <c r="G85" i="53"/>
  <c r="D17" i="53"/>
  <c r="K99" i="49"/>
  <c r="J107" i="49"/>
  <c r="J33" i="49" s="1"/>
  <c r="Q62" i="51"/>
  <c r="K41" i="51"/>
  <c r="J48" i="51"/>
  <c r="O17" i="51"/>
  <c r="O38" i="35"/>
  <c r="N25" i="52"/>
  <c r="R33" i="52"/>
  <c r="F58" i="52"/>
  <c r="F62" i="52" s="1"/>
  <c r="J50" i="51"/>
  <c r="J60" i="51" s="1"/>
  <c r="K99" i="51"/>
  <c r="M25" i="52"/>
  <c r="N38" i="35"/>
  <c r="G20" i="43"/>
  <c r="H17" i="43" s="1"/>
  <c r="G19" i="43"/>
  <c r="E17" i="49"/>
  <c r="E15" i="49"/>
  <c r="E23" i="49" s="1"/>
  <c r="E30" i="49" s="1"/>
  <c r="E32" i="49" s="1"/>
  <c r="E35" i="49" s="1"/>
  <c r="E16" i="49"/>
  <c r="G31" i="53"/>
  <c r="G15" i="35" s="1"/>
  <c r="I56" i="52"/>
  <c r="E58" i="52"/>
  <c r="E62" i="52" s="1"/>
  <c r="M63" i="51"/>
  <c r="K46" i="52"/>
  <c r="J72" i="51"/>
  <c r="M40" i="51"/>
  <c r="K27" i="51"/>
  <c r="L27" i="51" s="1"/>
  <c r="M27" i="51" s="1"/>
  <c r="N27" i="51" s="1"/>
  <c r="O27" i="51" s="1"/>
  <c r="P27" i="51" s="1"/>
  <c r="Q27" i="51" s="1"/>
  <c r="R27" i="51" s="1"/>
  <c r="S27" i="51" s="1"/>
  <c r="T27" i="51" s="1"/>
  <c r="L25" i="52"/>
  <c r="K25" i="52"/>
  <c r="D10" i="42"/>
  <c r="E17" i="42"/>
  <c r="E9" i="43" s="1"/>
  <c r="E11" i="42"/>
  <c r="F8" i="43" s="1"/>
  <c r="M38" i="35"/>
  <c r="G74" i="51"/>
  <c r="G76" i="51" s="1"/>
  <c r="F35" i="51"/>
  <c r="F76" i="51" s="1"/>
  <c r="H6" i="37"/>
  <c r="F69" i="37"/>
  <c r="F6" i="37"/>
  <c r="G7" i="43"/>
  <c r="F59" i="49"/>
  <c r="F11" i="49" s="1"/>
  <c r="N51" i="49"/>
  <c r="K40" i="37"/>
  <c r="K10" i="42"/>
  <c r="E11" i="43"/>
  <c r="I52" i="49"/>
  <c r="H59" i="49"/>
  <c r="H11" i="49" s="1"/>
  <c r="F83" i="49"/>
  <c r="F13" i="49" s="1"/>
  <c r="G19" i="9" s="1"/>
  <c r="I107" i="49"/>
  <c r="I33" i="49" s="1"/>
  <c r="D83" i="49"/>
  <c r="D13" i="49" s="1"/>
  <c r="E19" i="9" s="1"/>
  <c r="E20" i="9" s="1"/>
  <c r="D59" i="49"/>
  <c r="D11" i="49" s="1"/>
  <c r="K41" i="48"/>
  <c r="H75" i="48"/>
  <c r="G83" i="48"/>
  <c r="G13" i="48" s="1"/>
  <c r="H18" i="9" s="1"/>
  <c r="H51" i="48"/>
  <c r="G59" i="48"/>
  <c r="G11" i="48" s="1"/>
  <c r="J131" i="48"/>
  <c r="R131" i="48"/>
  <c r="M131" i="48"/>
  <c r="L131" i="48"/>
  <c r="N131" i="48"/>
  <c r="H126" i="48"/>
  <c r="Q131" i="48"/>
  <c r="I131" i="48"/>
  <c r="N131" i="49"/>
  <c r="H126" i="49"/>
  <c r="O131" i="49"/>
  <c r="I131" i="49"/>
  <c r="Q131" i="49"/>
  <c r="G107" i="49"/>
  <c r="G33" i="49" s="1"/>
  <c r="F59" i="48"/>
  <c r="F11" i="48" s="1"/>
  <c r="D59" i="48"/>
  <c r="D11" i="48" s="1"/>
  <c r="E59" i="48"/>
  <c r="E11" i="48" s="1"/>
  <c r="F83" i="48"/>
  <c r="F13" i="48" s="1"/>
  <c r="G18" i="9" s="1"/>
  <c r="E83" i="48"/>
  <c r="E13" i="48" s="1"/>
  <c r="F18" i="9" s="1"/>
  <c r="G107" i="48"/>
  <c r="G33" i="48" s="1"/>
  <c r="J107" i="48"/>
  <c r="J33" i="48" s="1"/>
  <c r="K99" i="48"/>
  <c r="B23" i="12"/>
  <c r="B46" i="12" s="1"/>
  <c r="D16" i="12"/>
  <c r="C38" i="12"/>
  <c r="C45" i="12" s="1"/>
  <c r="C46" i="12" s="1"/>
  <c r="D36" i="12"/>
  <c r="D38" i="12" s="1"/>
  <c r="D45" i="12" s="1"/>
  <c r="F20" i="9" l="1"/>
  <c r="C8" i="37"/>
  <c r="C9" i="37" s="1"/>
  <c r="H83" i="48"/>
  <c r="H13" i="48" s="1"/>
  <c r="I18" i="9" s="1"/>
  <c r="I75" i="48"/>
  <c r="J52" i="49"/>
  <c r="I59" i="49"/>
  <c r="I11" i="49" s="1"/>
  <c r="K103" i="53"/>
  <c r="J22" i="53"/>
  <c r="H12" i="53"/>
  <c r="I80" i="53"/>
  <c r="H20" i="53"/>
  <c r="H25" i="53" s="1"/>
  <c r="H106" i="53"/>
  <c r="I101" i="53"/>
  <c r="I75" i="49"/>
  <c r="H83" i="49"/>
  <c r="H13" i="49" s="1"/>
  <c r="I19" i="9" s="1"/>
  <c r="I126" i="49"/>
  <c r="L33" i="42"/>
  <c r="K12" i="42"/>
  <c r="D53" i="9"/>
  <c r="G69" i="37"/>
  <c r="E10" i="42"/>
  <c r="P17" i="51"/>
  <c r="P38" i="35" s="1"/>
  <c r="L99" i="49"/>
  <c r="K107" i="49"/>
  <c r="K33" i="49" s="1"/>
  <c r="K83" i="53"/>
  <c r="J15" i="53"/>
  <c r="G20" i="9"/>
  <c r="F17" i="35"/>
  <c r="G11" i="9"/>
  <c r="E17" i="48"/>
  <c r="E15" i="48"/>
  <c r="E23" i="48" s="1"/>
  <c r="E30" i="48" s="1"/>
  <c r="E32" i="48" s="1"/>
  <c r="E35" i="48" s="1"/>
  <c r="E16" i="48"/>
  <c r="F12" i="9"/>
  <c r="J133" i="48"/>
  <c r="L74" i="9"/>
  <c r="N63" i="51"/>
  <c r="L46" i="52"/>
  <c r="G15" i="49"/>
  <c r="G23" i="49" s="1"/>
  <c r="G30" i="49" s="1"/>
  <c r="G32" i="49" s="1"/>
  <c r="G35" i="49" s="1"/>
  <c r="K100" i="51"/>
  <c r="K101" i="51" s="1"/>
  <c r="K102" i="51"/>
  <c r="H40" i="53" s="1"/>
  <c r="H44" i="53" s="1"/>
  <c r="H23" i="35" s="1"/>
  <c r="J74" i="51"/>
  <c r="D71" i="53"/>
  <c r="D33" i="53"/>
  <c r="D11" i="35"/>
  <c r="I16" i="53"/>
  <c r="J84" i="53"/>
  <c r="M122" i="53"/>
  <c r="L29" i="53"/>
  <c r="I13" i="53"/>
  <c r="J81" i="53"/>
  <c r="I31" i="53"/>
  <c r="I15" i="35" s="1"/>
  <c r="K13" i="51"/>
  <c r="H17" i="53"/>
  <c r="K39" i="51"/>
  <c r="J27" i="52" s="1"/>
  <c r="B28" i="9"/>
  <c r="F19" i="9"/>
  <c r="E75" i="43"/>
  <c r="E88" i="43"/>
  <c r="E71" i="43"/>
  <c r="L60" i="43"/>
  <c r="E31" i="43"/>
  <c r="J11" i="53"/>
  <c r="K79" i="53"/>
  <c r="E33" i="53"/>
  <c r="E63" i="53"/>
  <c r="E71" i="53"/>
  <c r="E11" i="35"/>
  <c r="F63" i="53"/>
  <c r="K107" i="48"/>
  <c r="K33" i="48" s="1"/>
  <c r="L99" i="48"/>
  <c r="D16" i="48"/>
  <c r="D17" i="48"/>
  <c r="D15" i="48"/>
  <c r="D23" i="48" s="1"/>
  <c r="D30" i="48" s="1"/>
  <c r="D32" i="48" s="1"/>
  <c r="D35" i="48" s="1"/>
  <c r="E12" i="9"/>
  <c r="G17" i="49"/>
  <c r="L41" i="51"/>
  <c r="J14" i="52"/>
  <c r="H85" i="53"/>
  <c r="K27" i="52"/>
  <c r="M43" i="51"/>
  <c r="K28" i="52"/>
  <c r="K23" i="53"/>
  <c r="L104" i="53"/>
  <c r="G33" i="53"/>
  <c r="J21" i="53"/>
  <c r="K102" i="53"/>
  <c r="F16" i="49"/>
  <c r="F15" i="49"/>
  <c r="F17" i="49"/>
  <c r="G13" i="9"/>
  <c r="G16" i="49"/>
  <c r="R62" i="51"/>
  <c r="I30" i="53"/>
  <c r="J123" i="53"/>
  <c r="D46" i="12"/>
  <c r="K105" i="53"/>
  <c r="J24" i="53"/>
  <c r="G27" i="9"/>
  <c r="O27" i="9"/>
  <c r="H27" i="9"/>
  <c r="P27" i="9"/>
  <c r="I27" i="9"/>
  <c r="Q27" i="9"/>
  <c r="J27" i="9"/>
  <c r="R27" i="9"/>
  <c r="B32" i="9"/>
  <c r="K27" i="9"/>
  <c r="L27" i="9"/>
  <c r="M27" i="9"/>
  <c r="E27" i="9"/>
  <c r="F27" i="9"/>
  <c r="N27" i="9"/>
  <c r="I14" i="53"/>
  <c r="J82" i="53"/>
  <c r="G71" i="53"/>
  <c r="E69" i="37"/>
  <c r="G16" i="48"/>
  <c r="G15" i="48"/>
  <c r="G23" i="48" s="1"/>
  <c r="G30" i="48" s="1"/>
  <c r="G32" i="48" s="1"/>
  <c r="G35" i="48" s="1"/>
  <c r="G17" i="48"/>
  <c r="H12" i="9"/>
  <c r="H127" i="48"/>
  <c r="H128" i="48" s="1"/>
  <c r="H21" i="48" s="1"/>
  <c r="K127" i="48"/>
  <c r="K132" i="48"/>
  <c r="K133" i="48" s="1"/>
  <c r="L132" i="48"/>
  <c r="L133" i="48" s="1"/>
  <c r="H132" i="48"/>
  <c r="H133" i="48" s="1"/>
  <c r="I127" i="48"/>
  <c r="I132" i="48"/>
  <c r="I133" i="48" s="1"/>
  <c r="J127" i="48"/>
  <c r="J132" i="48"/>
  <c r="L127" i="48"/>
  <c r="K9" i="44"/>
  <c r="J15" i="44"/>
  <c r="I31" i="9"/>
  <c r="I34" i="9" s="1"/>
  <c r="Q31" i="9"/>
  <c r="Q34" i="9" s="1"/>
  <c r="B47" i="9"/>
  <c r="J31" i="9"/>
  <c r="J34" i="9" s="1"/>
  <c r="R31" i="9"/>
  <c r="R34" i="9" s="1"/>
  <c r="K31" i="9"/>
  <c r="K34" i="9" s="1"/>
  <c r="L31" i="9"/>
  <c r="L34" i="9" s="1"/>
  <c r="E31" i="9"/>
  <c r="E34" i="9" s="1"/>
  <c r="M31" i="9"/>
  <c r="M34" i="9" s="1"/>
  <c r="O31" i="9"/>
  <c r="O34" i="9" s="1"/>
  <c r="P31" i="9"/>
  <c r="P34" i="9" s="1"/>
  <c r="H31" i="9"/>
  <c r="H34" i="9" s="1"/>
  <c r="N31" i="9"/>
  <c r="N34" i="9" s="1"/>
  <c r="G31" i="9"/>
  <c r="G34" i="9" s="1"/>
  <c r="F31" i="9"/>
  <c r="F34" i="9" s="1"/>
  <c r="G17" i="35"/>
  <c r="G21" i="35" s="1"/>
  <c r="H11" i="9"/>
  <c r="H14" i="9" s="1"/>
  <c r="E89" i="43"/>
  <c r="F37" i="53"/>
  <c r="F69" i="53"/>
  <c r="F9" i="43"/>
  <c r="F17" i="48"/>
  <c r="F16" i="48"/>
  <c r="F15" i="48"/>
  <c r="G12" i="9"/>
  <c r="K132" i="49"/>
  <c r="K133" i="49" s="1"/>
  <c r="L132" i="49"/>
  <c r="L133" i="49" s="1"/>
  <c r="J127" i="49"/>
  <c r="K127" i="49"/>
  <c r="I132" i="49"/>
  <c r="I133" i="49" s="1"/>
  <c r="J132" i="49"/>
  <c r="J133" i="49" s="1"/>
  <c r="H132" i="49"/>
  <c r="H133" i="49" s="1"/>
  <c r="I127" i="49"/>
  <c r="H127" i="49"/>
  <c r="H128" i="49" s="1"/>
  <c r="H21" i="49" s="1"/>
  <c r="I126" i="48"/>
  <c r="I51" i="48"/>
  <c r="H59" i="48"/>
  <c r="H11" i="48" s="1"/>
  <c r="O16" i="51"/>
  <c r="M36" i="52"/>
  <c r="G43" i="52"/>
  <c r="I34" i="52"/>
  <c r="D17" i="49"/>
  <c r="D16" i="49"/>
  <c r="D15" i="49"/>
  <c r="D23" i="49" s="1"/>
  <c r="D30" i="49" s="1"/>
  <c r="D32" i="49" s="1"/>
  <c r="D35" i="49" s="1"/>
  <c r="E13" i="9"/>
  <c r="H15" i="49"/>
  <c r="H16" i="49"/>
  <c r="H17" i="49"/>
  <c r="I13" i="9"/>
  <c r="O51" i="49"/>
  <c r="N40" i="51"/>
  <c r="H20" i="43"/>
  <c r="I17" i="43" s="1"/>
  <c r="H19" i="43"/>
  <c r="J33" i="51"/>
  <c r="H143" i="53"/>
  <c r="H137" i="53"/>
  <c r="J34" i="52"/>
  <c r="K69" i="52"/>
  <c r="H139" i="53"/>
  <c r="H145" i="53" s="1"/>
  <c r="O33" i="52"/>
  <c r="K28" i="53"/>
  <c r="L121" i="53"/>
  <c r="K50" i="51" l="1"/>
  <c r="L99" i="51"/>
  <c r="B42" i="37"/>
  <c r="C32" i="37"/>
  <c r="P16" i="51"/>
  <c r="N36" i="52"/>
  <c r="E69" i="53"/>
  <c r="E64" i="53"/>
  <c r="E37" i="53"/>
  <c r="E72" i="43"/>
  <c r="E32" i="43" s="1"/>
  <c r="K15" i="53"/>
  <c r="L83" i="53"/>
  <c r="I83" i="49"/>
  <c r="I13" i="49" s="1"/>
  <c r="J19" i="9" s="1"/>
  <c r="J75" i="49"/>
  <c r="K123" i="53"/>
  <c r="J30" i="53"/>
  <c r="J31" i="53" s="1"/>
  <c r="J15" i="35" s="1"/>
  <c r="J124" i="53"/>
  <c r="M99" i="48"/>
  <c r="L107" i="48"/>
  <c r="L33" i="48" s="1"/>
  <c r="K11" i="53"/>
  <c r="L79" i="53"/>
  <c r="K81" i="53"/>
  <c r="J13" i="53"/>
  <c r="N59" i="9"/>
  <c r="I59" i="9"/>
  <c r="Q59" i="9"/>
  <c r="J59" i="9"/>
  <c r="R59" i="9"/>
  <c r="H59" i="9"/>
  <c r="H54" i="9"/>
  <c r="P59" i="9"/>
  <c r="K59" i="9"/>
  <c r="M59" i="9"/>
  <c r="O59" i="9"/>
  <c r="L59" i="9"/>
  <c r="J13" i="9"/>
  <c r="P51" i="49"/>
  <c r="M127" i="49"/>
  <c r="K15" i="44"/>
  <c r="L9" i="44"/>
  <c r="E76" i="43"/>
  <c r="E77" i="43" s="1"/>
  <c r="F75" i="43" s="1"/>
  <c r="O63" i="51"/>
  <c r="M46" i="52"/>
  <c r="M99" i="49"/>
  <c r="L107" i="49"/>
  <c r="L33" i="49" s="1"/>
  <c r="K52" i="49"/>
  <c r="J59" i="49"/>
  <c r="J11" i="49" s="1"/>
  <c r="Q33" i="52"/>
  <c r="I59" i="48"/>
  <c r="I11" i="48" s="1"/>
  <c r="J51" i="48"/>
  <c r="M39" i="51"/>
  <c r="L27" i="52" s="1"/>
  <c r="M13" i="51"/>
  <c r="G14" i="9"/>
  <c r="O25" i="52"/>
  <c r="H13" i="35"/>
  <c r="I17" i="9" s="1"/>
  <c r="I20" i="9" s="1"/>
  <c r="K14" i="51"/>
  <c r="K38" i="51"/>
  <c r="J75" i="48"/>
  <c r="I83" i="48"/>
  <c r="I13" i="48" s="1"/>
  <c r="J18" i="9" s="1"/>
  <c r="H23" i="9"/>
  <c r="H22" i="9"/>
  <c r="L23" i="53"/>
  <c r="M104" i="53"/>
  <c r="I137" i="53"/>
  <c r="H140" i="53"/>
  <c r="H35" i="53" s="1"/>
  <c r="K24" i="51"/>
  <c r="G32" i="35"/>
  <c r="G25" i="35"/>
  <c r="G29" i="35" s="1"/>
  <c r="M41" i="51"/>
  <c r="K14" i="52"/>
  <c r="E90" i="43"/>
  <c r="E91" i="43" s="1"/>
  <c r="D69" i="53"/>
  <c r="D37" i="53"/>
  <c r="I20" i="53"/>
  <c r="I25" i="53" s="1"/>
  <c r="J101" i="53"/>
  <c r="I106" i="53"/>
  <c r="H146" i="53"/>
  <c r="H15" i="48"/>
  <c r="H23" i="48" s="1"/>
  <c r="H16" i="48"/>
  <c r="H17" i="48"/>
  <c r="I12" i="9"/>
  <c r="J126" i="48"/>
  <c r="I128" i="48"/>
  <c r="I21" i="48" s="1"/>
  <c r="L127" i="49"/>
  <c r="F70" i="53"/>
  <c r="F65" i="53"/>
  <c r="F46" i="53"/>
  <c r="F55" i="53" s="1"/>
  <c r="J14" i="53"/>
  <c r="K82" i="53"/>
  <c r="I32" i="9"/>
  <c r="Q32" i="9"/>
  <c r="J32" i="9"/>
  <c r="R32" i="9"/>
  <c r="K32" i="9"/>
  <c r="L32" i="9"/>
  <c r="E32" i="9"/>
  <c r="M32" i="9"/>
  <c r="B48" i="9"/>
  <c r="L48" i="9" s="1"/>
  <c r="N32" i="9"/>
  <c r="F32" i="9"/>
  <c r="G32" i="9"/>
  <c r="H32" i="9"/>
  <c r="O32" i="9"/>
  <c r="P32" i="9"/>
  <c r="S62" i="51"/>
  <c r="N43" i="51"/>
  <c r="L28" i="52"/>
  <c r="G28" i="9"/>
  <c r="O28" i="9"/>
  <c r="H28" i="9"/>
  <c r="P28" i="9"/>
  <c r="I28" i="9"/>
  <c r="Q28" i="9"/>
  <c r="J28" i="9"/>
  <c r="R28" i="9"/>
  <c r="B33" i="9"/>
  <c r="K28" i="9"/>
  <c r="E28" i="9"/>
  <c r="N28" i="9"/>
  <c r="F28" i="9"/>
  <c r="L28" i="9"/>
  <c r="M28" i="9"/>
  <c r="H45" i="35"/>
  <c r="F21" i="35"/>
  <c r="L28" i="53"/>
  <c r="M121" i="53"/>
  <c r="F23" i="49"/>
  <c r="F30" i="49" s="1"/>
  <c r="F32" i="49" s="1"/>
  <c r="F35" i="49" s="1"/>
  <c r="H43" i="49"/>
  <c r="D17" i="35"/>
  <c r="D21" i="35" s="1"/>
  <c r="E11" i="9"/>
  <c r="E14" i="9" s="1"/>
  <c r="K22" i="53"/>
  <c r="L103" i="53"/>
  <c r="K61" i="43"/>
  <c r="K39" i="43" s="1"/>
  <c r="E93" i="43"/>
  <c r="E38" i="43"/>
  <c r="E41" i="43" s="1"/>
  <c r="F38" i="43" s="1"/>
  <c r="F41" i="43" s="1"/>
  <c r="G38" i="43" s="1"/>
  <c r="G41" i="43" s="1"/>
  <c r="H38" i="43" s="1"/>
  <c r="H41" i="43" s="1"/>
  <c r="I38" i="43" s="1"/>
  <c r="I41" i="43" s="1"/>
  <c r="J38" i="43" s="1"/>
  <c r="J41" i="43" s="1"/>
  <c r="K38" i="43" s="1"/>
  <c r="K41" i="43" s="1"/>
  <c r="L38" i="43" s="1"/>
  <c r="L41" i="43" s="1"/>
  <c r="M38" i="43" s="1"/>
  <c r="M41" i="43" s="1"/>
  <c r="N38" i="43" s="1"/>
  <c r="N41" i="43" s="1"/>
  <c r="E94" i="43"/>
  <c r="I43" i="52"/>
  <c r="G37" i="35"/>
  <c r="F64" i="53"/>
  <c r="L102" i="53"/>
  <c r="K21" i="53"/>
  <c r="F11" i="9"/>
  <c r="F14" i="9" s="1"/>
  <c r="E17" i="35"/>
  <c r="E21" i="35" s="1"/>
  <c r="M29" i="53"/>
  <c r="N122" i="53"/>
  <c r="Q17" i="51"/>
  <c r="P25" i="52" s="1"/>
  <c r="Q38" i="35"/>
  <c r="J80" i="53"/>
  <c r="I12" i="53"/>
  <c r="I17" i="53" s="1"/>
  <c r="I85" i="53"/>
  <c r="O47" i="9"/>
  <c r="O46" i="9" s="1"/>
  <c r="K29" i="37" s="1"/>
  <c r="J47" i="9"/>
  <c r="J46" i="9" s="1"/>
  <c r="F29" i="37" s="1"/>
  <c r="R47" i="9"/>
  <c r="R46" i="9" s="1"/>
  <c r="N29" i="37" s="1"/>
  <c r="K47" i="9"/>
  <c r="K46" i="9" s="1"/>
  <c r="G29" i="37" s="1"/>
  <c r="N47" i="9"/>
  <c r="N46" i="9" s="1"/>
  <c r="J29" i="37" s="1"/>
  <c r="H47" i="9"/>
  <c r="H46" i="9" s="1"/>
  <c r="I47" i="9"/>
  <c r="I46" i="9" s="1"/>
  <c r="E29" i="37" s="1"/>
  <c r="L47" i="9"/>
  <c r="L46" i="9" s="1"/>
  <c r="H29" i="37" s="1"/>
  <c r="M47" i="9"/>
  <c r="M46" i="9" s="1"/>
  <c r="I29" i="37" s="1"/>
  <c r="P47" i="9"/>
  <c r="P46" i="9" s="1"/>
  <c r="L29" i="37" s="1"/>
  <c r="Q47" i="9"/>
  <c r="Q46" i="9" s="1"/>
  <c r="M29" i="37" s="1"/>
  <c r="L105" i="53"/>
  <c r="K24" i="53"/>
  <c r="E35" i="43"/>
  <c r="E34" i="43"/>
  <c r="F31" i="43" s="1"/>
  <c r="K12" i="51"/>
  <c r="H71" i="53"/>
  <c r="H11" i="35"/>
  <c r="H33" i="53"/>
  <c r="H63" i="53"/>
  <c r="J16" i="53"/>
  <c r="K84" i="53"/>
  <c r="E12" i="42"/>
  <c r="L36" i="42"/>
  <c r="L35" i="42"/>
  <c r="E27" i="42"/>
  <c r="I128" i="49"/>
  <c r="I21" i="49" s="1"/>
  <c r="J126" i="49"/>
  <c r="O40" i="51"/>
  <c r="K34" i="52"/>
  <c r="I139" i="53"/>
  <c r="I145" i="53" s="1"/>
  <c r="I146" i="53" s="1"/>
  <c r="L69" i="52"/>
  <c r="I19" i="43"/>
  <c r="I20" i="43"/>
  <c r="J17" i="43" s="1"/>
  <c r="H23" i="49"/>
  <c r="H43" i="48"/>
  <c r="F23" i="48"/>
  <c r="F30" i="48" s="1"/>
  <c r="F32" i="48" s="1"/>
  <c r="F35" i="48" s="1"/>
  <c r="J43" i="52"/>
  <c r="H37" i="35"/>
  <c r="K23" i="51"/>
  <c r="G64" i="53"/>
  <c r="G37" i="53"/>
  <c r="G69" i="53"/>
  <c r="K23" i="52"/>
  <c r="J23" i="52"/>
  <c r="F76" i="43" l="1"/>
  <c r="F77" i="43" s="1"/>
  <c r="G75" i="43" s="1"/>
  <c r="F88" i="43"/>
  <c r="F89" i="43"/>
  <c r="P40" i="51"/>
  <c r="L21" i="53"/>
  <c r="M102" i="53"/>
  <c r="K51" i="48"/>
  <c r="J59" i="48"/>
  <c r="J11" i="48" s="1"/>
  <c r="J128" i="49"/>
  <c r="J21" i="49" s="1"/>
  <c r="K126" i="49"/>
  <c r="G23" i="9"/>
  <c r="G22" i="9"/>
  <c r="I15" i="48"/>
  <c r="I23" i="48" s="1"/>
  <c r="I17" i="48"/>
  <c r="I16" i="48"/>
  <c r="J12" i="9"/>
  <c r="M48" i="9"/>
  <c r="M132" i="48"/>
  <c r="M133" i="48" s="1"/>
  <c r="M127" i="48"/>
  <c r="J20" i="43"/>
  <c r="J19" i="43"/>
  <c r="H37" i="53"/>
  <c r="H64" i="53"/>
  <c r="H69" i="53"/>
  <c r="H153" i="53"/>
  <c r="H49" i="53" s="1"/>
  <c r="M103" i="53"/>
  <c r="L22" i="53"/>
  <c r="K126" i="48"/>
  <c r="J128" i="48"/>
  <c r="J21" i="48" s="1"/>
  <c r="D15" i="37"/>
  <c r="P63" i="51"/>
  <c r="N46" i="52"/>
  <c r="M107" i="48"/>
  <c r="M33" i="48" s="1"/>
  <c r="N48" i="9" s="1"/>
  <c r="N99" i="48"/>
  <c r="Q16" i="51"/>
  <c r="O36" i="52"/>
  <c r="H17" i="35"/>
  <c r="H21" i="35" s="1"/>
  <c r="I11" i="9"/>
  <c r="I14" i="9" s="1"/>
  <c r="O122" i="53"/>
  <c r="N29" i="53"/>
  <c r="M132" i="49"/>
  <c r="M133" i="49" s="1"/>
  <c r="F25" i="35"/>
  <c r="F29" i="35" s="1"/>
  <c r="F32" i="35"/>
  <c r="F39" i="35" s="1"/>
  <c r="I33" i="9"/>
  <c r="Q33" i="9"/>
  <c r="J33" i="9"/>
  <c r="R33" i="9"/>
  <c r="K33" i="9"/>
  <c r="L33" i="9"/>
  <c r="E33" i="9"/>
  <c r="M33" i="9"/>
  <c r="F33" i="9"/>
  <c r="G33" i="9"/>
  <c r="B49" i="9"/>
  <c r="M49" i="9" s="1"/>
  <c r="H33" i="9"/>
  <c r="P33" i="9"/>
  <c r="N33" i="9"/>
  <c r="O33" i="9"/>
  <c r="L38" i="51"/>
  <c r="L14" i="51"/>
  <c r="I13" i="35"/>
  <c r="J17" i="9" s="1"/>
  <c r="J20" i="9" s="1"/>
  <c r="G39" i="35"/>
  <c r="L23" i="52"/>
  <c r="S33" i="52"/>
  <c r="M28" i="53"/>
  <c r="N121" i="53"/>
  <c r="H28" i="49"/>
  <c r="H30" i="49"/>
  <c r="H32" i="49" s="1"/>
  <c r="H35" i="49" s="1"/>
  <c r="M105" i="53"/>
  <c r="L24" i="53"/>
  <c r="R17" i="51"/>
  <c r="Q25" i="52" s="1"/>
  <c r="N41" i="51"/>
  <c r="L14" i="52"/>
  <c r="M83" i="53"/>
  <c r="L15" i="53"/>
  <c r="G65" i="53"/>
  <c r="G70" i="53"/>
  <c r="G46" i="53"/>
  <c r="G55" i="53" s="1"/>
  <c r="J106" i="53"/>
  <c r="K101" i="53"/>
  <c r="J20" i="53"/>
  <c r="J25" i="53" s="1"/>
  <c r="L23" i="51"/>
  <c r="K26" i="51"/>
  <c r="K33" i="51" s="1"/>
  <c r="L34" i="52"/>
  <c r="M69" i="52"/>
  <c r="J139" i="53"/>
  <c r="J145" i="53" s="1"/>
  <c r="J146" i="53" s="1"/>
  <c r="E22" i="9"/>
  <c r="E23" i="9"/>
  <c r="E36" i="9" s="1"/>
  <c r="F66" i="53"/>
  <c r="D46" i="53"/>
  <c r="D55" i="53" s="1"/>
  <c r="D70" i="53"/>
  <c r="L24" i="51"/>
  <c r="K75" i="48"/>
  <c r="J83" i="48"/>
  <c r="J13" i="48" s="1"/>
  <c r="K18" i="9" s="1"/>
  <c r="J15" i="49"/>
  <c r="J23" i="49" s="1"/>
  <c r="K13" i="9"/>
  <c r="I17" i="49"/>
  <c r="I54" i="9"/>
  <c r="E73" i="43"/>
  <c r="F71" i="43" s="1"/>
  <c r="B44" i="37"/>
  <c r="B76" i="9"/>
  <c r="J22" i="52"/>
  <c r="J29" i="52" s="1"/>
  <c r="E25" i="35"/>
  <c r="E29" i="35" s="1"/>
  <c r="E32" i="35"/>
  <c r="E39" i="35" s="1"/>
  <c r="D25" i="35"/>
  <c r="D29" i="35" s="1"/>
  <c r="D32" i="35"/>
  <c r="D39" i="35" s="1"/>
  <c r="M28" i="52"/>
  <c r="O43" i="51"/>
  <c r="H19" i="35"/>
  <c r="H35" i="35" s="1"/>
  <c r="J12" i="52"/>
  <c r="J26" i="52"/>
  <c r="K48" i="51"/>
  <c r="N127" i="48"/>
  <c r="L52" i="49"/>
  <c r="K59" i="49"/>
  <c r="K11" i="49" s="1"/>
  <c r="I16" i="49"/>
  <c r="K13" i="53"/>
  <c r="L81" i="53"/>
  <c r="K30" i="53"/>
  <c r="K31" i="53" s="1"/>
  <c r="K15" i="35" s="1"/>
  <c r="L123" i="53"/>
  <c r="K124" i="53"/>
  <c r="E96" i="43"/>
  <c r="E95" i="43"/>
  <c r="Q51" i="49"/>
  <c r="I37" i="35"/>
  <c r="K43" i="52"/>
  <c r="L32" i="42"/>
  <c r="L31" i="42"/>
  <c r="F7" i="43"/>
  <c r="L30" i="42"/>
  <c r="L34" i="42"/>
  <c r="F35" i="43"/>
  <c r="L12" i="51"/>
  <c r="I33" i="53"/>
  <c r="I63" i="53"/>
  <c r="I11" i="35"/>
  <c r="I71" i="53"/>
  <c r="F22" i="9"/>
  <c r="F23" i="9"/>
  <c r="F36" i="9" s="1"/>
  <c r="J48" i="9"/>
  <c r="I48" i="9"/>
  <c r="K48" i="9"/>
  <c r="H48" i="9"/>
  <c r="J137" i="53"/>
  <c r="I140" i="53"/>
  <c r="I35" i="53" s="1"/>
  <c r="J24" i="52"/>
  <c r="N132" i="49"/>
  <c r="N133" i="49" s="1"/>
  <c r="L15" i="44"/>
  <c r="M9" i="44"/>
  <c r="I15" i="49"/>
  <c r="I23" i="49" s="1"/>
  <c r="M79" i="53"/>
  <c r="L11" i="53"/>
  <c r="E65" i="53"/>
  <c r="E46" i="53"/>
  <c r="E55" i="53" s="1"/>
  <c r="E70" i="53"/>
  <c r="L100" i="51"/>
  <c r="L101" i="51"/>
  <c r="L102" i="51"/>
  <c r="I40" i="53" s="1"/>
  <c r="I44" i="53" s="1"/>
  <c r="I23" i="35" s="1"/>
  <c r="K16" i="53"/>
  <c r="L84" i="53"/>
  <c r="D29" i="37"/>
  <c r="L55" i="9"/>
  <c r="K60" i="9"/>
  <c r="K61" i="9" s="1"/>
  <c r="O55" i="9"/>
  <c r="N60" i="9"/>
  <c r="N61" i="9" s="1"/>
  <c r="H55" i="9"/>
  <c r="H56" i="9" s="1"/>
  <c r="H35" i="9" s="1"/>
  <c r="P55" i="9"/>
  <c r="O60" i="9"/>
  <c r="O61" i="9" s="1"/>
  <c r="N55" i="9"/>
  <c r="H60" i="9"/>
  <c r="H61" i="9" s="1"/>
  <c r="H38" i="9" s="1"/>
  <c r="Q60" i="9"/>
  <c r="Q61" i="9" s="1"/>
  <c r="Q55" i="9"/>
  <c r="I60" i="9"/>
  <c r="I61" i="9" s="1"/>
  <c r="J55" i="9"/>
  <c r="R55" i="9"/>
  <c r="J60" i="9"/>
  <c r="P60" i="9"/>
  <c r="P61" i="9" s="1"/>
  <c r="L60" i="9"/>
  <c r="L61" i="9" s="1"/>
  <c r="M55" i="9"/>
  <c r="I55" i="9"/>
  <c r="M60" i="9"/>
  <c r="M61" i="9" s="1"/>
  <c r="K55" i="9"/>
  <c r="R60" i="9"/>
  <c r="R61" i="9" s="1"/>
  <c r="J12" i="53"/>
  <c r="J17" i="53" s="1"/>
  <c r="K80" i="53"/>
  <c r="J85" i="53"/>
  <c r="T62" i="51"/>
  <c r="L82" i="53"/>
  <c r="K14" i="53"/>
  <c r="H30" i="48"/>
  <c r="H32" i="48" s="1"/>
  <c r="H35" i="48" s="1"/>
  <c r="H28" i="48"/>
  <c r="N104" i="53"/>
  <c r="M23" i="53"/>
  <c r="N99" i="49"/>
  <c r="M107" i="49"/>
  <c r="M33" i="49" s="1"/>
  <c r="J61" i="9"/>
  <c r="N39" i="51"/>
  <c r="M27" i="52" s="1"/>
  <c r="N13" i="51"/>
  <c r="M23" i="52" s="1"/>
  <c r="K75" i="49"/>
  <c r="J83" i="49"/>
  <c r="J13" i="49" s="1"/>
  <c r="K19" i="9" s="1"/>
  <c r="J47" i="52"/>
  <c r="J56" i="52" s="1"/>
  <c r="G76" i="43" l="1"/>
  <c r="G77" i="43" s="1"/>
  <c r="H75" i="43" s="1"/>
  <c r="D16" i="37"/>
  <c r="H36" i="9"/>
  <c r="O13" i="51"/>
  <c r="O39" i="51"/>
  <c r="N27" i="52" s="1"/>
  <c r="L13" i="9"/>
  <c r="I23" i="9"/>
  <c r="I22" i="9"/>
  <c r="H25" i="35"/>
  <c r="H32" i="35"/>
  <c r="L14" i="53"/>
  <c r="M82" i="53"/>
  <c r="M99" i="51"/>
  <c r="L50" i="51"/>
  <c r="L30" i="53"/>
  <c r="L31" i="53" s="1"/>
  <c r="L15" i="35" s="1"/>
  <c r="M123" i="53"/>
  <c r="L124" i="53"/>
  <c r="J17" i="49"/>
  <c r="K20" i="53"/>
  <c r="K25" i="53" s="1"/>
  <c r="L101" i="53"/>
  <c r="K106" i="53"/>
  <c r="K26" i="52"/>
  <c r="L48" i="51"/>
  <c r="O46" i="52"/>
  <c r="Q63" i="51"/>
  <c r="Q40" i="51"/>
  <c r="N49" i="9"/>
  <c r="I28" i="49"/>
  <c r="I30" i="49" s="1"/>
  <c r="I32" i="49" s="1"/>
  <c r="I35" i="49" s="1"/>
  <c r="B45" i="37"/>
  <c r="B79" i="9" s="1"/>
  <c r="B78" i="9"/>
  <c r="J16" i="49"/>
  <c r="O41" i="51"/>
  <c r="M14" i="52"/>
  <c r="O121" i="53"/>
  <c r="N28" i="53"/>
  <c r="R16" i="51"/>
  <c r="P36" i="52"/>
  <c r="L126" i="49"/>
  <c r="K128" i="49"/>
  <c r="K21" i="49" s="1"/>
  <c r="N127" i="49"/>
  <c r="F93" i="43"/>
  <c r="F94" i="43"/>
  <c r="N103" i="53"/>
  <c r="M22" i="53"/>
  <c r="N107" i="49"/>
  <c r="N33" i="49" s="1"/>
  <c r="O99" i="49"/>
  <c r="M15" i="44"/>
  <c r="N9" i="44"/>
  <c r="M81" i="53"/>
  <c r="L13" i="53"/>
  <c r="F72" i="43"/>
  <c r="F32" i="43" s="1"/>
  <c r="F34" i="43" s="1"/>
  <c r="G31" i="43" s="1"/>
  <c r="F73" i="43"/>
  <c r="G71" i="43" s="1"/>
  <c r="G11" i="52"/>
  <c r="G66" i="53"/>
  <c r="N107" i="48"/>
  <c r="N33" i="48" s="1"/>
  <c r="O99" i="48"/>
  <c r="D18" i="37"/>
  <c r="N132" i="48"/>
  <c r="N133" i="48" s="1"/>
  <c r="M23" i="51"/>
  <c r="L26" i="51"/>
  <c r="L33" i="51" s="1"/>
  <c r="I49" i="9"/>
  <c r="H49" i="9"/>
  <c r="K49" i="9"/>
  <c r="J49" i="9"/>
  <c r="L49" i="9"/>
  <c r="E66" i="53"/>
  <c r="K24" i="52"/>
  <c r="K22" i="52"/>
  <c r="K29" i="52" s="1"/>
  <c r="K83" i="48"/>
  <c r="K13" i="48" s="1"/>
  <c r="L18" i="9" s="1"/>
  <c r="L75" i="48"/>
  <c r="M34" i="52"/>
  <c r="N69" i="52"/>
  <c r="K139" i="53"/>
  <c r="K145" i="53" s="1"/>
  <c r="K146" i="53" s="1"/>
  <c r="S17" i="51"/>
  <c r="R25" i="52"/>
  <c r="H46" i="53"/>
  <c r="H70" i="53"/>
  <c r="H155" i="53"/>
  <c r="H154" i="53" s="1"/>
  <c r="H65" i="53"/>
  <c r="J15" i="48"/>
  <c r="J23" i="48" s="1"/>
  <c r="J17" i="48"/>
  <c r="J16" i="48"/>
  <c r="K12" i="9"/>
  <c r="F91" i="43"/>
  <c r="F90" i="43"/>
  <c r="M15" i="53"/>
  <c r="N83" i="53"/>
  <c r="M11" i="53"/>
  <c r="N79" i="53"/>
  <c r="J28" i="49"/>
  <c r="J30" i="49"/>
  <c r="J32" i="49" s="1"/>
  <c r="J35" i="49" s="1"/>
  <c r="L75" i="49"/>
  <c r="K83" i="49"/>
  <c r="K13" i="49" s="1"/>
  <c r="L19" i="9" s="1"/>
  <c r="N23" i="53"/>
  <c r="O104" i="53"/>
  <c r="K12" i="53"/>
  <c r="K17" i="53" s="1"/>
  <c r="L80" i="53"/>
  <c r="K85" i="53"/>
  <c r="K12" i="52"/>
  <c r="I19" i="35"/>
  <c r="I35" i="35" s="1"/>
  <c r="H36" i="35"/>
  <c r="I56" i="9"/>
  <c r="I35" i="9" s="1"/>
  <c r="E16" i="37" s="1"/>
  <c r="J54" i="9"/>
  <c r="M24" i="51"/>
  <c r="J37" i="35"/>
  <c r="L43" i="52"/>
  <c r="K59" i="48"/>
  <c r="K11" i="48" s="1"/>
  <c r="L51" i="48"/>
  <c r="I37" i="53"/>
  <c r="I64" i="53"/>
  <c r="I153" i="53"/>
  <c r="I49" i="53" s="1"/>
  <c r="I69" i="53"/>
  <c r="M52" i="49"/>
  <c r="L59" i="49"/>
  <c r="L11" i="49" s="1"/>
  <c r="M38" i="51"/>
  <c r="M14" i="51"/>
  <c r="L24" i="52" s="1"/>
  <c r="J13" i="35"/>
  <c r="K17" i="9" s="1"/>
  <c r="K20" i="9" s="1"/>
  <c r="G20" i="24"/>
  <c r="G22" i="24" s="1"/>
  <c r="G36" i="9"/>
  <c r="L86" i="9"/>
  <c r="N23" i="52"/>
  <c r="M12" i="51"/>
  <c r="J63" i="53"/>
  <c r="J11" i="35"/>
  <c r="J33" i="53"/>
  <c r="J71" i="53"/>
  <c r="M84" i="53"/>
  <c r="L16" i="53"/>
  <c r="K137" i="53"/>
  <c r="J140" i="53"/>
  <c r="J35" i="53" s="1"/>
  <c r="I17" i="35"/>
  <c r="I21" i="35" s="1"/>
  <c r="J11" i="9"/>
  <c r="J14" i="9" s="1"/>
  <c r="E83" i="43"/>
  <c r="E24" i="43"/>
  <c r="F11" i="43"/>
  <c r="N59" i="43"/>
  <c r="E67" i="43"/>
  <c r="E84" i="43"/>
  <c r="N28" i="52"/>
  <c r="P43" i="51"/>
  <c r="M24" i="53"/>
  <c r="N105" i="53"/>
  <c r="O29" i="53"/>
  <c r="P122" i="53"/>
  <c r="K128" i="48"/>
  <c r="K21" i="48" s="1"/>
  <c r="L126" i="48"/>
  <c r="I28" i="48"/>
  <c r="I30" i="48" s="1"/>
  <c r="I32" i="48" s="1"/>
  <c r="I35" i="48" s="1"/>
  <c r="N102" i="53"/>
  <c r="M21" i="53"/>
  <c r="H76" i="43" l="1"/>
  <c r="H77" i="43" s="1"/>
  <c r="I75" i="43" s="1"/>
  <c r="O107" i="49"/>
  <c r="O33" i="49" s="1"/>
  <c r="P127" i="49" s="1"/>
  <c r="P99" i="49"/>
  <c r="I36" i="35"/>
  <c r="O49" i="9"/>
  <c r="O132" i="49"/>
  <c r="O133" i="49" s="1"/>
  <c r="O127" i="49"/>
  <c r="Q122" i="53"/>
  <c r="Q29" i="53" s="1"/>
  <c r="P29" i="53"/>
  <c r="N24" i="51"/>
  <c r="O24" i="51" s="1"/>
  <c r="G73" i="43"/>
  <c r="H71" i="43" s="1"/>
  <c r="G72" i="43"/>
  <c r="G32" i="43" s="1"/>
  <c r="L22" i="52"/>
  <c r="N84" i="53"/>
  <c r="M16" i="53"/>
  <c r="K54" i="9"/>
  <c r="J56" i="9"/>
  <c r="J35" i="9" s="1"/>
  <c r="F16" i="37" s="1"/>
  <c r="N12" i="51"/>
  <c r="K11" i="35"/>
  <c r="K63" i="53"/>
  <c r="K33" i="53"/>
  <c r="K71" i="53"/>
  <c r="N11" i="53"/>
  <c r="O79" i="53"/>
  <c r="T17" i="51"/>
  <c r="S25" i="52" s="1"/>
  <c r="N23" i="51"/>
  <c r="M26" i="51"/>
  <c r="M33" i="51" s="1"/>
  <c r="G34" i="43"/>
  <c r="H31" i="43" s="1"/>
  <c r="G35" i="43"/>
  <c r="O103" i="53"/>
  <c r="N22" i="53"/>
  <c r="K47" i="52"/>
  <c r="K56" i="52" s="1"/>
  <c r="E15" i="37"/>
  <c r="I36" i="9"/>
  <c r="I38" i="9"/>
  <c r="H42" i="9"/>
  <c r="H44" i="9" s="1"/>
  <c r="H50" i="9" s="1"/>
  <c r="H40" i="9"/>
  <c r="H39" i="9" s="1"/>
  <c r="M126" i="48"/>
  <c r="L128" i="48"/>
  <c r="L21" i="48" s="1"/>
  <c r="K140" i="53"/>
  <c r="K35" i="53" s="1"/>
  <c r="L137" i="53"/>
  <c r="H55" i="53"/>
  <c r="G30" i="52"/>
  <c r="G58" i="52" s="1"/>
  <c r="G62" i="52" s="1"/>
  <c r="I60" i="52" s="1"/>
  <c r="I11" i="52"/>
  <c r="I30" i="52" s="1"/>
  <c r="I58" i="52" s="1"/>
  <c r="F96" i="43"/>
  <c r="F95" i="43"/>
  <c r="L12" i="53"/>
  <c r="L17" i="53" s="1"/>
  <c r="M80" i="53"/>
  <c r="L85" i="53"/>
  <c r="N21" i="53"/>
  <c r="O102" i="53"/>
  <c r="O105" i="53"/>
  <c r="N24" i="53"/>
  <c r="E28" i="43"/>
  <c r="D19" i="37" s="1"/>
  <c r="D20" i="37" s="1"/>
  <c r="O23" i="53"/>
  <c r="P104" i="53"/>
  <c r="P39" i="51"/>
  <c r="O27" i="52" s="1"/>
  <c r="P13" i="51"/>
  <c r="O23" i="52" s="1"/>
  <c r="J28" i="48"/>
  <c r="J30" i="48" s="1"/>
  <c r="J32" i="48" s="1"/>
  <c r="J35" i="48" s="1"/>
  <c r="L128" i="49"/>
  <c r="L21" i="49" s="1"/>
  <c r="M126" i="49"/>
  <c r="P121" i="53"/>
  <c r="O28" i="53"/>
  <c r="R40" i="51"/>
  <c r="M101" i="53"/>
  <c r="L20" i="53"/>
  <c r="L25" i="53" s="1"/>
  <c r="L106" i="53"/>
  <c r="M101" i="51"/>
  <c r="M100" i="51"/>
  <c r="M102" i="51"/>
  <c r="J40" i="53" s="1"/>
  <c r="J44" i="53" s="1"/>
  <c r="J23" i="35" s="1"/>
  <c r="L12" i="52"/>
  <c r="J19" i="35"/>
  <c r="J35" i="35" s="1"/>
  <c r="E85" i="43"/>
  <c r="E86" i="43" s="1"/>
  <c r="J153" i="53"/>
  <c r="J49" i="53" s="1"/>
  <c r="J69" i="53"/>
  <c r="J37" i="53"/>
  <c r="J64" i="53"/>
  <c r="I70" i="53"/>
  <c r="I155" i="53"/>
  <c r="I154" i="53" s="1"/>
  <c r="I65" i="53"/>
  <c r="I46" i="53"/>
  <c r="O83" i="53"/>
  <c r="N15" i="53"/>
  <c r="N34" i="52"/>
  <c r="O69" i="52"/>
  <c r="L139" i="53"/>
  <c r="L145" i="53" s="1"/>
  <c r="L146" i="53" s="1"/>
  <c r="P99" i="48"/>
  <c r="O107" i="48"/>
  <c r="O33" i="48" s="1"/>
  <c r="M13" i="53"/>
  <c r="N81" i="53"/>
  <c r="N38" i="51"/>
  <c r="N14" i="51"/>
  <c r="K13" i="35"/>
  <c r="L17" i="9" s="1"/>
  <c r="L20" i="9" s="1"/>
  <c r="N82" i="53"/>
  <c r="M14" i="53"/>
  <c r="K16" i="49"/>
  <c r="M30" i="53"/>
  <c r="M31" i="53" s="1"/>
  <c r="M15" i="35" s="1"/>
  <c r="N123" i="53"/>
  <c r="M124" i="53"/>
  <c r="E68" i="43"/>
  <c r="E25" i="43" s="1"/>
  <c r="D30" i="37" s="1"/>
  <c r="O28" i="52"/>
  <c r="Q43" i="51"/>
  <c r="J23" i="9"/>
  <c r="J22" i="9"/>
  <c r="J17" i="35"/>
  <c r="J21" i="35" s="1"/>
  <c r="K11" i="9"/>
  <c r="K14" i="9" s="1"/>
  <c r="M24" i="52"/>
  <c r="M51" i="48"/>
  <c r="L59" i="48"/>
  <c r="L11" i="48" s="1"/>
  <c r="K37" i="35"/>
  <c r="M43" i="52"/>
  <c r="O48" i="9"/>
  <c r="O132" i="48"/>
  <c r="O133" i="48" s="1"/>
  <c r="O127" i="48"/>
  <c r="P127" i="48"/>
  <c r="N15" i="44"/>
  <c r="O9" i="44"/>
  <c r="P41" i="51"/>
  <c r="N14" i="52"/>
  <c r="P132" i="49"/>
  <c r="P133" i="49" s="1"/>
  <c r="K17" i="49"/>
  <c r="M13" i="9"/>
  <c r="G88" i="43"/>
  <c r="G89" i="43"/>
  <c r="N52" i="49"/>
  <c r="M59" i="49"/>
  <c r="M11" i="49" s="1"/>
  <c r="I32" i="35"/>
  <c r="I25" i="35"/>
  <c r="L26" i="52"/>
  <c r="M48" i="51"/>
  <c r="K16" i="48"/>
  <c r="K17" i="48"/>
  <c r="K15" i="48"/>
  <c r="K23" i="48" s="1"/>
  <c r="L12" i="9"/>
  <c r="L83" i="49"/>
  <c r="L13" i="49" s="1"/>
  <c r="M19" i="9" s="1"/>
  <c r="M75" i="49"/>
  <c r="J13" i="52"/>
  <c r="K51" i="51" s="1"/>
  <c r="H51" i="53"/>
  <c r="H53" i="53" s="1"/>
  <c r="H27" i="35" s="1"/>
  <c r="H33" i="35" s="1"/>
  <c r="H39" i="35" s="1"/>
  <c r="M75" i="48"/>
  <c r="L83" i="48"/>
  <c r="L13" i="48" s="1"/>
  <c r="M18" i="9" s="1"/>
  <c r="S16" i="51"/>
  <c r="Q36" i="52"/>
  <c r="R63" i="51"/>
  <c r="P46" i="52"/>
  <c r="K15" i="49"/>
  <c r="K23" i="49" s="1"/>
  <c r="I76" i="43" l="1"/>
  <c r="I77" i="43" s="1"/>
  <c r="J75" i="43" s="1"/>
  <c r="M128" i="49"/>
  <c r="M21" i="49" s="1"/>
  <c r="N126" i="49"/>
  <c r="F45" i="43"/>
  <c r="F47" i="43" s="1"/>
  <c r="F48" i="43" s="1"/>
  <c r="H51" i="9"/>
  <c r="F51" i="9" s="1"/>
  <c r="O86" i="9"/>
  <c r="N86" i="9"/>
  <c r="D8" i="38" s="1"/>
  <c r="P86" i="9"/>
  <c r="F8" i="38" s="1"/>
  <c r="Q39" i="51"/>
  <c r="P27" i="52" s="1"/>
  <c r="Q13" i="51"/>
  <c r="P24" i="51"/>
  <c r="K30" i="49"/>
  <c r="K32" i="49" s="1"/>
  <c r="K35" i="49" s="1"/>
  <c r="K28" i="49"/>
  <c r="G90" i="43"/>
  <c r="G91" i="43" s="1"/>
  <c r="Q41" i="51"/>
  <c r="O14" i="52"/>
  <c r="F15" i="37"/>
  <c r="J36" i="9"/>
  <c r="J38" i="9"/>
  <c r="P48" i="9"/>
  <c r="O38" i="51"/>
  <c r="O14" i="51"/>
  <c r="L13" i="35"/>
  <c r="M17" i="9" s="1"/>
  <c r="M20" i="9" s="1"/>
  <c r="N80" i="53"/>
  <c r="M12" i="53"/>
  <c r="M17" i="53" s="1"/>
  <c r="M85" i="53"/>
  <c r="J11" i="52"/>
  <c r="J30" i="52" s="1"/>
  <c r="J58" i="52" s="1"/>
  <c r="H66" i="53"/>
  <c r="K64" i="51"/>
  <c r="H35" i="43"/>
  <c r="D21" i="37"/>
  <c r="D22" i="37" s="1"/>
  <c r="P28" i="52"/>
  <c r="R43" i="51"/>
  <c r="P107" i="48"/>
  <c r="P33" i="48" s="1"/>
  <c r="Q48" i="9" s="1"/>
  <c r="Q99" i="48"/>
  <c r="Q107" i="48" s="1"/>
  <c r="Q33" i="48" s="1"/>
  <c r="R48" i="9" s="1"/>
  <c r="E27" i="43"/>
  <c r="F24" i="43" s="1"/>
  <c r="O12" i="51"/>
  <c r="L11" i="35"/>
  <c r="L71" i="53"/>
  <c r="L33" i="53"/>
  <c r="L63" i="53"/>
  <c r="I40" i="9"/>
  <c r="I39" i="9" s="1"/>
  <c r="K69" i="53"/>
  <c r="K37" i="53"/>
  <c r="K64" i="53"/>
  <c r="K153" i="53"/>
  <c r="K49" i="53" s="1"/>
  <c r="N16" i="53"/>
  <c r="O84" i="53"/>
  <c r="K60" i="51"/>
  <c r="L16" i="49"/>
  <c r="L16" i="48"/>
  <c r="L15" i="48"/>
  <c r="L23" i="48" s="1"/>
  <c r="L17" i="48"/>
  <c r="M12" i="9"/>
  <c r="N14" i="53"/>
  <c r="O82" i="53"/>
  <c r="D35" i="37"/>
  <c r="D36" i="37"/>
  <c r="H29" i="35"/>
  <c r="M12" i="52"/>
  <c r="K19" i="35"/>
  <c r="K35" i="35" s="1"/>
  <c r="E18" i="37"/>
  <c r="O23" i="51"/>
  <c r="N26" i="51"/>
  <c r="N33" i="51" s="1"/>
  <c r="M83" i="48"/>
  <c r="M13" i="48" s="1"/>
  <c r="N18" i="9" s="1"/>
  <c r="N75" i="48"/>
  <c r="P9" i="44"/>
  <c r="O15" i="44"/>
  <c r="K13" i="52"/>
  <c r="L51" i="51" s="1"/>
  <c r="I51" i="53"/>
  <c r="I53" i="53" s="1"/>
  <c r="I27" i="35" s="1"/>
  <c r="I33" i="35" s="1"/>
  <c r="I39" i="35" s="1"/>
  <c r="M20" i="53"/>
  <c r="M25" i="53" s="1"/>
  <c r="N101" i="53"/>
  <c r="M106" i="53"/>
  <c r="M137" i="53"/>
  <c r="L140" i="53"/>
  <c r="L35" i="53" s="1"/>
  <c r="S63" i="51"/>
  <c r="Q46" i="52"/>
  <c r="N75" i="49"/>
  <c r="M83" i="49"/>
  <c r="M13" i="49" s="1"/>
  <c r="N19" i="9" s="1"/>
  <c r="L15" i="49"/>
  <c r="L23" i="49" s="1"/>
  <c r="N51" i="48"/>
  <c r="M59" i="48"/>
  <c r="M11" i="48" s="1"/>
  <c r="E69" i="43"/>
  <c r="F67" i="43" s="1"/>
  <c r="P69" i="52"/>
  <c r="O34" i="52"/>
  <c r="M139" i="53"/>
  <c r="M145" i="53" s="1"/>
  <c r="M146" i="53" s="1"/>
  <c r="S40" i="51"/>
  <c r="R127" i="49"/>
  <c r="K17" i="35"/>
  <c r="K21" i="35" s="1"/>
  <c r="L11" i="9"/>
  <c r="L14" i="9" s="1"/>
  <c r="L29" i="52"/>
  <c r="Q99" i="49"/>
  <c r="Q107" i="49" s="1"/>
  <c r="Q33" i="49" s="1"/>
  <c r="R49" i="9" s="1"/>
  <c r="P107" i="49"/>
  <c r="P33" i="49" s="1"/>
  <c r="Q132" i="49" s="1"/>
  <c r="Q133" i="49" s="1"/>
  <c r="P132" i="48"/>
  <c r="P133" i="48" s="1"/>
  <c r="K28" i="48"/>
  <c r="K30" i="48" s="1"/>
  <c r="K32" i="48" s="1"/>
  <c r="K35" i="48" s="1"/>
  <c r="O123" i="53"/>
  <c r="N30" i="53"/>
  <c r="N31" i="53" s="1"/>
  <c r="N15" i="35" s="1"/>
  <c r="N124" i="53"/>
  <c r="P23" i="53"/>
  <c r="Q104" i="53"/>
  <c r="Q23" i="53" s="1"/>
  <c r="L17" i="49"/>
  <c r="N24" i="52"/>
  <c r="L37" i="35"/>
  <c r="N43" i="52"/>
  <c r="J70" i="53"/>
  <c r="J155" i="53"/>
  <c r="J154" i="53" s="1"/>
  <c r="J46" i="53"/>
  <c r="J65" i="53"/>
  <c r="P105" i="53"/>
  <c r="O24" i="53"/>
  <c r="N22" i="52"/>
  <c r="P49" i="9"/>
  <c r="O52" i="49"/>
  <c r="N59" i="49"/>
  <c r="N11" i="49" s="1"/>
  <c r="F83" i="43"/>
  <c r="F84" i="43"/>
  <c r="M17" i="49"/>
  <c r="M15" i="49"/>
  <c r="M16" i="49"/>
  <c r="N13" i="9"/>
  <c r="K23" i="9"/>
  <c r="K22" i="9"/>
  <c r="N48" i="51"/>
  <c r="M26" i="52"/>
  <c r="O21" i="53"/>
  <c r="P102" i="53"/>
  <c r="G94" i="43"/>
  <c r="G93" i="43"/>
  <c r="M128" i="48"/>
  <c r="M21" i="48" s="1"/>
  <c r="N126" i="48"/>
  <c r="Q127" i="49"/>
  <c r="M22" i="52"/>
  <c r="T16" i="51"/>
  <c r="S36" i="52" s="1"/>
  <c r="R36" i="52"/>
  <c r="J32" i="35"/>
  <c r="J25" i="35"/>
  <c r="O81" i="53"/>
  <c r="N13" i="53"/>
  <c r="O15" i="53"/>
  <c r="P83" i="53"/>
  <c r="N99" i="51"/>
  <c r="M50" i="51"/>
  <c r="Q121" i="53"/>
  <c r="P28" i="53"/>
  <c r="I62" i="52"/>
  <c r="O22" i="53"/>
  <c r="P103" i="53"/>
  <c r="O11" i="53"/>
  <c r="P79" i="53"/>
  <c r="L54" i="9"/>
  <c r="K56" i="9"/>
  <c r="K35" i="9" s="1"/>
  <c r="G16" i="37" s="1"/>
  <c r="H72" i="43"/>
  <c r="H32" i="43" s="1"/>
  <c r="H34" i="43" s="1"/>
  <c r="I31" i="43" s="1"/>
  <c r="D37" i="37" l="1"/>
  <c r="I35" i="43"/>
  <c r="J76" i="43"/>
  <c r="J77" i="43"/>
  <c r="K75" i="43" s="1"/>
  <c r="G41" i="37"/>
  <c r="D25" i="37"/>
  <c r="D26" i="37" s="1"/>
  <c r="D28" i="37"/>
  <c r="D31" i="37" s="1"/>
  <c r="D32" i="37" s="1"/>
  <c r="H89" i="43"/>
  <c r="H88" i="43"/>
  <c r="M51" i="51"/>
  <c r="M60" i="51" s="1"/>
  <c r="L60" i="51"/>
  <c r="P123" i="53"/>
  <c r="O30" i="53"/>
  <c r="O31" i="53" s="1"/>
  <c r="O15" i="35" s="1"/>
  <c r="O124" i="53"/>
  <c r="P82" i="53"/>
  <c r="O14" i="53"/>
  <c r="F18" i="37"/>
  <c r="T63" i="51"/>
  <c r="R46" i="52"/>
  <c r="L64" i="51"/>
  <c r="K72" i="51"/>
  <c r="O48" i="51"/>
  <c r="N26" i="52"/>
  <c r="Q79" i="53"/>
  <c r="P11" i="53"/>
  <c r="Q28" i="53"/>
  <c r="G95" i="43"/>
  <c r="G96" i="43" s="1"/>
  <c r="G15" i="37"/>
  <c r="K36" i="9"/>
  <c r="K38" i="9"/>
  <c r="R127" i="48"/>
  <c r="N12" i="52"/>
  <c r="L19" i="35"/>
  <c r="L35" i="35" s="1"/>
  <c r="Q9" i="44"/>
  <c r="P15" i="44"/>
  <c r="O16" i="53"/>
  <c r="P84" i="53"/>
  <c r="S43" i="51"/>
  <c r="Q28" i="52"/>
  <c r="Q132" i="48"/>
  <c r="Q133" i="48" s="1"/>
  <c r="R41" i="51"/>
  <c r="P14" i="52"/>
  <c r="R39" i="51"/>
  <c r="Q27" i="52" s="1"/>
  <c r="R13" i="51"/>
  <c r="Q23" i="52" s="1"/>
  <c r="L47" i="52"/>
  <c r="L56" i="52" s="1"/>
  <c r="J39" i="35"/>
  <c r="L13" i="52"/>
  <c r="J51" i="53"/>
  <c r="J53" i="53" s="1"/>
  <c r="J27" i="35" s="1"/>
  <c r="J33" i="35" s="1"/>
  <c r="T40" i="51"/>
  <c r="L30" i="49"/>
  <c r="L32" i="49" s="1"/>
  <c r="L35" i="49" s="1"/>
  <c r="L28" i="49"/>
  <c r="M140" i="53"/>
  <c r="M35" i="53" s="1"/>
  <c r="N137" i="53"/>
  <c r="O75" i="48"/>
  <c r="N83" i="48"/>
  <c r="N13" i="48" s="1"/>
  <c r="O18" i="9" s="1"/>
  <c r="L64" i="53"/>
  <c r="L69" i="53"/>
  <c r="L37" i="53"/>
  <c r="L153" i="53"/>
  <c r="L49" i="53" s="1"/>
  <c r="J62" i="52"/>
  <c r="R132" i="48"/>
  <c r="R133" i="48" s="1"/>
  <c r="F85" i="43"/>
  <c r="F86" i="43"/>
  <c r="M17" i="48"/>
  <c r="M15" i="48"/>
  <c r="M23" i="48" s="1"/>
  <c r="M16" i="48"/>
  <c r="N12" i="9"/>
  <c r="O24" i="52"/>
  <c r="I42" i="9"/>
  <c r="I44" i="9" s="1"/>
  <c r="I50" i="9" s="1"/>
  <c r="J29" i="35"/>
  <c r="P52" i="49"/>
  <c r="O59" i="49"/>
  <c r="O11" i="49" s="1"/>
  <c r="N102" i="51"/>
  <c r="K40" i="53" s="1"/>
  <c r="K44" i="53" s="1"/>
  <c r="K23" i="35" s="1"/>
  <c r="K25" i="35" s="1"/>
  <c r="N100" i="51"/>
  <c r="N101" i="51" s="1"/>
  <c r="P21" i="53"/>
  <c r="Q102" i="53"/>
  <c r="Q21" i="53" s="1"/>
  <c r="Q49" i="9"/>
  <c r="R132" i="49"/>
  <c r="R133" i="49" s="1"/>
  <c r="I29" i="35"/>
  <c r="L28" i="48"/>
  <c r="L30" i="48" s="1"/>
  <c r="L32" i="48" s="1"/>
  <c r="L35" i="48" s="1"/>
  <c r="Q127" i="48"/>
  <c r="O126" i="48"/>
  <c r="N128" i="48"/>
  <c r="N21" i="48" s="1"/>
  <c r="K32" i="35"/>
  <c r="O126" i="49"/>
  <c r="N128" i="49"/>
  <c r="N21" i="49" s="1"/>
  <c r="L56" i="9"/>
  <c r="L35" i="9" s="1"/>
  <c r="H16" i="37" s="1"/>
  <c r="M54" i="9"/>
  <c r="N16" i="49"/>
  <c r="O13" i="9"/>
  <c r="P22" i="53"/>
  <c r="Q103" i="53"/>
  <c r="Q22" i="53" s="1"/>
  <c r="M23" i="49"/>
  <c r="N29" i="52"/>
  <c r="I55" i="53"/>
  <c r="M37" i="35"/>
  <c r="O43" i="52"/>
  <c r="N106" i="53"/>
  <c r="O101" i="53"/>
  <c r="N20" i="53"/>
  <c r="N25" i="53" s="1"/>
  <c r="L17" i="35"/>
  <c r="L21" i="35" s="1"/>
  <c r="M11" i="9"/>
  <c r="M14" i="9" s="1"/>
  <c r="P12" i="51"/>
  <c r="M33" i="53"/>
  <c r="M63" i="53"/>
  <c r="M11" i="35"/>
  <c r="M71" i="53"/>
  <c r="O88" i="9"/>
  <c r="J86" i="9"/>
  <c r="E8" i="38"/>
  <c r="J11" i="51"/>
  <c r="J21" i="51" s="1"/>
  <c r="J35" i="51" s="1"/>
  <c r="J76" i="51" s="1"/>
  <c r="J60" i="52"/>
  <c r="O13" i="53"/>
  <c r="P81" i="53"/>
  <c r="N59" i="48"/>
  <c r="N11" i="48" s="1"/>
  <c r="O51" i="48"/>
  <c r="H73" i="43"/>
  <c r="I71" i="43" s="1"/>
  <c r="P15" i="53"/>
  <c r="Q83" i="53"/>
  <c r="Q15" i="53" s="1"/>
  <c r="M29" i="52"/>
  <c r="P23" i="52"/>
  <c r="J36" i="35"/>
  <c r="Q69" i="52"/>
  <c r="N139" i="53"/>
  <c r="N145" i="53" s="1"/>
  <c r="N146" i="53" s="1"/>
  <c r="P34" i="52"/>
  <c r="O75" i="49"/>
  <c r="N83" i="49"/>
  <c r="N13" i="49" s="1"/>
  <c r="O19" i="9" s="1"/>
  <c r="P14" i="51"/>
  <c r="P38" i="51"/>
  <c r="M13" i="35"/>
  <c r="N17" i="9" s="1"/>
  <c r="N20" i="9" s="1"/>
  <c r="O26" i="51"/>
  <c r="O33" i="51" s="1"/>
  <c r="P23" i="51"/>
  <c r="K65" i="53"/>
  <c r="K70" i="53"/>
  <c r="O22" i="52"/>
  <c r="N12" i="53"/>
  <c r="N17" i="53" s="1"/>
  <c r="O80" i="53"/>
  <c r="N85" i="53"/>
  <c r="P24" i="53"/>
  <c r="Q105" i="53"/>
  <c r="Q24" i="53" s="1"/>
  <c r="L23" i="9"/>
  <c r="L22" i="9"/>
  <c r="F69" i="43"/>
  <c r="G67" i="43" s="1"/>
  <c r="F68" i="43"/>
  <c r="F25" i="43" s="1"/>
  <c r="E30" i="37" s="1"/>
  <c r="E20" i="37"/>
  <c r="K74" i="51"/>
  <c r="F28" i="43"/>
  <c r="E19" i="37" s="1"/>
  <c r="J40" i="9"/>
  <c r="J39" i="9" s="1"/>
  <c r="H94" i="43" l="1"/>
  <c r="H93" i="43"/>
  <c r="N50" i="51"/>
  <c r="O99" i="51"/>
  <c r="N140" i="53"/>
  <c r="N35" i="53" s="1"/>
  <c r="O137" i="53"/>
  <c r="G45" i="37"/>
  <c r="H75" i="9"/>
  <c r="Q24" i="51"/>
  <c r="P101" i="53"/>
  <c r="O106" i="53"/>
  <c r="O20" i="53"/>
  <c r="O25" i="53" s="1"/>
  <c r="P126" i="49"/>
  <c r="O128" i="49"/>
  <c r="O21" i="49" s="1"/>
  <c r="L70" i="53"/>
  <c r="L65" i="53"/>
  <c r="Q84" i="53"/>
  <c r="Q16" i="53" s="1"/>
  <c r="P16" i="53"/>
  <c r="H15" i="37"/>
  <c r="L36" i="9"/>
  <c r="L38" i="9"/>
  <c r="Q52" i="49"/>
  <c r="Q59" i="49" s="1"/>
  <c r="Q11" i="49" s="1"/>
  <c r="P59" i="49"/>
  <c r="P11" i="49" s="1"/>
  <c r="F27" i="43"/>
  <c r="G24" i="43" s="1"/>
  <c r="K36" i="35"/>
  <c r="M69" i="53"/>
  <c r="M37" i="53"/>
  <c r="M64" i="53"/>
  <c r="M153" i="53"/>
  <c r="M49" i="53" s="1"/>
  <c r="E35" i="37"/>
  <c r="E36" i="37"/>
  <c r="K46" i="53"/>
  <c r="P75" i="49"/>
  <c r="O83" i="49"/>
  <c r="O13" i="49" s="1"/>
  <c r="P19" i="9" s="1"/>
  <c r="K11" i="52"/>
  <c r="K30" i="52" s="1"/>
  <c r="K58" i="52" s="1"/>
  <c r="K62" i="52" s="1"/>
  <c r="I66" i="53"/>
  <c r="N17" i="49"/>
  <c r="O128" i="48"/>
  <c r="O21" i="48" s="1"/>
  <c r="P126" i="48"/>
  <c r="P75" i="48"/>
  <c r="O83" i="48"/>
  <c r="O13" i="48" s="1"/>
  <c r="P18" i="9" s="1"/>
  <c r="S41" i="51"/>
  <c r="Q14" i="52"/>
  <c r="H7" i="37"/>
  <c r="F7" i="37"/>
  <c r="G9" i="37"/>
  <c r="G7" i="37"/>
  <c r="G45" i="43"/>
  <c r="G47" i="43" s="1"/>
  <c r="G48" i="43" s="1"/>
  <c r="I51" i="9"/>
  <c r="L72" i="51"/>
  <c r="L74" i="51" s="1"/>
  <c r="O12" i="52"/>
  <c r="M19" i="35"/>
  <c r="M35" i="35" s="1"/>
  <c r="P80" i="53"/>
  <c r="O12" i="53"/>
  <c r="O17" i="53" s="1"/>
  <c r="O85" i="53"/>
  <c r="R69" i="52"/>
  <c r="Q34" i="52"/>
  <c r="O139" i="53"/>
  <c r="O145" i="53" s="1"/>
  <c r="O146" i="53" s="1"/>
  <c r="O59" i="48"/>
  <c r="O11" i="48" s="1"/>
  <c r="P51" i="48"/>
  <c r="B11" i="46"/>
  <c r="B67" i="9"/>
  <c r="B69" i="9" s="1"/>
  <c r="B70" i="9" s="1"/>
  <c r="Q14" i="51"/>
  <c r="Q38" i="51"/>
  <c r="N13" i="35"/>
  <c r="O17" i="9" s="1"/>
  <c r="O20" i="9" s="1"/>
  <c r="R28" i="52"/>
  <c r="T43" i="51"/>
  <c r="S28" i="52" s="1"/>
  <c r="J55" i="53"/>
  <c r="M64" i="51" s="1"/>
  <c r="H90" i="43"/>
  <c r="H91" i="43" s="1"/>
  <c r="N37" i="35"/>
  <c r="P43" i="52"/>
  <c r="M22" i="9"/>
  <c r="M23" i="9"/>
  <c r="L36" i="35"/>
  <c r="M56" i="9"/>
  <c r="M35" i="9" s="1"/>
  <c r="I16" i="37" s="1"/>
  <c r="N54" i="9"/>
  <c r="E23" i="24"/>
  <c r="D2" i="38"/>
  <c r="F4" i="9"/>
  <c r="M28" i="49"/>
  <c r="M30" i="49" s="1"/>
  <c r="M32" i="49" s="1"/>
  <c r="M35" i="49" s="1"/>
  <c r="K11" i="51"/>
  <c r="K21" i="51" s="1"/>
  <c r="K35" i="51" s="1"/>
  <c r="K76" i="51" s="1"/>
  <c r="K60" i="52"/>
  <c r="P14" i="53"/>
  <c r="Q82" i="53"/>
  <c r="Q14" i="53" s="1"/>
  <c r="G68" i="43"/>
  <c r="G25" i="43" s="1"/>
  <c r="F30" i="37" s="1"/>
  <c r="S13" i="51"/>
  <c r="S39" i="51"/>
  <c r="R27" i="52" s="1"/>
  <c r="P48" i="51"/>
  <c r="O26" i="52"/>
  <c r="O29" i="52" s="1"/>
  <c r="P13" i="53"/>
  <c r="Q81" i="53"/>
  <c r="Q13" i="53" s="1"/>
  <c r="M17" i="35"/>
  <c r="M21" i="35" s="1"/>
  <c r="N11" i="9"/>
  <c r="N14" i="9" s="1"/>
  <c r="O16" i="49"/>
  <c r="O15" i="49"/>
  <c r="O23" i="49" s="1"/>
  <c r="O17" i="49"/>
  <c r="P13" i="9"/>
  <c r="M28" i="48"/>
  <c r="M30" i="48"/>
  <c r="M32" i="48" s="1"/>
  <c r="M35" i="48" s="1"/>
  <c r="R23" i="52"/>
  <c r="K40" i="9"/>
  <c r="K39" i="9" s="1"/>
  <c r="Q11" i="53"/>
  <c r="E21" i="37"/>
  <c r="E37" i="37" s="1"/>
  <c r="P26" i="51"/>
  <c r="P33" i="51" s="1"/>
  <c r="Q23" i="51"/>
  <c r="I72" i="43"/>
  <c r="I32" i="43" s="1"/>
  <c r="I34" i="43" s="1"/>
  <c r="J31" i="43" s="1"/>
  <c r="L32" i="35"/>
  <c r="N11" i="35"/>
  <c r="N71" i="53"/>
  <c r="N33" i="53"/>
  <c r="N63" i="53"/>
  <c r="Q12" i="51"/>
  <c r="N17" i="48"/>
  <c r="N15" i="48"/>
  <c r="N23" i="48" s="1"/>
  <c r="N16" i="48"/>
  <c r="O12" i="9"/>
  <c r="S46" i="52"/>
  <c r="G18" i="37"/>
  <c r="Q123" i="53"/>
  <c r="P30" i="53"/>
  <c r="P31" i="53" s="1"/>
  <c r="P15" i="35" s="1"/>
  <c r="P124" i="53"/>
  <c r="K76" i="43"/>
  <c r="K77" i="43"/>
  <c r="L75" i="43" s="1"/>
  <c r="J42" i="9"/>
  <c r="J44" i="9" s="1"/>
  <c r="J50" i="9" s="1"/>
  <c r="K155" i="53"/>
  <c r="K154" i="53" s="1"/>
  <c r="N15" i="49"/>
  <c r="N23" i="49" s="1"/>
  <c r="G83" i="43"/>
  <c r="G84" i="43" s="1"/>
  <c r="Q15" i="44"/>
  <c r="R9" i="44"/>
  <c r="R15" i="44" s="1"/>
  <c r="E22" i="37" l="1"/>
  <c r="E26" i="37" s="1"/>
  <c r="I88" i="43"/>
  <c r="I89" i="43"/>
  <c r="M72" i="51"/>
  <c r="M74" i="51" s="1"/>
  <c r="M36" i="35"/>
  <c r="R14" i="51"/>
  <c r="R38" i="51"/>
  <c r="O13" i="35"/>
  <c r="P17" i="9" s="1"/>
  <c r="P20" i="9" s="1"/>
  <c r="P12" i="52"/>
  <c r="N19" i="35"/>
  <c r="N35" i="35" s="1"/>
  <c r="H45" i="43"/>
  <c r="H47" i="43" s="1"/>
  <c r="H48" i="43" s="1"/>
  <c r="J51" i="9"/>
  <c r="H41" i="37"/>
  <c r="E25" i="37"/>
  <c r="N28" i="48"/>
  <c r="N30" i="48"/>
  <c r="N32" i="48" s="1"/>
  <c r="N35" i="48" s="1"/>
  <c r="O16" i="48"/>
  <c r="O15" i="48"/>
  <c r="O23" i="48" s="1"/>
  <c r="O17" i="48"/>
  <c r="P12" i="9"/>
  <c r="E70" i="37"/>
  <c r="D16" i="38"/>
  <c r="G69" i="43"/>
  <c r="H67" i="43" s="1"/>
  <c r="G70" i="37"/>
  <c r="F16" i="38"/>
  <c r="Q13" i="9"/>
  <c r="O37" i="35"/>
  <c r="Q43" i="52"/>
  <c r="L60" i="52"/>
  <c r="L11" i="51"/>
  <c r="L21" i="51" s="1"/>
  <c r="L35" i="51" s="1"/>
  <c r="L76" i="51" s="1"/>
  <c r="R13" i="9"/>
  <c r="P106" i="53"/>
  <c r="Q101" i="53"/>
  <c r="P20" i="53"/>
  <c r="P25" i="53" s="1"/>
  <c r="O102" i="51"/>
  <c r="L40" i="53" s="1"/>
  <c r="L44" i="53" s="1"/>
  <c r="O100" i="51"/>
  <c r="O101" i="51"/>
  <c r="I73" i="43"/>
  <c r="J71" i="43" s="1"/>
  <c r="O54" i="9"/>
  <c r="N56" i="9"/>
  <c r="N35" i="9" s="1"/>
  <c r="J16" i="37" s="1"/>
  <c r="Q48" i="51"/>
  <c r="P26" i="52"/>
  <c r="R34" i="52"/>
  <c r="S69" i="52"/>
  <c r="P139" i="53"/>
  <c r="P145" i="53" s="1"/>
  <c r="P146" i="53" s="1"/>
  <c r="T41" i="51"/>
  <c r="S14" i="52" s="1"/>
  <c r="R14" i="52"/>
  <c r="P22" i="52"/>
  <c r="P29" i="52" s="1"/>
  <c r="M70" i="53"/>
  <c r="M65" i="53"/>
  <c r="R24" i="51"/>
  <c r="N60" i="51"/>
  <c r="M47" i="52"/>
  <c r="M56" i="52" s="1"/>
  <c r="O30" i="49"/>
  <c r="O32" i="49" s="1"/>
  <c r="O35" i="49" s="1"/>
  <c r="O28" i="49"/>
  <c r="P24" i="52"/>
  <c r="H95" i="43"/>
  <c r="H96" i="43"/>
  <c r="R12" i="51"/>
  <c r="O11" i="35"/>
  <c r="O71" i="53"/>
  <c r="O33" i="53"/>
  <c r="O63" i="53"/>
  <c r="P83" i="48"/>
  <c r="P13" i="48" s="1"/>
  <c r="Q18" i="9" s="1"/>
  <c r="Q75" i="48"/>
  <c r="Q83" i="48" s="1"/>
  <c r="Q13" i="48" s="1"/>
  <c r="R18" i="9" s="1"/>
  <c r="Q75" i="49"/>
  <c r="Q83" i="49" s="1"/>
  <c r="Q13" i="49" s="1"/>
  <c r="R19" i="9" s="1"/>
  <c r="P83" i="49"/>
  <c r="P13" i="49" s="1"/>
  <c r="Q19" i="9" s="1"/>
  <c r="G46" i="37"/>
  <c r="H80" i="9" s="1"/>
  <c r="H79" i="9"/>
  <c r="M32" i="35"/>
  <c r="L76" i="43"/>
  <c r="L77" i="43" s="1"/>
  <c r="M75" i="43" s="1"/>
  <c r="G85" i="43"/>
  <c r="G86" i="43" s="1"/>
  <c r="N153" i="53"/>
  <c r="N49" i="53" s="1"/>
  <c r="N69" i="53"/>
  <c r="N37" i="53"/>
  <c r="N64" i="53"/>
  <c r="J35" i="43"/>
  <c r="T13" i="51"/>
  <c r="S23" i="52" s="1"/>
  <c r="T39" i="51"/>
  <c r="S27" i="52" s="1"/>
  <c r="N28" i="49"/>
  <c r="N30" i="49" s="1"/>
  <c r="N32" i="49" s="1"/>
  <c r="N35" i="49" s="1"/>
  <c r="Q30" i="53"/>
  <c r="Q31" i="53" s="1"/>
  <c r="Q15" i="35" s="1"/>
  <c r="Q124" i="53"/>
  <c r="Q26" i="51"/>
  <c r="Q33" i="51" s="1"/>
  <c r="R23" i="51"/>
  <c r="J70" i="9"/>
  <c r="J71" i="9" s="1"/>
  <c r="K70" i="9"/>
  <c r="K71" i="9" s="1"/>
  <c r="L70" i="9"/>
  <c r="L71" i="9" s="1"/>
  <c r="I70" i="9"/>
  <c r="I71" i="9" s="1"/>
  <c r="H70" i="9"/>
  <c r="H71" i="9" s="1"/>
  <c r="M13" i="52"/>
  <c r="N51" i="51" s="1"/>
  <c r="K51" i="53"/>
  <c r="K53" i="53" s="1"/>
  <c r="K27" i="35" s="1"/>
  <c r="O11" i="9"/>
  <c r="O14" i="9" s="1"/>
  <c r="N17" i="35"/>
  <c r="N21" i="35" s="1"/>
  <c r="K42" i="9"/>
  <c r="K44" i="9" s="1"/>
  <c r="K50" i="9" s="1"/>
  <c r="N22" i="9"/>
  <c r="N23" i="9"/>
  <c r="L11" i="52"/>
  <c r="L30" i="52" s="1"/>
  <c r="L58" i="52" s="1"/>
  <c r="L62" i="52" s="1"/>
  <c r="J66" i="53"/>
  <c r="Q80" i="53"/>
  <c r="P12" i="53"/>
  <c r="P17" i="53" s="1"/>
  <c r="P85" i="53"/>
  <c r="F70" i="37"/>
  <c r="E16" i="38"/>
  <c r="P128" i="48"/>
  <c r="P21" i="48" s="1"/>
  <c r="Q126" i="48"/>
  <c r="L40" i="9"/>
  <c r="L39" i="9" s="1"/>
  <c r="I15" i="37"/>
  <c r="M36" i="9"/>
  <c r="M38" i="9"/>
  <c r="P59" i="48"/>
  <c r="P11" i="48" s="1"/>
  <c r="Q51" i="48"/>
  <c r="Q59" i="48" s="1"/>
  <c r="Q11" i="48" s="1"/>
  <c r="C17" i="38"/>
  <c r="B50" i="46"/>
  <c r="G28" i="43"/>
  <c r="F19" i="37" s="1"/>
  <c r="G27" i="43"/>
  <c r="H24" i="43" s="1"/>
  <c r="H18" i="37"/>
  <c r="P128" i="49"/>
  <c r="P21" i="49" s="1"/>
  <c r="Q126" i="49"/>
  <c r="O140" i="53"/>
  <c r="O35" i="53" s="1"/>
  <c r="P137" i="53"/>
  <c r="E28" i="37" l="1"/>
  <c r="E31" i="37" s="1"/>
  <c r="E32" i="37" s="1"/>
  <c r="M76" i="43"/>
  <c r="M77" i="43" s="1"/>
  <c r="N75" i="43" s="1"/>
  <c r="H83" i="43"/>
  <c r="H84" i="43"/>
  <c r="H68" i="43"/>
  <c r="H25" i="43" s="1"/>
  <c r="G30" i="37" s="1"/>
  <c r="H28" i="43"/>
  <c r="G19" i="37" s="1"/>
  <c r="N36" i="35"/>
  <c r="H45" i="37"/>
  <c r="I75" i="9"/>
  <c r="O19" i="35"/>
  <c r="O35" i="35" s="1"/>
  <c r="Q12" i="52"/>
  <c r="P71" i="53"/>
  <c r="S12" i="51"/>
  <c r="P11" i="35"/>
  <c r="P33" i="53"/>
  <c r="P63" i="53"/>
  <c r="S23" i="51"/>
  <c r="R26" i="51"/>
  <c r="R33" i="51" s="1"/>
  <c r="Q128" i="49"/>
  <c r="Q21" i="49" s="1"/>
  <c r="R126" i="49"/>
  <c r="R128" i="49" s="1"/>
  <c r="L42" i="9"/>
  <c r="L44" i="9" s="1"/>
  <c r="L50" i="9" s="1"/>
  <c r="I94" i="43"/>
  <c r="I93" i="43"/>
  <c r="S24" i="51"/>
  <c r="T24" i="51" s="1"/>
  <c r="J72" i="43"/>
  <c r="J32" i="43" s="1"/>
  <c r="J34" i="43" s="1"/>
  <c r="K31" i="43" s="1"/>
  <c r="M11" i="51"/>
  <c r="M21" i="51" s="1"/>
  <c r="M35" i="51" s="1"/>
  <c r="M76" i="51" s="1"/>
  <c r="M60" i="52"/>
  <c r="S34" i="52"/>
  <c r="Q139" i="53"/>
  <c r="Q145" i="53" s="1"/>
  <c r="Q146" i="53" s="1"/>
  <c r="O50" i="51"/>
  <c r="P99" i="51"/>
  <c r="Q16" i="49"/>
  <c r="P17" i="49"/>
  <c r="I18" i="37"/>
  <c r="Q20" i="53"/>
  <c r="Q25" i="53" s="1"/>
  <c r="Q106" i="53"/>
  <c r="O17" i="35"/>
  <c r="P11" i="9"/>
  <c r="P14" i="9" s="1"/>
  <c r="O56" i="9"/>
  <c r="O35" i="9" s="1"/>
  <c r="K16" i="37" s="1"/>
  <c r="P54" i="9"/>
  <c r="Q12" i="53"/>
  <c r="Q17" i="53" s="1"/>
  <c r="Q85" i="53"/>
  <c r="R22" i="52"/>
  <c r="Q22" i="52"/>
  <c r="K55" i="53"/>
  <c r="Q17" i="49"/>
  <c r="Q15" i="48"/>
  <c r="Q17" i="48"/>
  <c r="Q16" i="48"/>
  <c r="R12" i="9"/>
  <c r="R126" i="48"/>
  <c r="R128" i="48" s="1"/>
  <c r="Q128" i="48"/>
  <c r="Q21" i="48" s="1"/>
  <c r="P15" i="48"/>
  <c r="P23" i="48" s="1"/>
  <c r="P16" i="48"/>
  <c r="P17" i="48"/>
  <c r="Q12" i="9"/>
  <c r="J15" i="37"/>
  <c r="N36" i="9"/>
  <c r="N38" i="9"/>
  <c r="P37" i="35"/>
  <c r="R43" i="52"/>
  <c r="Q15" i="49"/>
  <c r="P16" i="49"/>
  <c r="Q137" i="53"/>
  <c r="P140" i="53"/>
  <c r="P35" i="53" s="1"/>
  <c r="N32" i="35"/>
  <c r="F35" i="37"/>
  <c r="F36" i="37"/>
  <c r="F20" i="37"/>
  <c r="O23" i="9"/>
  <c r="O22" i="9"/>
  <c r="O28" i="48"/>
  <c r="O30" i="48" s="1"/>
  <c r="O32" i="48" s="1"/>
  <c r="O35" i="48" s="1"/>
  <c r="K33" i="35"/>
  <c r="K39" i="35" s="1"/>
  <c r="K29" i="35"/>
  <c r="N70" i="53"/>
  <c r="N65" i="53"/>
  <c r="Q24" i="52"/>
  <c r="L23" i="35"/>
  <c r="L25" i="35" s="1"/>
  <c r="L46" i="53"/>
  <c r="L155" i="53"/>
  <c r="L154" i="53" s="1"/>
  <c r="P15" i="49"/>
  <c r="P23" i="49" s="1"/>
  <c r="M40" i="9"/>
  <c r="M39" i="9" s="1"/>
  <c r="I45" i="43"/>
  <c r="I47" i="43" s="1"/>
  <c r="I48" i="43" s="1"/>
  <c r="K51" i="9"/>
  <c r="O69" i="53"/>
  <c r="O153" i="53"/>
  <c r="O49" i="53" s="1"/>
  <c r="O64" i="53"/>
  <c r="O37" i="53"/>
  <c r="S14" i="51"/>
  <c r="R24" i="52" s="1"/>
  <c r="S38" i="51"/>
  <c r="P13" i="35"/>
  <c r="Q17" i="9" s="1"/>
  <c r="Q20" i="9" s="1"/>
  <c r="R48" i="51"/>
  <c r="Q26" i="52"/>
  <c r="I91" i="43"/>
  <c r="I90" i="43"/>
  <c r="N76" i="43" l="1"/>
  <c r="N77" i="43" s="1"/>
  <c r="K35" i="43"/>
  <c r="K15" i="37"/>
  <c r="O36" i="9"/>
  <c r="O38" i="9"/>
  <c r="R26" i="52"/>
  <c r="R29" i="52" s="1"/>
  <c r="S48" i="51"/>
  <c r="Q29" i="52"/>
  <c r="J73" i="43"/>
  <c r="K71" i="43" s="1"/>
  <c r="H69" i="43"/>
  <c r="I67" i="43" s="1"/>
  <c r="N40" i="9"/>
  <c r="N39" i="9" s="1"/>
  <c r="T38" i="51"/>
  <c r="T14" i="51"/>
  <c r="Q13" i="35"/>
  <c r="R17" i="9" s="1"/>
  <c r="R20" i="9" s="1"/>
  <c r="T23" i="51"/>
  <c r="T26" i="51" s="1"/>
  <c r="T33" i="51" s="1"/>
  <c r="S26" i="51"/>
  <c r="S33" i="51" s="1"/>
  <c r="O65" i="53"/>
  <c r="O70" i="53"/>
  <c r="P28" i="49"/>
  <c r="P30" i="49"/>
  <c r="P32" i="49" s="1"/>
  <c r="P35" i="49" s="1"/>
  <c r="Q140" i="53"/>
  <c r="Q35" i="53" s="1"/>
  <c r="Q11" i="35"/>
  <c r="Q33" i="53"/>
  <c r="Q63" i="53"/>
  <c r="Q71" i="53"/>
  <c r="T12" i="51"/>
  <c r="S22" i="52" s="1"/>
  <c r="N47" i="52"/>
  <c r="N56" i="52" s="1"/>
  <c r="I95" i="43"/>
  <c r="I96" i="43"/>
  <c r="H46" i="37"/>
  <c r="I80" i="9" s="1"/>
  <c r="I79" i="9"/>
  <c r="H85" i="43"/>
  <c r="H86" i="43"/>
  <c r="S24" i="52"/>
  <c r="R12" i="52"/>
  <c r="P19" i="35"/>
  <c r="P35" i="35" s="1"/>
  <c r="P101" i="51"/>
  <c r="P102" i="51"/>
  <c r="M40" i="53" s="1"/>
  <c r="M44" i="53" s="1"/>
  <c r="P100" i="51"/>
  <c r="J89" i="43"/>
  <c r="J88" i="43"/>
  <c r="Q23" i="48"/>
  <c r="R35" i="48"/>
  <c r="P56" i="9"/>
  <c r="P35" i="9" s="1"/>
  <c r="L16" i="37" s="1"/>
  <c r="Q54" i="9"/>
  <c r="F21" i="37"/>
  <c r="F37" i="37" s="1"/>
  <c r="P28" i="48"/>
  <c r="P30" i="48" s="1"/>
  <c r="P32" i="48" s="1"/>
  <c r="P35" i="48" s="1"/>
  <c r="P23" i="9"/>
  <c r="P22" i="9"/>
  <c r="J45" i="43"/>
  <c r="J47" i="43" s="1"/>
  <c r="J48" i="43" s="1"/>
  <c r="L51" i="9"/>
  <c r="G35" i="37"/>
  <c r="G36" i="37"/>
  <c r="G20" i="37"/>
  <c r="M42" i="9"/>
  <c r="M44" i="9" s="1"/>
  <c r="M50" i="9" s="1"/>
  <c r="J18" i="37"/>
  <c r="N13" i="52"/>
  <c r="O51" i="51" s="1"/>
  <c r="L51" i="53"/>
  <c r="L53" i="53" s="1"/>
  <c r="L27" i="35" s="1"/>
  <c r="L33" i="35" s="1"/>
  <c r="L39" i="35" s="1"/>
  <c r="P37" i="53"/>
  <c r="P64" i="53"/>
  <c r="P69" i="53"/>
  <c r="P153" i="53"/>
  <c r="P49" i="53" s="1"/>
  <c r="Q23" i="49"/>
  <c r="R35" i="49"/>
  <c r="Q37" i="35"/>
  <c r="S43" i="52"/>
  <c r="P17" i="35"/>
  <c r="P21" i="35" s="1"/>
  <c r="Q11" i="9"/>
  <c r="Q14" i="9" s="1"/>
  <c r="M11" i="52"/>
  <c r="M30" i="52" s="1"/>
  <c r="M58" i="52" s="1"/>
  <c r="M62" i="52" s="1"/>
  <c r="K66" i="53"/>
  <c r="N64" i="51"/>
  <c r="O21" i="35"/>
  <c r="H27" i="43"/>
  <c r="I24" i="43" s="1"/>
  <c r="P36" i="35" l="1"/>
  <c r="S29" i="52"/>
  <c r="I83" i="43"/>
  <c r="I28" i="43"/>
  <c r="H19" i="37" s="1"/>
  <c r="G21" i="37"/>
  <c r="G37" i="37" s="1"/>
  <c r="G22" i="37"/>
  <c r="L15" i="37"/>
  <c r="P36" i="9"/>
  <c r="P38" i="9"/>
  <c r="J94" i="43"/>
  <c r="J93" i="43"/>
  <c r="R11" i="9"/>
  <c r="R14" i="9" s="1"/>
  <c r="Q17" i="35"/>
  <c r="K72" i="43"/>
  <c r="K32" i="43" s="1"/>
  <c r="K34" i="43" s="1"/>
  <c r="L31" i="43" s="1"/>
  <c r="K73" i="43"/>
  <c r="L71" i="43" s="1"/>
  <c r="O32" i="35"/>
  <c r="M43" i="48"/>
  <c r="S12" i="52"/>
  <c r="Q19" i="35"/>
  <c r="Q35" i="35" s="1"/>
  <c r="O36" i="35"/>
  <c r="N72" i="51"/>
  <c r="N74" i="51" s="1"/>
  <c r="Q28" i="49"/>
  <c r="Q30" i="49" s="1"/>
  <c r="Q32" i="49" s="1"/>
  <c r="Q35" i="49" s="1"/>
  <c r="Q28" i="48"/>
  <c r="Q30" i="48"/>
  <c r="Q32" i="48" s="1"/>
  <c r="Q35" i="48" s="1"/>
  <c r="K43" i="48" s="1"/>
  <c r="O40" i="9"/>
  <c r="O39" i="9" s="1"/>
  <c r="O42" i="9"/>
  <c r="O44" i="9" s="1"/>
  <c r="O50" i="9" s="1"/>
  <c r="L55" i="53"/>
  <c r="L29" i="35"/>
  <c r="J90" i="43"/>
  <c r="J91" i="43" s="1"/>
  <c r="O60" i="51"/>
  <c r="K18" i="37"/>
  <c r="N11" i="51"/>
  <c r="N21" i="51" s="1"/>
  <c r="N35" i="51" s="1"/>
  <c r="N76" i="51" s="1"/>
  <c r="N60" i="52"/>
  <c r="S26" i="52"/>
  <c r="T48" i="51"/>
  <c r="Q23" i="9"/>
  <c r="Q22" i="9"/>
  <c r="F22" i="37"/>
  <c r="P32" i="35"/>
  <c r="K45" i="43"/>
  <c r="M51" i="9"/>
  <c r="M23" i="35"/>
  <c r="M25" i="35" s="1"/>
  <c r="M46" i="53"/>
  <c r="M155" i="53"/>
  <c r="M154" i="53" s="1"/>
  <c r="F2" i="53"/>
  <c r="F3" i="53"/>
  <c r="N42" i="9"/>
  <c r="N44" i="9" s="1"/>
  <c r="N50" i="9" s="1"/>
  <c r="P65" i="53"/>
  <c r="P70" i="53"/>
  <c r="Q56" i="9"/>
  <c r="Q35" i="9" s="1"/>
  <c r="M16" i="37" s="1"/>
  <c r="R54" i="9"/>
  <c r="R56" i="9" s="1"/>
  <c r="R35" i="9" s="1"/>
  <c r="N16" i="37" s="1"/>
  <c r="Q99" i="51"/>
  <c r="P50" i="51"/>
  <c r="Q153" i="53"/>
  <c r="Q49" i="53" s="1"/>
  <c r="Q69" i="53"/>
  <c r="Q64" i="53"/>
  <c r="Q37" i="53"/>
  <c r="I68" i="43"/>
  <c r="I25" i="43" s="1"/>
  <c r="H30" i="37" s="1"/>
  <c r="I69" i="43"/>
  <c r="J67" i="43" s="1"/>
  <c r="K43" i="49" l="1"/>
  <c r="L43" i="49"/>
  <c r="F43" i="49" s="1"/>
  <c r="I41" i="24" s="1"/>
  <c r="M43" i="49"/>
  <c r="K89" i="43"/>
  <c r="K88" i="43"/>
  <c r="L72" i="43"/>
  <c r="L32" i="43" s="1"/>
  <c r="L34" i="43" s="1"/>
  <c r="M31" i="43" s="1"/>
  <c r="Q36" i="35"/>
  <c r="J68" i="43"/>
  <c r="J25" i="43" s="1"/>
  <c r="I30" i="37" s="1"/>
  <c r="M15" i="37"/>
  <c r="Q36" i="9"/>
  <c r="Q38" i="9"/>
  <c r="J95" i="43"/>
  <c r="J96" i="43" s="1"/>
  <c r="I27" i="43"/>
  <c r="J24" i="43" s="1"/>
  <c r="M29" i="35"/>
  <c r="I85" i="43"/>
  <c r="I84" i="43"/>
  <c r="I86" i="43" s="1"/>
  <c r="P60" i="51"/>
  <c r="O47" i="52"/>
  <c r="O56" i="52" s="1"/>
  <c r="L43" i="48"/>
  <c r="F43" i="48" s="1"/>
  <c r="P40" i="9"/>
  <c r="P39" i="9" s="1"/>
  <c r="Q101" i="51"/>
  <c r="Q102" i="51"/>
  <c r="N40" i="53" s="1"/>
  <c r="N44" i="53" s="1"/>
  <c r="Q100" i="51"/>
  <c r="N11" i="52"/>
  <c r="N30" i="52" s="1"/>
  <c r="N58" i="52" s="1"/>
  <c r="N62" i="52" s="1"/>
  <c r="L66" i="53"/>
  <c r="L35" i="43"/>
  <c r="G28" i="37"/>
  <c r="G31" i="37" s="1"/>
  <c r="G32" i="37" s="1"/>
  <c r="G25" i="37"/>
  <c r="G26" i="37" s="1"/>
  <c r="J41" i="37"/>
  <c r="L45" i="43"/>
  <c r="N51" i="9"/>
  <c r="F25" i="37"/>
  <c r="F26" i="37"/>
  <c r="F28" i="37"/>
  <c r="F31" i="37" s="1"/>
  <c r="F32" i="37" s="1"/>
  <c r="I41" i="37"/>
  <c r="M45" i="43"/>
  <c r="O51" i="9"/>
  <c r="O64" i="51"/>
  <c r="I33" i="46"/>
  <c r="I36" i="46" s="1"/>
  <c r="Q33" i="46"/>
  <c r="Q36" i="46" s="1"/>
  <c r="J40" i="46"/>
  <c r="J43" i="46" s="1"/>
  <c r="R39" i="35"/>
  <c r="E33" i="46"/>
  <c r="E36" i="46" s="1"/>
  <c r="M33" i="46"/>
  <c r="M36" i="46" s="1"/>
  <c r="F40" i="46"/>
  <c r="F43" i="46" s="1"/>
  <c r="N40" i="46"/>
  <c r="N43" i="46" s="1"/>
  <c r="H33" i="46"/>
  <c r="H36" i="46" s="1"/>
  <c r="I40" i="46"/>
  <c r="I43" i="46" s="1"/>
  <c r="J33" i="46"/>
  <c r="J36" i="46" s="1"/>
  <c r="K40" i="46"/>
  <c r="K43" i="46" s="1"/>
  <c r="K33" i="46"/>
  <c r="K36" i="46" s="1"/>
  <c r="L40" i="46"/>
  <c r="L43" i="46" s="1"/>
  <c r="L33" i="46"/>
  <c r="L36" i="46" s="1"/>
  <c r="C40" i="46"/>
  <c r="C43" i="46" s="1"/>
  <c r="M40" i="46"/>
  <c r="M43" i="46" s="1"/>
  <c r="Q21" i="35"/>
  <c r="C33" i="46"/>
  <c r="C36" i="46" s="1"/>
  <c r="N33" i="46"/>
  <c r="N36" i="46" s="1"/>
  <c r="D40" i="46"/>
  <c r="D43" i="46" s="1"/>
  <c r="O40" i="46"/>
  <c r="O43" i="46" s="1"/>
  <c r="P40" i="46"/>
  <c r="P43" i="46" s="1"/>
  <c r="Q40" i="46"/>
  <c r="Q43" i="46" s="1"/>
  <c r="D33" i="46"/>
  <c r="D36" i="46" s="1"/>
  <c r="P33" i="46"/>
  <c r="P36" i="46" s="1"/>
  <c r="F33" i="46"/>
  <c r="F36" i="46" s="1"/>
  <c r="E40" i="46"/>
  <c r="E43" i="46" s="1"/>
  <c r="G33" i="46"/>
  <c r="G36" i="46" s="1"/>
  <c r="G40" i="46"/>
  <c r="G43" i="46" s="1"/>
  <c r="O33" i="46"/>
  <c r="O36" i="46" s="1"/>
  <c r="H40" i="46"/>
  <c r="H43" i="46" s="1"/>
  <c r="L18" i="37"/>
  <c r="Q70" i="53"/>
  <c r="Q65" i="53"/>
  <c r="O13" i="52"/>
  <c r="P51" i="51" s="1"/>
  <c r="M51" i="53"/>
  <c r="M53" i="53" s="1"/>
  <c r="M27" i="35" s="1"/>
  <c r="M33" i="35" s="1"/>
  <c r="M39" i="35" s="1"/>
  <c r="R23" i="9"/>
  <c r="R22" i="9"/>
  <c r="H36" i="37"/>
  <c r="H35" i="37"/>
  <c r="H20" i="37"/>
  <c r="M35" i="43" l="1"/>
  <c r="K93" i="43"/>
  <c r="K94" i="43"/>
  <c r="Q50" i="51"/>
  <c r="R99" i="51"/>
  <c r="J83" i="43"/>
  <c r="J84" i="43"/>
  <c r="Q32" i="35"/>
  <c r="P42" i="9"/>
  <c r="P44" i="9" s="1"/>
  <c r="P50" i="9" s="1"/>
  <c r="Q40" i="9"/>
  <c r="Q39" i="9" s="1"/>
  <c r="L73" i="43"/>
  <c r="M71" i="43" s="1"/>
  <c r="H21" i="37"/>
  <c r="H37" i="37" s="1"/>
  <c r="M18" i="37"/>
  <c r="K91" i="43"/>
  <c r="K90" i="43"/>
  <c r="P64" i="51"/>
  <c r="O72" i="51"/>
  <c r="O74" i="51" s="1"/>
  <c r="M55" i="53"/>
  <c r="O11" i="51"/>
  <c r="O21" i="51" s="1"/>
  <c r="O35" i="51" s="1"/>
  <c r="O60" i="52"/>
  <c r="J45" i="37"/>
  <c r="K75" i="9"/>
  <c r="J27" i="43"/>
  <c r="K24" i="43" s="1"/>
  <c r="J28" i="43"/>
  <c r="I19" i="37" s="1"/>
  <c r="J69" i="43"/>
  <c r="K67" i="43" s="1"/>
  <c r="N15" i="37"/>
  <c r="R36" i="9"/>
  <c r="R38" i="9"/>
  <c r="S50" i="9"/>
  <c r="I45" i="37"/>
  <c r="J75" i="9"/>
  <c r="N23" i="35"/>
  <c r="N25" i="35" s="1"/>
  <c r="N155" i="53"/>
  <c r="N154" i="53" s="1"/>
  <c r="N46" i="53"/>
  <c r="I46" i="37" l="1"/>
  <c r="J80" i="9" s="1"/>
  <c r="J79" i="9"/>
  <c r="J46" i="37"/>
  <c r="K80" i="9" s="1"/>
  <c r="K79" i="9"/>
  <c r="L88" i="43"/>
  <c r="L89" i="43"/>
  <c r="R40" i="9"/>
  <c r="R39" i="9" s="1"/>
  <c r="Q42" i="9"/>
  <c r="Q44" i="9" s="1"/>
  <c r="Q50" i="9" s="1"/>
  <c r="Q51" i="9" s="1"/>
  <c r="R102" i="51"/>
  <c r="O40" i="53" s="1"/>
  <c r="O44" i="53" s="1"/>
  <c r="R101" i="51"/>
  <c r="R100" i="51"/>
  <c r="N18" i="37"/>
  <c r="N20" i="37" s="1"/>
  <c r="N45" i="43"/>
  <c r="P51" i="9"/>
  <c r="Q60" i="51"/>
  <c r="P47" i="52"/>
  <c r="P56" i="52" s="1"/>
  <c r="P13" i="52"/>
  <c r="Q51" i="51" s="1"/>
  <c r="N51" i="53"/>
  <c r="N53" i="53" s="1"/>
  <c r="N27" i="35" s="1"/>
  <c r="N33" i="35" s="1"/>
  <c r="N39" i="35" s="1"/>
  <c r="K68" i="43"/>
  <c r="K25" i="43" s="1"/>
  <c r="J30" i="37" s="1"/>
  <c r="K69" i="43"/>
  <c r="L67" i="43" s="1"/>
  <c r="O76" i="51"/>
  <c r="N29" i="35"/>
  <c r="I36" i="37"/>
  <c r="I35" i="37"/>
  <c r="I20" i="37"/>
  <c r="O11" i="52"/>
  <c r="O30" i="52" s="1"/>
  <c r="O58" i="52" s="1"/>
  <c r="O62" i="52" s="1"/>
  <c r="M66" i="53"/>
  <c r="K28" i="43"/>
  <c r="J19" i="37" s="1"/>
  <c r="K27" i="43"/>
  <c r="L24" i="43" s="1"/>
  <c r="H22" i="37"/>
  <c r="K95" i="43"/>
  <c r="K96" i="43" s="1"/>
  <c r="P72" i="51"/>
  <c r="P74" i="51" s="1"/>
  <c r="O28" i="37"/>
  <c r="O31" i="37" s="1"/>
  <c r="O32" i="37" s="1"/>
  <c r="S51" i="9"/>
  <c r="M72" i="43"/>
  <c r="M32" i="43" s="1"/>
  <c r="M34" i="43" s="1"/>
  <c r="N31" i="43" s="1"/>
  <c r="J85" i="43"/>
  <c r="J86" i="43" s="1"/>
  <c r="K83" i="43" l="1"/>
  <c r="L93" i="43"/>
  <c r="L94" i="43"/>
  <c r="N21" i="37"/>
  <c r="N37" i="37" s="1"/>
  <c r="N22" i="37"/>
  <c r="P60" i="52"/>
  <c r="P11" i="51"/>
  <c r="P21" i="51" s="1"/>
  <c r="P35" i="51" s="1"/>
  <c r="P76" i="51" s="1"/>
  <c r="N55" i="53"/>
  <c r="L90" i="43"/>
  <c r="L91" i="43" s="1"/>
  <c r="L28" i="43"/>
  <c r="K19" i="37" s="1"/>
  <c r="L68" i="43"/>
  <c r="L25" i="43" s="1"/>
  <c r="K30" i="37" s="1"/>
  <c r="L69" i="43"/>
  <c r="M67" i="43" s="1"/>
  <c r="R42" i="9"/>
  <c r="R44" i="9" s="1"/>
  <c r="R50" i="9" s="1"/>
  <c r="R51" i="9" s="1"/>
  <c r="I21" i="37"/>
  <c r="I37" i="37" s="1"/>
  <c r="H28" i="37"/>
  <c r="H31" i="37" s="1"/>
  <c r="H32" i="37" s="1"/>
  <c r="H25" i="37"/>
  <c r="H26" i="37"/>
  <c r="K41" i="37"/>
  <c r="R50" i="51"/>
  <c r="S99" i="51"/>
  <c r="M73" i="43"/>
  <c r="N71" i="43" s="1"/>
  <c r="O23" i="35"/>
  <c r="O25" i="35" s="1"/>
  <c r="O46" i="53"/>
  <c r="O155" i="53"/>
  <c r="O154" i="53" s="1"/>
  <c r="N35" i="43"/>
  <c r="J36" i="37"/>
  <c r="J35" i="37"/>
  <c r="J20" i="37"/>
  <c r="M89" i="43" l="1"/>
  <c r="M88" i="43"/>
  <c r="K45" i="37"/>
  <c r="L75" i="9"/>
  <c r="M68" i="43"/>
  <c r="M25" i="43" s="1"/>
  <c r="L30" i="37" s="1"/>
  <c r="M69" i="43"/>
  <c r="N67" i="43" s="1"/>
  <c r="K36" i="37"/>
  <c r="K35" i="37"/>
  <c r="K20" i="37"/>
  <c r="L27" i="43"/>
  <c r="M24" i="43" s="1"/>
  <c r="N72" i="43"/>
  <c r="N32" i="43" s="1"/>
  <c r="N34" i="43" s="1"/>
  <c r="Q47" i="52"/>
  <c r="Q56" i="52" s="1"/>
  <c r="R60" i="51"/>
  <c r="Q13" i="52"/>
  <c r="R51" i="51" s="1"/>
  <c r="O51" i="53"/>
  <c r="O53" i="53" s="1"/>
  <c r="O27" i="35" s="1"/>
  <c r="O33" i="35" s="1"/>
  <c r="O39" i="35" s="1"/>
  <c r="N25" i="37"/>
  <c r="N26" i="37" s="1"/>
  <c r="N28" i="37"/>
  <c r="N31" i="37" s="1"/>
  <c r="N32" i="37" s="1"/>
  <c r="J21" i="37"/>
  <c r="J37" i="37" s="1"/>
  <c r="O29" i="35"/>
  <c r="L95" i="43"/>
  <c r="L96" i="43" s="1"/>
  <c r="S100" i="51"/>
  <c r="S101" i="51" s="1"/>
  <c r="S102" i="51"/>
  <c r="P40" i="53" s="1"/>
  <c r="P44" i="53" s="1"/>
  <c r="I22" i="37"/>
  <c r="P11" i="52"/>
  <c r="P30" i="52" s="1"/>
  <c r="P58" i="52" s="1"/>
  <c r="P62" i="52" s="1"/>
  <c r="N66" i="53"/>
  <c r="Q64" i="51"/>
  <c r="K85" i="43"/>
  <c r="K84" i="43"/>
  <c r="K86" i="43" s="1"/>
  <c r="T99" i="51" l="1"/>
  <c r="S50" i="51"/>
  <c r="M93" i="43"/>
  <c r="M94" i="43"/>
  <c r="Q11" i="51"/>
  <c r="Q21" i="51" s="1"/>
  <c r="Q35" i="51" s="1"/>
  <c r="Q60" i="52"/>
  <c r="I28" i="37"/>
  <c r="I31" i="37" s="1"/>
  <c r="I32" i="37" s="1"/>
  <c r="I25" i="37"/>
  <c r="I26" i="37" s="1"/>
  <c r="J22" i="37"/>
  <c r="N68" i="43"/>
  <c r="N25" i="43" s="1"/>
  <c r="M30" i="37" s="1"/>
  <c r="N73" i="43"/>
  <c r="P23" i="35"/>
  <c r="P25" i="35" s="1"/>
  <c r="P46" i="53"/>
  <c r="P155" i="53"/>
  <c r="P154" i="53" s="1"/>
  <c r="M27" i="43"/>
  <c r="N24" i="43" s="1"/>
  <c r="M28" i="43"/>
  <c r="L19" i="37" s="1"/>
  <c r="L83" i="43"/>
  <c r="L84" i="43"/>
  <c r="O55" i="53"/>
  <c r="K46" i="37"/>
  <c r="L80" i="9" s="1"/>
  <c r="L79" i="9"/>
  <c r="K21" i="37"/>
  <c r="K37" i="37" s="1"/>
  <c r="M90" i="43"/>
  <c r="M91" i="43" s="1"/>
  <c r="Q72" i="51"/>
  <c r="Q74" i="51" s="1"/>
  <c r="N88" i="43" l="1"/>
  <c r="N89" i="43"/>
  <c r="P29" i="35"/>
  <c r="L35" i="37"/>
  <c r="L36" i="37"/>
  <c r="L20" i="37"/>
  <c r="N69" i="43"/>
  <c r="Q11" i="52"/>
  <c r="Q30" i="52" s="1"/>
  <c r="Q58" i="52" s="1"/>
  <c r="Q62" i="52" s="1"/>
  <c r="O66" i="53"/>
  <c r="R64" i="51"/>
  <c r="Q76" i="51"/>
  <c r="L85" i="43"/>
  <c r="L86" i="43" s="1"/>
  <c r="N28" i="43"/>
  <c r="M19" i="37" s="1"/>
  <c r="N27" i="43"/>
  <c r="J25" i="37"/>
  <c r="J26" i="37" s="1"/>
  <c r="J28" i="37"/>
  <c r="J31" i="37" s="1"/>
  <c r="J32" i="37" s="1"/>
  <c r="M95" i="43"/>
  <c r="M96" i="43" s="1"/>
  <c r="K22" i="37"/>
  <c r="R13" i="52"/>
  <c r="S51" i="51" s="1"/>
  <c r="P51" i="53"/>
  <c r="P53" i="53" s="1"/>
  <c r="P27" i="35" s="1"/>
  <c r="P33" i="35" s="1"/>
  <c r="P39" i="35" s="1"/>
  <c r="S60" i="51"/>
  <c r="R47" i="52"/>
  <c r="R56" i="52" s="1"/>
  <c r="P55" i="53"/>
  <c r="T100" i="51"/>
  <c r="T101" i="51" s="1"/>
  <c r="T50" i="51" s="1"/>
  <c r="T102" i="51"/>
  <c r="Q40" i="53" s="1"/>
  <c r="Q44" i="53" s="1"/>
  <c r="M83" i="43" l="1"/>
  <c r="M84" i="43"/>
  <c r="N94" i="43"/>
  <c r="N93" i="43"/>
  <c r="S47" i="52"/>
  <c r="S56" i="52" s="1"/>
  <c r="R11" i="52"/>
  <c r="R30" i="52" s="1"/>
  <c r="R58" i="52" s="1"/>
  <c r="P66" i="53"/>
  <c r="M35" i="37"/>
  <c r="M36" i="37"/>
  <c r="M20" i="37"/>
  <c r="Q23" i="35"/>
  <c r="Q25" i="35" s="1"/>
  <c r="Q155" i="53"/>
  <c r="Q154" i="53" s="1"/>
  <c r="Q46" i="53"/>
  <c r="K28" i="37"/>
  <c r="K31" i="37" s="1"/>
  <c r="K32" i="37" s="1"/>
  <c r="K25" i="37"/>
  <c r="K26" i="37" s="1"/>
  <c r="R11" i="51"/>
  <c r="R21" i="51" s="1"/>
  <c r="R35" i="51" s="1"/>
  <c r="R60" i="52"/>
  <c r="N90" i="43"/>
  <c r="N91" i="43" s="1"/>
  <c r="L21" i="37"/>
  <c r="L37" i="37" s="1"/>
  <c r="S64" i="51"/>
  <c r="R72" i="51"/>
  <c r="R74" i="51" s="1"/>
  <c r="L22" i="37" l="1"/>
  <c r="L25" i="37" s="1"/>
  <c r="L26" i="37" s="1"/>
  <c r="R76" i="51"/>
  <c r="M85" i="43"/>
  <c r="M86" i="43"/>
  <c r="Q55" i="53"/>
  <c r="T64" i="51" s="1"/>
  <c r="T72" i="51" s="1"/>
  <c r="R62" i="52"/>
  <c r="S13" i="52"/>
  <c r="T51" i="51" s="1"/>
  <c r="T60" i="51" s="1"/>
  <c r="Q51" i="53"/>
  <c r="Q53" i="53" s="1"/>
  <c r="Q27" i="35" s="1"/>
  <c r="Q33" i="35" s="1"/>
  <c r="Q39" i="35" s="1"/>
  <c r="Q29" i="35"/>
  <c r="M21" i="37"/>
  <c r="M37" i="37" s="1"/>
  <c r="N95" i="43"/>
  <c r="N96" i="43" s="1"/>
  <c r="S72" i="51"/>
  <c r="S74" i="51" s="1"/>
  <c r="L28" i="37" l="1"/>
  <c r="L31" i="37" s="1"/>
  <c r="L32" i="37" s="1"/>
  <c r="M22" i="37"/>
  <c r="M28" i="37" s="1"/>
  <c r="M31" i="37" s="1"/>
  <c r="M32" i="37" s="1"/>
  <c r="K45" i="35"/>
  <c r="L45" i="35"/>
  <c r="F45" i="35" s="1"/>
  <c r="M45" i="35"/>
  <c r="T74" i="51"/>
  <c r="S11" i="51"/>
  <c r="S21" i="51" s="1"/>
  <c r="S35" i="51" s="1"/>
  <c r="S76" i="51" s="1"/>
  <c r="S60" i="52"/>
  <c r="S11" i="52"/>
  <c r="S30" i="52" s="1"/>
  <c r="S58" i="52" s="1"/>
  <c r="S62" i="52" s="1"/>
  <c r="T11" i="51" s="1"/>
  <c r="T21" i="51" s="1"/>
  <c r="T35" i="51" s="1"/>
  <c r="T76" i="51" s="1"/>
  <c r="Q66" i="53"/>
  <c r="N84" i="43"/>
  <c r="N83" i="43"/>
  <c r="M25" i="37" l="1"/>
  <c r="M26" i="37" s="1"/>
  <c r="N85" i="43"/>
  <c r="N86" i="43" s="1"/>
  <c r="I38" i="24"/>
  <c r="I44" i="24"/>
</calcChain>
</file>

<file path=xl/comments1.xml><?xml version="1.0" encoding="utf-8"?>
<comments xmlns="http://schemas.openxmlformats.org/spreadsheetml/2006/main">
  <authors>
    <author>gchavez</author>
  </authors>
  <commentList>
    <comment ref="I15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If Mortgage Style, debt will amortize 100%</t>
        </r>
      </text>
    </comment>
  </commentList>
</comments>
</file>

<file path=xl/comments2.xml><?xml version="1.0" encoding="utf-8"?>
<comments xmlns="http://schemas.openxmlformats.org/spreadsheetml/2006/main">
  <authors>
    <author>gchavez</author>
    <author>ET&amp;S</author>
    <author>MLR</author>
  </authors>
  <commentList>
    <comment ref="H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D53" authorId="1" shapeId="0">
      <text>
        <r>
          <rPr>
            <sz val="8"/>
            <color indexed="81"/>
            <rFont val="Tahoma"/>
          </rPr>
          <t xml:space="preserve">Yuan:
The Purchase Price is assumed as the depreciation basis. 
</t>
        </r>
      </text>
    </comment>
    <comment ref="L83" authorId="2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7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R39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2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3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5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33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gchavez</author>
  </authors>
  <commentList>
    <comment ref="G8" authorId="0" shapeId="0">
      <text>
        <r>
          <rPr>
            <b/>
            <sz val="8"/>
            <color indexed="81"/>
            <rFont val="Tahoma"/>
          </rPr>
          <t>GC:
2nd Quarter Info</t>
        </r>
      </text>
    </comment>
    <comment ref="G81" authorId="0" shapeId="0">
      <text>
        <r>
          <rPr>
            <b/>
            <sz val="8"/>
            <color indexed="81"/>
            <rFont val="Tahoma"/>
          </rPr>
          <t>GC:
2nd Quarter Info</t>
        </r>
      </text>
    </comment>
    <comment ref="G94" authorId="0" shapeId="0">
      <text>
        <r>
          <rPr>
            <b/>
            <sz val="8"/>
            <color indexed="81"/>
            <rFont val="Tahoma"/>
          </rPr>
          <t>GC:
2nd Quarter Info</t>
        </r>
      </text>
    </comment>
  </commentList>
</comments>
</file>

<file path=xl/comments6.xml><?xml version="1.0" encoding="utf-8"?>
<comments xmlns="http://schemas.openxmlformats.org/spreadsheetml/2006/main">
  <authors>
    <author>gchavez</author>
  </authors>
  <commentList>
    <comment ref="G8" authorId="0" shapeId="0">
      <text>
        <r>
          <rPr>
            <b/>
            <sz val="8"/>
            <color indexed="81"/>
            <rFont val="Tahoma"/>
          </rPr>
          <t>GC:
2nd Quarter Info</t>
        </r>
      </text>
    </comment>
  </commentList>
</comments>
</file>

<file path=xl/comments7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5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3" authorId="1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1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1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5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0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1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3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56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5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A6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68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C125" authorId="1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5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3" authorId="1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1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1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5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0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1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3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56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5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A6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68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C125" authorId="1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<sst xmlns="http://schemas.openxmlformats.org/spreadsheetml/2006/main" count="1045" uniqueCount="623">
  <si>
    <t>TOTAL</t>
  </si>
  <si>
    <t>EBITDA</t>
  </si>
  <si>
    <t>EBIT</t>
  </si>
  <si>
    <t>Current Taxes</t>
  </si>
  <si>
    <t>Deferred Taxes</t>
  </si>
  <si>
    <t>ASSETS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</si>
  <si>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</si>
  <si>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</si>
  <si>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</si>
  <si>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</si>
  <si>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</si>
  <si>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</si>
  <si>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</si>
  <si>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NET INCOME</t>
  </si>
  <si>
    <t>Revenues</t>
  </si>
  <si>
    <t>Expenses</t>
  </si>
  <si>
    <t>Multiple X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</si>
  <si>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</si>
  <si>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</si>
  <si>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</si>
  <si>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</si>
  <si>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</si>
  <si>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</si>
  <si>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</si>
  <si>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</si>
  <si>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</si>
  <si>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</si>
  <si>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</si>
  <si>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EOI Offer Price</t>
  </si>
  <si>
    <t>Debt Retirement</t>
  </si>
  <si>
    <t>Elim.</t>
  </si>
  <si>
    <t>Pro Forma</t>
  </si>
  <si>
    <t>Valuations - Purchase Price</t>
  </si>
  <si>
    <t>Dividend Tax</t>
  </si>
  <si>
    <t>Adjusted Net Income</t>
  </si>
  <si>
    <t>Additional Debt After Tax @</t>
  </si>
  <si>
    <t>SUBTOTAL</t>
  </si>
  <si>
    <t>Consolidated Balance Sheet</t>
  </si>
  <si>
    <t>Book Depreciation</t>
  </si>
  <si>
    <t>Name of project:</t>
  </si>
  <si>
    <t>Revenue Scenario</t>
  </si>
  <si>
    <t>Expense Scenario</t>
  </si>
  <si>
    <t>Year of Acquisition</t>
  </si>
  <si>
    <t>ASSET ASSUMPTIONS</t>
  </si>
  <si>
    <t>Corporate Income Tax</t>
  </si>
  <si>
    <t>Book Depreciation (Years)</t>
  </si>
  <si>
    <t>PROJECT LOGISTICS</t>
  </si>
  <si>
    <t>ECONOMIC ASSUMPTIONS</t>
  </si>
  <si>
    <t>Assumptions</t>
  </si>
  <si>
    <t>Enron Shares Outstanding</t>
  </si>
  <si>
    <t>DEBT</t>
  </si>
  <si>
    <t>Salvage Multiple (x EBITDA)</t>
  </si>
  <si>
    <t>Enron Share Price</t>
  </si>
  <si>
    <t>Interest Rate</t>
  </si>
  <si>
    <t>Retirement (Years)</t>
  </si>
  <si>
    <t>Partner(s):</t>
  </si>
  <si>
    <t>Potential Owner</t>
  </si>
  <si>
    <t>Enron Owner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</si>
  <si>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</si>
  <si>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</si>
  <si>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</si>
  <si>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</si>
  <si>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</si>
  <si>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</si>
  <si>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</si>
  <si>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None</t>
  </si>
  <si>
    <t>Macros</t>
  </si>
  <si>
    <t>Consolidated NPV Core Rate</t>
  </si>
  <si>
    <t>Project Premium</t>
  </si>
  <si>
    <t>Length of Contract (yrs.)</t>
  </si>
  <si>
    <t xml:space="preserve">  Rev per Exp $</t>
  </si>
  <si>
    <t xml:space="preserve">  Enron Financial Partner</t>
  </si>
  <si>
    <t>Partner % Ownership</t>
  </si>
  <si>
    <t xml:space="preserve">  Enron % Equity Ownership</t>
  </si>
  <si>
    <t xml:space="preserve">  Financial Partner Return</t>
  </si>
  <si>
    <t>Dividend Tax Rate</t>
  </si>
  <si>
    <t>Structured Dividend Tax Rate</t>
  </si>
  <si>
    <t>Cost of 3rd Party Equity</t>
  </si>
  <si>
    <t>INCOME STATEMENT ($000)</t>
  </si>
  <si>
    <t>Figures</t>
  </si>
  <si>
    <t>US$ '000s</t>
  </si>
  <si>
    <t>Levered IRR</t>
  </si>
  <si>
    <t>Include in Valuation (1=Yes, 0=No)</t>
  </si>
  <si>
    <t>% Involvement</t>
  </si>
  <si>
    <t>1=On, 0=Off</t>
  </si>
  <si>
    <t>Other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</si>
  <si>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</si>
  <si>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</si>
  <si>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</si>
  <si>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</si>
  <si>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</si>
  <si>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</si>
  <si>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</si>
  <si>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</si>
  <si>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</si>
  <si>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</si>
  <si>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</si>
  <si>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</si>
  <si>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</si>
  <si>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</si>
  <si>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</si>
  <si>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</si>
  <si>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</si>
  <si>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</si>
  <si>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</si>
  <si>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</si>
  <si>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</si>
  <si>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</si>
  <si>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</si>
  <si>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</si>
  <si>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</si>
  <si>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</si>
  <si>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</si>
  <si>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</si>
  <si>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 xml:space="preserve">   Less Tax</t>
  </si>
  <si>
    <t>Enron Equity Cash Flow</t>
  </si>
  <si>
    <t>IRR=</t>
  </si>
  <si>
    <t>Financial Leverage Rate</t>
  </si>
  <si>
    <t>Equity NPV Value</t>
  </si>
  <si>
    <t>Potential Buyer</t>
  </si>
  <si>
    <t>ETS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</si>
  <si>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</si>
  <si>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</si>
  <si>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</si>
  <si>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</si>
  <si>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</si>
  <si>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</si>
  <si>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</si>
  <si>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</si>
  <si>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</si>
  <si>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Sensitivity Analysis on the Financial Leverage Rate</t>
  </si>
  <si>
    <t>Leverage</t>
  </si>
  <si>
    <t>Equity NPV discounted @</t>
  </si>
  <si>
    <t>Revenue Scenario Assumption- Scenario Discription</t>
  </si>
  <si>
    <t>Expense Scenario  Assumption - Scenario Discription</t>
  </si>
  <si>
    <t>Asset 1</t>
  </si>
  <si>
    <t>Warning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</si>
  <si>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</si>
  <si>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</si>
  <si>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</si>
  <si>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</si>
  <si>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</si>
  <si>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</si>
  <si>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</si>
  <si>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</si>
  <si>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</si>
  <si>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</si>
  <si>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</si>
  <si>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</si>
  <si>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</si>
  <si>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</si>
  <si>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</si>
  <si>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</si>
  <si>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</si>
  <si>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</si>
  <si>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</si>
  <si>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</si>
  <si>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</si>
  <si>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</si>
  <si>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</si>
  <si>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</si>
  <si>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</si>
  <si>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</si>
  <si>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</si>
  <si>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</si>
  <si>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</si>
  <si>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</si>
  <si>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</si>
  <si>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</si>
  <si>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</si>
  <si>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</si>
  <si>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</si>
  <si>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</si>
  <si>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</si>
  <si>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</si>
  <si>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</si>
  <si>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</si>
  <si>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</si>
  <si>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</si>
  <si>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</si>
  <si>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</si>
  <si>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Warning Flags:</t>
  </si>
  <si>
    <t>2. Optimistic</t>
  </si>
  <si>
    <t>Storage</t>
  </si>
  <si>
    <t>10% increase</t>
  </si>
  <si>
    <t>10% decrease</t>
  </si>
  <si>
    <t>Market Capitalization</t>
  </si>
  <si>
    <t>Target Outstanding Shares</t>
  </si>
  <si>
    <t>Target Share Price</t>
  </si>
  <si>
    <t>1. Base Case</t>
  </si>
  <si>
    <t>Premium</t>
  </si>
  <si>
    <t>Sources</t>
  </si>
  <si>
    <t>US$</t>
  </si>
  <si>
    <t>Uses</t>
  </si>
  <si>
    <t>Acquire Equity</t>
  </si>
  <si>
    <t xml:space="preserve">      Equity</t>
  </si>
  <si>
    <t xml:space="preserve">      Debt</t>
  </si>
  <si>
    <t xml:space="preserve">Other Fees and Expenses </t>
  </si>
  <si>
    <t>Debt Assumptions</t>
  </si>
  <si>
    <t>Valuation Multiples</t>
  </si>
  <si>
    <t>Senior Debt/EBITDA (2000)</t>
  </si>
  <si>
    <t>Firm Value per 2001 tonne</t>
  </si>
  <si>
    <t>Min. EBITDA/Interest</t>
  </si>
  <si>
    <t>Firm Value to 2000 EBITDA</t>
  </si>
  <si>
    <t>Firm Value to 2001 EBITDA</t>
  </si>
  <si>
    <t>Actual EBITDA/Interest</t>
  </si>
  <si>
    <t>Firm Value to 5-Yr Ave EBITDA (historical)</t>
  </si>
  <si>
    <t>Default</t>
  </si>
  <si>
    <t>Firm Value to 5-Yr Ave EBITDA (projected)</t>
  </si>
  <si>
    <t>Max. Total Debt/Total Capitalization</t>
  </si>
  <si>
    <t>2001 P/E</t>
  </si>
  <si>
    <t>Actual Total Debt/Total Capitalization</t>
  </si>
  <si>
    <t>2002 P/E</t>
  </si>
  <si>
    <t>Total Debt/EBITDA (2000)</t>
  </si>
  <si>
    <t>Min. (EBITDA-CapEx)/Cash Charges</t>
  </si>
  <si>
    <t>2001 (EBITDA-CapEx)/Cash Charges</t>
  </si>
  <si>
    <t>Relvolver limit ($MM) - 50% of WC</t>
  </si>
  <si>
    <t>Liquidity Discount</t>
  </si>
  <si>
    <t>FCF toggle</t>
  </si>
  <si>
    <t>% of TV included in the equity portion of purchase price:</t>
  </si>
  <si>
    <t>Debt Break Down</t>
  </si>
  <si>
    <t xml:space="preserve">% of Total Capitalization </t>
  </si>
  <si>
    <t>Early Pre-Payment</t>
  </si>
  <si>
    <t>Amortization Method **</t>
  </si>
  <si>
    <t>% Amortized*</t>
  </si>
  <si>
    <t>SeniorTranche A (US$)</t>
  </si>
  <si>
    <t>Senior Tranche B (US$)</t>
  </si>
  <si>
    <t xml:space="preserve">     Junior Debt ($US)</t>
  </si>
  <si>
    <t>Debt Cash Sweep</t>
  </si>
  <si>
    <t>Dividend Pay-out Ratio</t>
  </si>
  <si>
    <t>**METHOD - 1=No Amortization, 2=Partial  Amortization, 3=Mortgage</t>
  </si>
  <si>
    <t xml:space="preserve"> </t>
  </si>
  <si>
    <t>Debt Schedule</t>
  </si>
  <si>
    <t>Interest</t>
  </si>
  <si>
    <t>Beginning Balance</t>
  </si>
  <si>
    <t>Rate</t>
  </si>
  <si>
    <t>Senior Tranche A (US$)</t>
  </si>
  <si>
    <t>Junior Debt</t>
  </si>
  <si>
    <t>Revolver/New Financing (US$)</t>
  </si>
  <si>
    <t>Principal Repayment</t>
  </si>
  <si>
    <t>Discretionary Principal Repayment</t>
  </si>
  <si>
    <t xml:space="preserve">    Ending Balance</t>
  </si>
  <si>
    <t>Drawdown</t>
  </si>
  <si>
    <t>Repayment</t>
  </si>
  <si>
    <t xml:space="preserve">    Interest Expense</t>
  </si>
  <si>
    <t>Discretionary Principal Repayment Schedule</t>
  </si>
  <si>
    <t>Cash Flow Available for Repayment (includes Cash on the balance sheet)</t>
  </si>
  <si>
    <t>Scheduled Borrowing (Repayment)</t>
  </si>
  <si>
    <t xml:space="preserve">     Cash Flow Available for Additional Debt Paydown</t>
  </si>
  <si>
    <t>Total</t>
  </si>
  <si>
    <t>Term</t>
  </si>
  <si>
    <t>Financing Assumptions &amp; Critical Ratios</t>
  </si>
  <si>
    <t>Revolver</t>
  </si>
  <si>
    <t>N/A</t>
  </si>
  <si>
    <t>Balance</t>
  </si>
  <si>
    <t xml:space="preserve">Beginning </t>
  </si>
  <si>
    <t xml:space="preserve">    Total Debt </t>
  </si>
  <si>
    <t>Method</t>
  </si>
  <si>
    <t>Amort</t>
  </si>
  <si>
    <t>% Amort</t>
  </si>
  <si>
    <t>Amount of</t>
  </si>
  <si>
    <t>Debt</t>
  </si>
  <si>
    <t>Debt Breakdown (US $000's)</t>
  </si>
  <si>
    <t>Projected Fiscal Year Ending December 31,</t>
  </si>
  <si>
    <t>Principle Repayment Scenarios</t>
  </si>
  <si>
    <t>Option 1</t>
  </si>
  <si>
    <t>No Amortization</t>
  </si>
  <si>
    <t>Option 2</t>
  </si>
  <si>
    <t>Partial Amortization</t>
  </si>
  <si>
    <t>Beg Balance</t>
  </si>
  <si>
    <t>Prin Reduction</t>
  </si>
  <si>
    <t>End Balance</t>
  </si>
  <si>
    <t xml:space="preserve">Year </t>
  </si>
  <si>
    <t>Year</t>
  </si>
  <si>
    <t>Option 3</t>
  </si>
  <si>
    <t>Mortgage Style</t>
  </si>
  <si>
    <t>Payment</t>
  </si>
  <si>
    <t>Interest Payment</t>
  </si>
  <si>
    <t>Ending Balance</t>
  </si>
  <si>
    <t>Revolver Stats</t>
  </si>
  <si>
    <t>Junior Debt (US$)</t>
  </si>
  <si>
    <t>Total Tax Depreciation</t>
  </si>
  <si>
    <t>Total Book Depreciation</t>
  </si>
  <si>
    <t>INT &amp; OTHER INCOME</t>
  </si>
  <si>
    <t>UNCONSOLIDATED INCOME</t>
  </si>
  <si>
    <t>US $</t>
  </si>
  <si>
    <t>Alta Market Resources</t>
  </si>
  <si>
    <t>Alta Pipeline Company</t>
  </si>
  <si>
    <t>Assets Purchased</t>
  </si>
  <si>
    <t>Template Asset</t>
  </si>
  <si>
    <t>Financial Ratios</t>
  </si>
  <si>
    <t>EBITDA/Interest</t>
  </si>
  <si>
    <t>Fixed Charge Coverage</t>
  </si>
  <si>
    <t>EBITDA/Interest + Debt Service</t>
  </si>
  <si>
    <t>Cash Flow from Operations</t>
  </si>
  <si>
    <t>ENRON'S BASE EPS</t>
  </si>
  <si>
    <t>M Shares</t>
  </si>
  <si>
    <t>Growth of</t>
  </si>
  <si>
    <t xml:space="preserve">  Pro Forma Earnings (Inc. interest on Dividends)</t>
  </si>
  <si>
    <t>PRO FORMA EPS</t>
  </si>
  <si>
    <t xml:space="preserve">  Incremenal EPS</t>
  </si>
  <si>
    <t>Additional Shares</t>
  </si>
  <si>
    <t>Equity Investment</t>
  </si>
  <si>
    <t>Price of ENE Shares</t>
  </si>
  <si>
    <t>EXPENSE PROJECTIONS ($000)</t>
  </si>
  <si>
    <t>Volume Assumptions</t>
  </si>
  <si>
    <t>MARKET CAPITALIZATION</t>
  </si>
  <si>
    <t xml:space="preserve">     </t>
  </si>
  <si>
    <t>Throughput Volumes (MMBtu)</t>
  </si>
  <si>
    <t>Affiliated Volumes</t>
  </si>
  <si>
    <t>Non-affiliated Volumes</t>
  </si>
  <si>
    <t>Existing Pipeline</t>
  </si>
  <si>
    <t>Mainline 104</t>
  </si>
  <si>
    <t>Southern Trails</t>
  </si>
  <si>
    <t>VALUATION SUMMARY</t>
  </si>
  <si>
    <t>2000 Net Income</t>
  </si>
  <si>
    <t>Implied Valuation</t>
  </si>
  <si>
    <t>2000 EBITDA</t>
  </si>
  <si>
    <t>DCF Valuation</t>
  </si>
  <si>
    <t>New Projects (Total Capacity)</t>
  </si>
  <si>
    <t>Capacity Discount</t>
  </si>
  <si>
    <t>Central Utah</t>
  </si>
  <si>
    <t>Included?</t>
  </si>
  <si>
    <t>Volume Growth Curves</t>
  </si>
  <si>
    <t>Price Curves</t>
  </si>
  <si>
    <t>Avg. Transport Gas Rate</t>
  </si>
  <si>
    <t>Avg. Storage Rate</t>
  </si>
  <si>
    <t>RATE BASE</t>
  </si>
  <si>
    <t>Plant In-Service</t>
  </si>
  <si>
    <t>Accum. Dep.</t>
  </si>
  <si>
    <t>From 10K</t>
  </si>
  <si>
    <t>Def. Taxes</t>
  </si>
  <si>
    <t>Return</t>
  </si>
  <si>
    <t>Net Income Proxy</t>
  </si>
  <si>
    <t>(Volumes in TBtu's)</t>
  </si>
  <si>
    <t>Total Revenues</t>
  </si>
  <si>
    <t>Alta Gas Co</t>
  </si>
  <si>
    <t>Alta Other Businesses</t>
  </si>
  <si>
    <t>Other Storage Revenue Growth</t>
  </si>
  <si>
    <t>Processing Revenue Growth</t>
  </si>
  <si>
    <t>Other Business Revenue Growth</t>
  </si>
  <si>
    <t>Expense Projections</t>
  </si>
  <si>
    <t>O &amp; M Growth</t>
  </si>
  <si>
    <t>Mainline 104 (Exp/Rev)</t>
  </si>
  <si>
    <t>Southern Trails (Exp/Rev)</t>
  </si>
  <si>
    <t>Other Taxes Growth</t>
  </si>
  <si>
    <t>Total Expenses</t>
  </si>
  <si>
    <t>Rev per Exp $</t>
  </si>
  <si>
    <t>Operating Margin</t>
  </si>
  <si>
    <t>CAPITAL EXPENDITURE PROJECTIONS ($000'S)</t>
  </si>
  <si>
    <t>Total CAPEX</t>
  </si>
  <si>
    <t>Capex Growth Projections</t>
  </si>
  <si>
    <t>Transmission System CAPEX Growth</t>
  </si>
  <si>
    <t>Mainline 104 CAPEX Growth</t>
  </si>
  <si>
    <t>Southern Trails Pipeline CAPEX Growth</t>
  </si>
  <si>
    <t>Central Utah CAPEX Growth</t>
  </si>
  <si>
    <t>Storage CAPEX Growth</t>
  </si>
  <si>
    <t>Processing Plant CAPEX Growth</t>
  </si>
  <si>
    <t>Partnerships CAPEX Growth</t>
  </si>
  <si>
    <t>General CAPEX Growth</t>
  </si>
  <si>
    <t>DEPRICIATION &amp; AMORTIZATION</t>
  </si>
  <si>
    <t>TOTAL REVENUE</t>
  </si>
  <si>
    <t>OPERATING EXPENSES</t>
  </si>
  <si>
    <t>TAXES</t>
  </si>
  <si>
    <t>TOTAL TAXES</t>
  </si>
  <si>
    <t>CASH FLOW FROM OPERATIONS</t>
  </si>
  <si>
    <t>Interest &amp; Other Income Growth</t>
  </si>
  <si>
    <t>Unconsolidated Income Growth</t>
  </si>
  <si>
    <t>Int &amp; Other Income</t>
  </si>
  <si>
    <t xml:space="preserve">Hard -Code </t>
  </si>
  <si>
    <t>EBITDA Multiple</t>
  </si>
  <si>
    <t>Discount Rate</t>
  </si>
  <si>
    <t>Multiple and Discount Rate Analysis</t>
  </si>
  <si>
    <t>Discount</t>
  </si>
  <si>
    <t>Equity Value</t>
  </si>
  <si>
    <t>Purchase Price Scenarios (Equity Value)</t>
  </si>
  <si>
    <t>Multiple and Implied Perpetual Value</t>
  </si>
  <si>
    <t>Year 11 Implied Value</t>
  </si>
  <si>
    <t>Year 11 Free Cash Flow</t>
  </si>
  <si>
    <t xml:space="preserve">Discount Rate </t>
  </si>
  <si>
    <t>Implied Growth Rate</t>
  </si>
  <si>
    <t>DEPRECIATION PROJECTIONS ($000'S)</t>
  </si>
  <si>
    <t>Debt/Total Cap</t>
  </si>
  <si>
    <t>Debt/Total Capitalization</t>
  </si>
  <si>
    <t xml:space="preserve">Cost of </t>
  </si>
  <si>
    <t>IRR with Leverage and Interest Rate Scenarios (Base Case Assumptions)</t>
  </si>
  <si>
    <t>Multiple and Implied Perpetual Value (ENE Required Rate of Return)</t>
  </si>
  <si>
    <t>(O&amp;M + Storage Growth Assumptions Redux)</t>
  </si>
  <si>
    <t>Electric Utility</t>
  </si>
  <si>
    <t>Gas Utility</t>
  </si>
  <si>
    <t>Natual Gas Transmission</t>
  </si>
  <si>
    <t>Independent Power Production</t>
  </si>
  <si>
    <t>Oil &amp; Gas Exploration and Production</t>
  </si>
  <si>
    <t>Marketing, Services and Trading</t>
  </si>
  <si>
    <t>International Energy Distribution</t>
  </si>
  <si>
    <t>GROWTH RATES</t>
  </si>
  <si>
    <t>Fuel for Electric Generation</t>
  </si>
  <si>
    <t>Purchased and Interchange Power</t>
  </si>
  <si>
    <t>Purchased Power - Related Parties</t>
  </si>
  <si>
    <t>Cost of Gas Sold</t>
  </si>
  <si>
    <t>Other Operating Expenses</t>
  </si>
  <si>
    <t>Maintenance</t>
  </si>
  <si>
    <t>Consumers Electric Operations</t>
  </si>
  <si>
    <t>Consumers Gas Operations</t>
  </si>
  <si>
    <t>Natural Gas Transmission</t>
  </si>
  <si>
    <t>Oil and Gas Exploration and Production</t>
  </si>
  <si>
    <t>TOTAL CASH FLOW AVAILABLE TO INVESTORS</t>
  </si>
  <si>
    <t>Wolverine</t>
  </si>
  <si>
    <t>Oil &amp; Gas E&amp;P</t>
  </si>
  <si>
    <t>Purchased Pwr: Mkt, Srvcs &amp; Trade</t>
  </si>
  <si>
    <t>Cost of Gas Sold - Mkt, Srvcs &amp; Trade</t>
  </si>
  <si>
    <t>Oil and Gas E&amp;P</t>
  </si>
  <si>
    <t>TOTAL EXPENSES</t>
  </si>
  <si>
    <t>TOTAL INT &amp; OTH INCOME</t>
  </si>
  <si>
    <t>DEPRECIATION &amp; AMORTIZATION</t>
  </si>
  <si>
    <t>TOTAL CASH FLOW</t>
  </si>
  <si>
    <t>bil.</t>
  </si>
  <si>
    <t>(Base Case Scenario)</t>
  </si>
  <si>
    <t>NET INCOME @ (All Equity 4.657)</t>
  </si>
  <si>
    <t>Incremental Earnings (All Equity)</t>
  </si>
  <si>
    <t>Incremental Earnings (50% Debt, 50% Equity)</t>
  </si>
  <si>
    <t>Consumers Energy</t>
  </si>
  <si>
    <t>Panhandle Eastern</t>
  </si>
  <si>
    <t>Corp Energy</t>
  </si>
  <si>
    <t>TARGET SUMMARY</t>
  </si>
  <si>
    <t>MODEL ASSUMPTIONS</t>
  </si>
  <si>
    <t>Primary Pipeline Asset</t>
  </si>
  <si>
    <t>Secondary Asset</t>
  </si>
  <si>
    <t>Consolidated Unlevered Valuation</t>
  </si>
  <si>
    <t>Consolidated Levered Valuation</t>
  </si>
  <si>
    <t>Asset Divisions</t>
  </si>
  <si>
    <t>Project Assumptions and Valuation Summary</t>
  </si>
  <si>
    <t>Discounted Cash Flow Analysis</t>
  </si>
  <si>
    <t>Income Statement</t>
  </si>
  <si>
    <t>Balance Sheet</t>
  </si>
  <si>
    <t>Statement of Cash Flows</t>
  </si>
  <si>
    <t>OPERATING REVENUE</t>
  </si>
  <si>
    <t>Transportation &amp; Storage of NatGas</t>
  </si>
  <si>
    <t>Revenue 4</t>
  </si>
  <si>
    <t>Revenue 5</t>
  </si>
  <si>
    <t>TOTAL OPERATING REVENUE</t>
  </si>
  <si>
    <t>TOTAL OPERATING EXPENSES</t>
  </si>
  <si>
    <t>Operation and Maintenance</t>
  </si>
  <si>
    <t>Depreciation and Amortization</t>
  </si>
  <si>
    <t>General Taxes</t>
  </si>
  <si>
    <t>Expense 4</t>
  </si>
  <si>
    <t>Expense 5</t>
  </si>
  <si>
    <t>Expense 2</t>
  </si>
  <si>
    <t>Expense 3</t>
  </si>
  <si>
    <t>DEPRECIATION AND AMORTIZATION</t>
  </si>
  <si>
    <t xml:space="preserve">Other Net Income </t>
  </si>
  <si>
    <t>Interest on Long Term Debt</t>
  </si>
  <si>
    <t>Other Interest</t>
  </si>
  <si>
    <t>OTHER INCOME</t>
  </si>
  <si>
    <t>Other Income 2</t>
  </si>
  <si>
    <t>Other Income 3</t>
  </si>
  <si>
    <t>TOTAL OTHER INCOME</t>
  </si>
  <si>
    <t>INTEREST EXPENSES</t>
  </si>
  <si>
    <t>TOTAL INTEREST EXPENSES</t>
  </si>
  <si>
    <t>Other Interest 3</t>
  </si>
  <si>
    <t>Other Interest 4</t>
  </si>
  <si>
    <t>NET INCOME BEFORE INCOME TAXES</t>
  </si>
  <si>
    <t>Income Taxes</t>
  </si>
  <si>
    <t>Taxes 4</t>
  </si>
  <si>
    <t>OPERATING STATISTICS</t>
  </si>
  <si>
    <t>Revenue Growth</t>
  </si>
  <si>
    <t>EBITDA Growth</t>
  </si>
  <si>
    <t>EBIT Growth</t>
  </si>
  <si>
    <t>EBITDA Margin (%)</t>
  </si>
  <si>
    <t>EBIT Margin (%)</t>
  </si>
  <si>
    <t>GROWTH</t>
  </si>
  <si>
    <t>MARGINS</t>
  </si>
  <si>
    <t>Revenue per Expense</t>
  </si>
  <si>
    <t>Revenue 6</t>
  </si>
  <si>
    <t>LNG Terminalling Revenue</t>
  </si>
  <si>
    <t>OTHER INCOME PROJECTIONS ($000'S)</t>
  </si>
  <si>
    <t>TAX PROJECTIONS ($000'S)</t>
  </si>
  <si>
    <t>Cash and Equivalents</t>
  </si>
  <si>
    <t>Accounts Receivable</t>
  </si>
  <si>
    <t>Inventory</t>
  </si>
  <si>
    <t>Other Current Assets</t>
  </si>
  <si>
    <t>Net Property, Plant &amp; Equipment</t>
  </si>
  <si>
    <t>Intangible Assets</t>
  </si>
  <si>
    <t>Accounts Payable</t>
  </si>
  <si>
    <t>Other Current Liabilities</t>
  </si>
  <si>
    <t>CURRENT ASSETS</t>
  </si>
  <si>
    <t xml:space="preserve">TOTAL CURRENT ASSETS </t>
  </si>
  <si>
    <t>NON-CURRENT ASSETS</t>
  </si>
  <si>
    <t>TOTAL NON-CURRENT ASSETS</t>
  </si>
  <si>
    <t>TOTAL ASSETS</t>
  </si>
  <si>
    <t>CURRENT LIABILITIES</t>
  </si>
  <si>
    <t>TOTAL CURRENT LIABILITIES</t>
  </si>
  <si>
    <t>NON-CURRENT LIABILITIES</t>
  </si>
  <si>
    <t>Non-Current Liabilities 4</t>
  </si>
  <si>
    <t>Non-Current Liabilities 5</t>
  </si>
  <si>
    <t>Non-Current Liabilities 6</t>
  </si>
  <si>
    <t>Non-Current Liabilities 7</t>
  </si>
  <si>
    <t>Non-Current Liabilities 8</t>
  </si>
  <si>
    <t>Current Assets 8</t>
  </si>
  <si>
    <t>Current Liabilities 7</t>
  </si>
  <si>
    <t>Current Liabilities 8</t>
  </si>
  <si>
    <t>TOTAL NON-CURRENT LIABILITIES</t>
  </si>
  <si>
    <t>COMMON EQUITY</t>
  </si>
  <si>
    <t>TOTAL COMMON EQUITY</t>
  </si>
  <si>
    <t>TOTAL LIABILITIES &amp; EQUITY</t>
  </si>
  <si>
    <t>Common Equity 4</t>
  </si>
  <si>
    <t>Common Equity 5</t>
  </si>
  <si>
    <t>Common Equity 6</t>
  </si>
  <si>
    <t>Common Equity 7</t>
  </si>
  <si>
    <t>Common Equity 8</t>
  </si>
  <si>
    <t>BALANCE SHEET ($000)</t>
  </si>
  <si>
    <t>Less Accumulated Depreciation &amp; Amortization</t>
  </si>
  <si>
    <t>Construction work-in-progress</t>
  </si>
  <si>
    <t>Debt Issuance Cost</t>
  </si>
  <si>
    <t>Other Non-Current Assets</t>
  </si>
  <si>
    <t>Gas Imbalances - Receivable</t>
  </si>
  <si>
    <t>Deferred Income Taxes</t>
  </si>
  <si>
    <t>Note Receivables</t>
  </si>
  <si>
    <t>Current Assets 9</t>
  </si>
  <si>
    <t>Current Assets 10</t>
  </si>
  <si>
    <t>Non-Current Assets 9</t>
  </si>
  <si>
    <t>Non-Current Assets 10</t>
  </si>
  <si>
    <t>Invesments</t>
  </si>
  <si>
    <t>Current Liabilities 9</t>
  </si>
  <si>
    <t>Current Liabilities 10</t>
  </si>
  <si>
    <t>Non-Current Liabilities 9</t>
  </si>
  <si>
    <t>Non-Current Liabilities 10</t>
  </si>
  <si>
    <t>Common Equity 9</t>
  </si>
  <si>
    <t>Common Equity 10</t>
  </si>
  <si>
    <t>Gas Imbalances - Payable</t>
  </si>
  <si>
    <t>Accrued Taxes</t>
  </si>
  <si>
    <t>Accrued Interest</t>
  </si>
  <si>
    <t>Accrued Liabilities</t>
  </si>
  <si>
    <t>Long-term Debt</t>
  </si>
  <si>
    <t>Common Stock</t>
  </si>
  <si>
    <t>Paid-in Capital</t>
  </si>
  <si>
    <t>Retained Earnings</t>
  </si>
  <si>
    <t>Balance Sheet Check</t>
  </si>
  <si>
    <t xml:space="preserve"> Transaction Adjustments</t>
  </si>
  <si>
    <t>Additions</t>
  </si>
  <si>
    <t>Subtractions</t>
  </si>
  <si>
    <t>BALANCE SHEET ASSUMPTIONS</t>
  </si>
  <si>
    <t>Days Sales in A/R</t>
  </si>
  <si>
    <t>Days Cogs in A/P</t>
  </si>
  <si>
    <t>2001PF</t>
  </si>
  <si>
    <t>Days in Receivable Gas Imbalance</t>
  </si>
  <si>
    <t>LIABILITY ASSUMPTIONS</t>
  </si>
  <si>
    <t>Days O&amp;M in Inventory</t>
  </si>
  <si>
    <t>STATEMENT OF CASH FLOW ($000)</t>
  </si>
  <si>
    <t>Cash Flow</t>
  </si>
  <si>
    <t>Adjustments</t>
  </si>
  <si>
    <t>CASH FLOWS FROM OPERATING ACTIVITIES</t>
  </si>
  <si>
    <t>Net Income</t>
  </si>
  <si>
    <t>Other, net</t>
  </si>
  <si>
    <t>NET CASH FROM OPERATING ACTIVITIES</t>
  </si>
  <si>
    <t>CASH FLOWS FROM INVESTING ACTIVITIES</t>
  </si>
  <si>
    <t>NET CASH FROM INVESTING ACTIVITIES</t>
  </si>
  <si>
    <t>Other Operating CF 6</t>
  </si>
  <si>
    <t>Other Operating CF 7</t>
  </si>
  <si>
    <t>Other Operating CF 8</t>
  </si>
  <si>
    <t>Other Operating CF 9</t>
  </si>
  <si>
    <t>Other Operating CF 10</t>
  </si>
  <si>
    <t>Acquisition of Panhandle</t>
  </si>
  <si>
    <t>Capital and Investment Expenditures</t>
  </si>
  <si>
    <t>Net Increase in Advances Receivable</t>
  </si>
  <si>
    <t>Retirements and Other</t>
  </si>
  <si>
    <t>Other Investing CF 5</t>
  </si>
  <si>
    <t>Other Investing CF 6</t>
  </si>
  <si>
    <t>Other Investing CF 7</t>
  </si>
  <si>
    <t>Other Investing CF 8</t>
  </si>
  <si>
    <t>Other Investing CF 9</t>
  </si>
  <si>
    <t>Other Investing CF 10</t>
  </si>
  <si>
    <t>CASH FLOWS FROM FINANCING ACTIVITIES</t>
  </si>
  <si>
    <t>Contribution from Parent</t>
  </si>
  <si>
    <t>Net Increase in Note Receivable</t>
  </si>
  <si>
    <t>Dividends Paid</t>
  </si>
  <si>
    <t>Other Financing CF 5</t>
  </si>
  <si>
    <t>Other Financing CF 6</t>
  </si>
  <si>
    <t>Other Financing CF 7</t>
  </si>
  <si>
    <t>Other Financing CF 8</t>
  </si>
  <si>
    <t>Other Financing CF 9</t>
  </si>
  <si>
    <t>Other Financing CF 10</t>
  </si>
  <si>
    <t>NET CASH FROM FINANCING ACTIVITIES</t>
  </si>
  <si>
    <t>Changes in Net Working Capital</t>
  </si>
  <si>
    <t xml:space="preserve">     (Inc.) Dec. in Acct. Rec.</t>
  </si>
  <si>
    <t xml:space="preserve">     (Inc.) Dec. in Inventory</t>
  </si>
  <si>
    <t xml:space="preserve">     (Inc.) Dec. in Other Current Assets</t>
  </si>
  <si>
    <t xml:space="preserve">      Inc. (Dec.) in Acct. Pay.</t>
  </si>
  <si>
    <t xml:space="preserve">      Inc. (Dec.) in Other Current Liab.</t>
  </si>
  <si>
    <t>(Inc.) Dec. in Net Working Capital</t>
  </si>
  <si>
    <t>Other Operating CF 5</t>
  </si>
  <si>
    <t>NET INCREASE (DECREASE) IN CASH</t>
  </si>
  <si>
    <t>CASH BEGINNING OF PERIOD</t>
  </si>
  <si>
    <t>CASH END OF PERIOD</t>
  </si>
  <si>
    <t>Increase in Deferred Income Taxes</t>
  </si>
  <si>
    <t>Days in Payable Gas Imbalance</t>
  </si>
  <si>
    <t>% of Trans. Revenue as Receivable Gas Imbalance</t>
  </si>
  <si>
    <t>% of Trans. Revenue as Payable Gas Imbalance</t>
  </si>
  <si>
    <t>CAPEX AND OTHER INVESTMENT PROJECTIONS ($000'S)</t>
  </si>
  <si>
    <t>CAPITAL EXPENDITURES</t>
  </si>
  <si>
    <t>Net Income Growth</t>
  </si>
  <si>
    <t>Property, Plant &amp; Equipment @ Cost</t>
  </si>
  <si>
    <t xml:space="preserve">  Depreciable Portion of Existing PP&amp;E Book Value</t>
  </si>
  <si>
    <t xml:space="preserve">  Depreciable Portion of Existing Intangible Assets</t>
  </si>
  <si>
    <t>PIPELINE CO DEBT</t>
  </si>
  <si>
    <t>Current Income Taxes</t>
  </si>
  <si>
    <t xml:space="preserve">  Depreciable Portion based on Purchase Price</t>
  </si>
  <si>
    <t xml:space="preserve">  Other Depreciable Item</t>
  </si>
  <si>
    <t>Total Taxes</t>
  </si>
  <si>
    <t>FREE CASH FLOW CALCULATION</t>
  </si>
  <si>
    <t>TOTAL TAXES ON EBIT</t>
  </si>
  <si>
    <t>CHANGE IN DEFERRED TAXES</t>
  </si>
  <si>
    <t>DEPRECIATION</t>
  </si>
  <si>
    <t>INCREASE IN OTHER ASSETS</t>
  </si>
  <si>
    <t>FREE CASH FLOW</t>
  </si>
  <si>
    <t>(INCREASE) IN WORKING CAPITAL</t>
  </si>
  <si>
    <t>Salvage Value</t>
  </si>
  <si>
    <t>Net Present Value 2002</t>
  </si>
  <si>
    <t>Hard-Code</t>
  </si>
  <si>
    <t>Proceeds (Retirement) of Senior Notes</t>
  </si>
  <si>
    <t xml:space="preserve">     (Inc.) Dec. in Gas Imbalances Receivable</t>
  </si>
  <si>
    <t xml:space="preserve">      Inc. (Dec) in Gas Imbalances Payable</t>
  </si>
  <si>
    <t>DISCOUNTED CASH FLOW ANALYSIS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</si>
</sst>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69" formatCode="0.0000"/>
    <numFmt numFmtId="171" formatCode="_(* #,##0.0000_);_(* \(#,##0.0000\);_(* &quot;-&quot;??_);_(@_)"/>
    <numFmt numFmtId="173" formatCode="_(&quot;$&quot;* #,##0.000_);_(&quot;$&quot;* \(#,##0.000\);_(&quot;$&quot;* &quot;-&quot;??_);_(@_)"/>
    <numFmt numFmtId="175" formatCode="#,##0.0_%_);\(#,##0.0\)_%;#,##0.0_%_);@_%_)"/>
    <numFmt numFmtId="176" formatCode="#,##0_%_);\(#,##0\)_%;#,##0_%_);@_%_)"/>
    <numFmt numFmtId="177" formatCode="#,##0.00_%_);\(#,##0.00\)_%;#,##0.00_%_);@_%_)"/>
    <numFmt numFmtId="179" formatCode="0.0%_);\(0.0%\);0.0%_);@_%_)"/>
    <numFmt numFmtId="180" formatCode="0%_);\(0%\);0%_);@_%_)"/>
    <numFmt numFmtId="181" formatCode="0.0\x_)_);&quot;NM&quot;_x_)_);0.0\x_)_);@_%_)"/>
    <numFmt numFmtId="182" formatCode="0.00%_);\(0.00%\);0.00%_);@_%_)"/>
    <numFmt numFmtId="183" formatCode="&quot;Yes&quot;_%_);;&quot;No&quot;_%_)"/>
    <numFmt numFmtId="185" formatCode="#,##0.0%_);\(#,##0.0%\);0.0%_);@_%_)"/>
    <numFmt numFmtId="188" formatCode="###0_%_);\(#,##0\)_%;#,##0_%_);@_%_)"/>
    <numFmt numFmtId="189" formatCode="&quot;$&quot;#,##0.0_%_);\(&quot;$&quot;#,##0.0\)_%;&quot;$&quot;#,##0.0_%_);@_%_)"/>
    <numFmt numFmtId="193" formatCode="&quot;$&quot;#,##0.00_%_);\(&quot;$&quot;#,##0.00\)_%;&quot;$&quot;#,##0.00_%_);@_%_)"/>
    <numFmt numFmtId="195" formatCode="#,##0.0_%_);\(#,##0.0\)_%;[White]#,##0.0_%_);@_%_)"/>
    <numFmt numFmtId="204" formatCode="_(&quot;$&quot;* #,##0.000_);_(&quot;$&quot;* \(#,##0.000\);_(&quot;$&quot;* &quot;-&quot;???_);_(@_)"/>
    <numFmt numFmtId="205" formatCode="_(&quot;$&quot;* #,##0.00_);_(&quot;$&quot;* \(#,##0.00\);_(&quot;$&quot;* &quot;-&quot;???_);_(@_)"/>
    <numFmt numFmtId="207" formatCode="#\x"/>
    <numFmt numFmtId="210" formatCode="0.00\x"/>
    <numFmt numFmtId="213" formatCode="&quot;$&quot;#,##0.0000_);[Red]\(&quot;$&quot;#,##0.0000\)"/>
  </numFmts>
  <fonts count="47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  <font>
      <sz val="10"/>
      <name val="Helvetica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name val="Helvetica-Black"/>
    </font>
    <font>
      <sz val="8"/>
      <color indexed="12"/>
      <name val="Arial"/>
      <family val="2"/>
    </font>
    <font>
      <b/>
      <sz val="16"/>
      <name val="Arial"/>
      <family val="2"/>
    </font>
    <font>
      <b/>
      <sz val="10"/>
      <color indexed="21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10"/>
      <color indexed="56"/>
      <name val="Arial"/>
      <family val="2"/>
    </font>
    <font>
      <b/>
      <sz val="10"/>
      <color indexed="8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color indexed="12"/>
      <name val="Arial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6"/>
      <color indexed="9"/>
      <name val="Arial"/>
      <family val="2"/>
    </font>
    <font>
      <b/>
      <sz val="11"/>
      <color indexed="9"/>
      <name val="Arial"/>
      <family val="2"/>
    </font>
    <font>
      <b/>
      <u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26" fillId="0" borderId="0"/>
    <xf numFmtId="9" fontId="1" fillId="0" borderId="0" applyFont="0" applyFill="0" applyBorder="0" applyAlignment="0" applyProtection="0"/>
    <xf numFmtId="0" fontId="31" fillId="0" borderId="0" applyFill="0" applyBorder="0" applyProtection="0">
      <alignment horizontal="left"/>
    </xf>
  </cellStyleXfs>
  <cellXfs count="1011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7" fillId="2" borderId="0" xfId="1" applyNumberFormat="1" applyFont="1" applyFill="1"/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0" fillId="0" borderId="0" xfId="1" applyNumberFormat="1" applyFont="1" applyAlignment="1">
      <alignment horizontal="left"/>
    </xf>
    <xf numFmtId="165" fontId="1" fillId="0" borderId="0" xfId="1" applyNumberFormat="1" applyFont="1" applyFill="1"/>
    <xf numFmtId="165" fontId="3" fillId="0" borderId="0" xfId="1" applyNumberFormat="1" applyFont="1" applyFill="1"/>
    <xf numFmtId="165" fontId="7" fillId="0" borderId="0" xfId="1" applyNumberFormat="1" applyFont="1" applyFill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167" fontId="0" fillId="0" borderId="0" xfId="3" applyNumberFormat="1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5" fillId="0" borderId="0" xfId="0" applyFont="1" applyAlignment="1">
      <alignment horizontal="center"/>
    </xf>
    <xf numFmtId="10" fontId="0" fillId="0" borderId="0" xfId="0" applyNumberFormat="1"/>
    <xf numFmtId="0" fontId="15" fillId="0" borderId="0" xfId="0" applyFont="1"/>
    <xf numFmtId="0" fontId="0" fillId="0" borderId="0" xfId="0" applyFill="1" applyBorder="1"/>
    <xf numFmtId="165" fontId="1" fillId="0" borderId="1" xfId="1" applyNumberFormat="1" applyFill="1" applyBorder="1"/>
    <xf numFmtId="0" fontId="0" fillId="0" borderId="0" xfId="0" applyFill="1" applyAlignment="1">
      <alignment horizontal="center"/>
    </xf>
    <xf numFmtId="165" fontId="1" fillId="0" borderId="1" xfId="1" applyNumberFormat="1" applyBorder="1"/>
    <xf numFmtId="165" fontId="7" fillId="0" borderId="1" xfId="1" applyNumberFormat="1" applyFont="1" applyFill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2" xfId="1" applyNumberFormat="1" applyBorder="1"/>
    <xf numFmtId="171" fontId="1" fillId="0" borderId="1" xfId="1" applyNumberFormat="1" applyBorder="1"/>
    <xf numFmtId="171" fontId="1" fillId="0" borderId="3" xfId="1" applyNumberFormat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169" fontId="0" fillId="0" borderId="1" xfId="0" applyNumberFormat="1" applyBorder="1"/>
    <xf numFmtId="169" fontId="0" fillId="0" borderId="3" xfId="0" applyNumberFormat="1" applyBorder="1"/>
    <xf numFmtId="0" fontId="2" fillId="0" borderId="0" xfId="0" applyFont="1" applyFill="1"/>
    <xf numFmtId="165" fontId="7" fillId="0" borderId="0" xfId="1" applyNumberFormat="1" applyFont="1" applyFill="1" applyBorder="1"/>
    <xf numFmtId="0" fontId="0" fillId="0" borderId="4" xfId="0" applyFill="1" applyBorder="1"/>
    <xf numFmtId="165" fontId="7" fillId="0" borderId="4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6" fillId="0" borderId="0" xfId="1" applyNumberFormat="1" applyFont="1" applyFill="1"/>
    <xf numFmtId="9" fontId="0" fillId="0" borderId="0" xfId="0" applyNumberFormat="1"/>
    <xf numFmtId="165" fontId="2" fillId="0" borderId="2" xfId="1" applyNumberFormat="1" applyFont="1" applyBorder="1"/>
    <xf numFmtId="165" fontId="2" fillId="0" borderId="0" xfId="1" applyNumberFormat="1" applyFont="1" applyAlignment="1">
      <alignment horizontal="left"/>
    </xf>
    <xf numFmtId="0" fontId="8" fillId="0" borderId="0" xfId="0" applyFont="1"/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9" fontId="1" fillId="0" borderId="0" xfId="7"/>
    <xf numFmtId="165" fontId="0" fillId="2" borderId="1" xfId="0" applyNumberFormat="1" applyFill="1" applyBorder="1"/>
    <xf numFmtId="0" fontId="0" fillId="0" borderId="0" xfId="0" applyBorder="1" applyAlignment="1">
      <alignment horizontal="left"/>
    </xf>
    <xf numFmtId="9" fontId="7" fillId="0" borderId="0" xfId="7" applyFont="1" applyFill="1" applyBorder="1"/>
    <xf numFmtId="9" fontId="1" fillId="0" borderId="0" xfId="7" applyBorder="1" applyAlignment="1">
      <alignment horizontal="right"/>
    </xf>
    <xf numFmtId="165" fontId="1" fillId="0" borderId="0" xfId="1" applyNumberFormat="1" applyFill="1" applyAlignment="1">
      <alignment horizontal="right"/>
    </xf>
    <xf numFmtId="9" fontId="1" fillId="0" borderId="0" xfId="7" applyFill="1"/>
    <xf numFmtId="9" fontId="8" fillId="0" borderId="0" xfId="0" applyNumberFormat="1" applyFont="1" applyBorder="1"/>
    <xf numFmtId="9" fontId="8" fillId="0" borderId="0" xfId="7" applyFont="1" applyFill="1" applyBorder="1"/>
    <xf numFmtId="10" fontId="1" fillId="0" borderId="0" xfId="1" applyNumberFormat="1"/>
    <xf numFmtId="43" fontId="3" fillId="0" borderId="0" xfId="1" applyFont="1" applyAlignment="1">
      <alignment horizontal="right"/>
    </xf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1" fillId="2" borderId="3" xfId="1" applyNumberFormat="1" applyFill="1" applyBorder="1"/>
    <xf numFmtId="165" fontId="0" fillId="0" borderId="5" xfId="1" applyNumberFormat="1" applyFont="1" applyBorder="1" applyAlignment="1">
      <alignment horizontal="right"/>
    </xf>
    <xf numFmtId="165" fontId="0" fillId="0" borderId="6" xfId="0" applyNumberFormat="1" applyBorder="1" applyAlignment="1"/>
    <xf numFmtId="164" fontId="7" fillId="2" borderId="0" xfId="1" applyNumberFormat="1" applyFont="1" applyFill="1"/>
    <xf numFmtId="165" fontId="0" fillId="0" borderId="0" xfId="0" applyNumberFormat="1" applyBorder="1"/>
    <xf numFmtId="165" fontId="16" fillId="0" borderId="0" xfId="1" applyNumberFormat="1" applyFont="1" applyFill="1" applyBorder="1"/>
    <xf numFmtId="167" fontId="16" fillId="0" borderId="0" xfId="3" applyNumberFormat="1" applyFont="1" applyFill="1"/>
    <xf numFmtId="0" fontId="17" fillId="0" borderId="0" xfId="0" applyFont="1"/>
    <xf numFmtId="0" fontId="8" fillId="0" borderId="0" xfId="0" applyNumberFormat="1" applyFont="1" applyAlignment="1">
      <alignment horizontal="center"/>
    </xf>
    <xf numFmtId="43" fontId="0" fillId="0" borderId="0" xfId="0" applyNumberFormat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7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9" fontId="7" fillId="0" borderId="0" xfId="0" applyNumberFormat="1" applyFont="1"/>
    <xf numFmtId="165" fontId="1" fillId="0" borderId="0" xfId="1" applyNumberFormat="1" applyBorder="1"/>
    <xf numFmtId="164" fontId="18" fillId="2" borderId="0" xfId="1" applyNumberFormat="1" applyFont="1" applyFill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Fill="1"/>
    <xf numFmtId="9" fontId="0" fillId="0" borderId="1" xfId="0" applyNumberFormat="1" applyFill="1" applyBorder="1"/>
    <xf numFmtId="2" fontId="1" fillId="0" borderId="0" xfId="3" applyNumberFormat="1" applyAlignment="1">
      <alignment horizontal="right"/>
    </xf>
    <xf numFmtId="2" fontId="1" fillId="0" borderId="0" xfId="3" applyNumberFormat="1"/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7" applyNumberFormat="1" applyFont="1" applyFill="1"/>
    <xf numFmtId="9" fontId="0" fillId="0" borderId="0" xfId="7" applyFont="1" applyFill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12" fillId="0" borderId="11" xfId="0" applyFont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11" xfId="0" applyBorder="1" applyAlignment="1">
      <alignment wrapText="1"/>
    </xf>
    <xf numFmtId="165" fontId="0" fillId="0" borderId="9" xfId="0" applyNumberFormat="1" applyBorder="1"/>
    <xf numFmtId="0" fontId="0" fillId="0" borderId="14" xfId="0" applyFill="1" applyBorder="1" applyAlignment="1">
      <alignment horizontal="right"/>
    </xf>
    <xf numFmtId="0" fontId="0" fillId="0" borderId="14" xfId="0" applyFill="1" applyBorder="1" applyAlignment="1">
      <alignment horizontal="left"/>
    </xf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165" fontId="0" fillId="3" borderId="0" xfId="1" applyNumberFormat="1" applyFont="1" applyFill="1" applyBorder="1"/>
    <xf numFmtId="0" fontId="4" fillId="3" borderId="0" xfId="0" applyFont="1" applyFill="1" applyBorder="1"/>
    <xf numFmtId="165" fontId="0" fillId="3" borderId="11" xfId="1" applyNumberFormat="1" applyFont="1" applyFill="1" applyBorder="1"/>
    <xf numFmtId="165" fontId="0" fillId="3" borderId="12" xfId="1" applyNumberFormat="1" applyFont="1" applyFill="1" applyBorder="1"/>
    <xf numFmtId="0" fontId="0" fillId="3" borderId="14" xfId="0" applyFill="1" applyBorder="1"/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3" borderId="8" xfId="1" applyNumberFormat="1" applyFont="1" applyFill="1" applyBorder="1" applyAlignment="1">
      <alignment horizontal="center"/>
    </xf>
    <xf numFmtId="165" fontId="2" fillId="3" borderId="9" xfId="1" applyNumberFormat="1" applyFont="1" applyFill="1" applyBorder="1" applyAlignment="1">
      <alignment horizontal="center"/>
    </xf>
    <xf numFmtId="0" fontId="2" fillId="3" borderId="9" xfId="0" applyFont="1" applyFill="1" applyBorder="1"/>
    <xf numFmtId="165" fontId="19" fillId="3" borderId="11" xfId="1" applyNumberFormat="1" applyFont="1" applyFill="1" applyBorder="1" applyAlignment="1">
      <alignment horizontal="center"/>
    </xf>
    <xf numFmtId="165" fontId="19" fillId="3" borderId="0" xfId="1" applyNumberFormat="1" applyFont="1" applyFill="1" applyBorder="1" applyAlignment="1">
      <alignment horizontal="center"/>
    </xf>
    <xf numFmtId="0" fontId="15" fillId="3" borderId="0" xfId="0" applyFont="1" applyFill="1" applyBorder="1"/>
    <xf numFmtId="166" fontId="15" fillId="3" borderId="0" xfId="7" applyNumberFormat="1" applyFont="1" applyFill="1" applyBorder="1"/>
    <xf numFmtId="166" fontId="15" fillId="3" borderId="12" xfId="7" applyNumberFormat="1" applyFont="1" applyFill="1" applyBorder="1"/>
    <xf numFmtId="166" fontId="15" fillId="3" borderId="11" xfId="7" applyNumberFormat="1" applyFont="1" applyFill="1" applyBorder="1"/>
    <xf numFmtId="0" fontId="12" fillId="0" borderId="13" xfId="0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3" borderId="0" xfId="1" applyNumberFormat="1" applyFill="1" applyBorder="1"/>
    <xf numFmtId="168" fontId="0" fillId="0" borderId="0" xfId="0" applyNumberFormat="1" applyFill="1"/>
    <xf numFmtId="165" fontId="1" fillId="3" borderId="8" xfId="1" applyNumberFormat="1" applyFont="1" applyFill="1" applyBorder="1" applyAlignment="1">
      <alignment horizontal="center"/>
    </xf>
    <xf numFmtId="165" fontId="1" fillId="3" borderId="9" xfId="1" applyNumberFormat="1" applyFill="1" applyBorder="1" applyAlignment="1">
      <alignment horizontal="center"/>
    </xf>
    <xf numFmtId="165" fontId="1" fillId="3" borderId="9" xfId="1" applyNumberFormat="1" applyFill="1" applyBorder="1"/>
    <xf numFmtId="165" fontId="6" fillId="3" borderId="11" xfId="1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166" fontId="4" fillId="3" borderId="0" xfId="7" applyNumberFormat="1" applyFont="1" applyFill="1" applyBorder="1"/>
    <xf numFmtId="166" fontId="4" fillId="3" borderId="12" xfId="7" applyNumberFormat="1" applyFont="1" applyFill="1" applyBorder="1"/>
    <xf numFmtId="165" fontId="1" fillId="3" borderId="11" xfId="1" applyNumberFormat="1" applyFill="1" applyBorder="1"/>
    <xf numFmtId="0" fontId="0" fillId="3" borderId="0" xfId="0" applyFill="1" applyBorder="1" applyAlignment="1">
      <alignment horizontal="center"/>
    </xf>
    <xf numFmtId="165" fontId="1" fillId="3" borderId="12" xfId="1" applyNumberFormat="1" applyFill="1" applyBorder="1"/>
    <xf numFmtId="0" fontId="0" fillId="0" borderId="12" xfId="0" applyBorder="1" applyAlignment="1">
      <alignment horizontal="right"/>
    </xf>
    <xf numFmtId="0" fontId="0" fillId="0" borderId="13" xfId="0" applyFill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3" borderId="9" xfId="0" applyFill="1" applyBorder="1"/>
    <xf numFmtId="0" fontId="0" fillId="3" borderId="13" xfId="0" applyFill="1" applyBorder="1"/>
    <xf numFmtId="166" fontId="3" fillId="3" borderId="9" xfId="7" applyNumberFormat="1" applyFont="1" applyFill="1" applyBorder="1"/>
    <xf numFmtId="166" fontId="3" fillId="3" borderId="10" xfId="7" applyNumberFormat="1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9" fontId="3" fillId="0" borderId="0" xfId="0" applyNumberFormat="1" applyFont="1"/>
    <xf numFmtId="0" fontId="13" fillId="0" borderId="0" xfId="0" applyFont="1"/>
    <xf numFmtId="0" fontId="13" fillId="0" borderId="0" xfId="0" applyFont="1" applyFill="1"/>
    <xf numFmtId="9" fontId="17" fillId="4" borderId="11" xfId="0" applyNumberFormat="1" applyFont="1" applyFill="1" applyBorder="1"/>
    <xf numFmtId="165" fontId="17" fillId="4" borderId="0" xfId="0" applyNumberFormat="1" applyFont="1" applyFill="1" applyBorder="1"/>
    <xf numFmtId="165" fontId="17" fillId="4" borderId="12" xfId="0" applyNumberFormat="1" applyFont="1" applyFill="1" applyBorder="1"/>
    <xf numFmtId="1" fontId="0" fillId="0" borderId="0" xfId="0" applyNumberFormat="1" applyBorder="1"/>
    <xf numFmtId="1" fontId="0" fillId="0" borderId="12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0" fillId="0" borderId="16" xfId="0" applyBorder="1"/>
    <xf numFmtId="166" fontId="0" fillId="0" borderId="17" xfId="0" applyNumberFormat="1" applyBorder="1"/>
    <xf numFmtId="166" fontId="0" fillId="0" borderId="18" xfId="0" applyNumberFormat="1" applyBorder="1"/>
    <xf numFmtId="0" fontId="22" fillId="0" borderId="0" xfId="0" applyFont="1"/>
    <xf numFmtId="0" fontId="3" fillId="0" borderId="13" xfId="0" applyFont="1" applyBorder="1"/>
    <xf numFmtId="22" fontId="15" fillId="0" borderId="0" xfId="0" applyNumberFormat="1" applyFont="1"/>
    <xf numFmtId="0" fontId="0" fillId="3" borderId="5" xfId="0" applyFill="1" applyBorder="1" applyAlignment="1">
      <alignment horizontal="center"/>
    </xf>
    <xf numFmtId="10" fontId="2" fillId="3" borderId="7" xfId="0" applyNumberFormat="1" applyFont="1" applyFill="1" applyBorder="1"/>
    <xf numFmtId="0" fontId="0" fillId="3" borderId="11" xfId="0" applyFill="1" applyBorder="1"/>
    <xf numFmtId="0" fontId="0" fillId="3" borderId="0" xfId="0" applyFill="1" applyBorder="1"/>
    <xf numFmtId="1" fontId="0" fillId="3" borderId="0" xfId="0" applyNumberFormat="1" applyFill="1" applyBorder="1"/>
    <xf numFmtId="1" fontId="0" fillId="3" borderId="12" xfId="0" applyNumberFormat="1" applyFill="1" applyBorder="1"/>
    <xf numFmtId="9" fontId="0" fillId="3" borderId="14" xfId="0" applyNumberFormat="1" applyFill="1" applyBorder="1"/>
    <xf numFmtId="0" fontId="0" fillId="3" borderId="15" xfId="0" applyFill="1" applyBorder="1"/>
    <xf numFmtId="10" fontId="0" fillId="3" borderId="14" xfId="0" applyNumberFormat="1" applyFill="1" applyBorder="1"/>
    <xf numFmtId="165" fontId="7" fillId="3" borderId="19" xfId="1" applyNumberFormat="1" applyFont="1" applyFill="1" applyBorder="1"/>
    <xf numFmtId="164" fontId="7" fillId="3" borderId="14" xfId="1" applyNumberFormat="1" applyFont="1" applyFill="1" applyBorder="1" applyAlignment="1">
      <alignment horizontal="left"/>
    </xf>
    <xf numFmtId="0" fontId="7" fillId="3" borderId="14" xfId="0" applyFont="1" applyFill="1" applyBorder="1"/>
    <xf numFmtId="165" fontId="7" fillId="3" borderId="15" xfId="1" applyNumberFormat="1" applyFont="1" applyFill="1" applyBorder="1"/>
    <xf numFmtId="165" fontId="7" fillId="3" borderId="20" xfId="1" applyNumberFormat="1" applyFont="1" applyFill="1" applyBorder="1"/>
    <xf numFmtId="164" fontId="7" fillId="3" borderId="14" xfId="1" applyNumberFormat="1" applyFont="1" applyFill="1" applyBorder="1" applyAlignment="1">
      <alignment horizontal="center"/>
    </xf>
    <xf numFmtId="165" fontId="7" fillId="3" borderId="14" xfId="1" applyNumberFormat="1" applyFont="1" applyFill="1" applyBorder="1" applyAlignment="1">
      <alignment horizontal="center"/>
    </xf>
    <xf numFmtId="10" fontId="7" fillId="3" borderId="14" xfId="7" applyNumberFormat="1" applyFont="1" applyFill="1" applyBorder="1"/>
    <xf numFmtId="0" fontId="13" fillId="0" borderId="0" xfId="0" applyFont="1" applyFill="1" applyAlignment="1">
      <alignment horizontal="right"/>
    </xf>
    <xf numFmtId="0" fontId="2" fillId="3" borderId="5" xfId="0" applyFont="1" applyFill="1" applyBorder="1"/>
    <xf numFmtId="0" fontId="24" fillId="0" borderId="8" xfId="0" applyFont="1" applyBorder="1"/>
    <xf numFmtId="0" fontId="24" fillId="0" borderId="9" xfId="0" applyFont="1" applyBorder="1"/>
    <xf numFmtId="0" fontId="24" fillId="0" borderId="10" xfId="0" applyFont="1" applyBorder="1"/>
    <xf numFmtId="0" fontId="24" fillId="0" borderId="13" xfId="0" applyFont="1" applyBorder="1"/>
    <xf numFmtId="0" fontId="24" fillId="0" borderId="14" xfId="0" applyFont="1" applyBorder="1"/>
    <xf numFmtId="0" fontId="24" fillId="0" borderId="15" xfId="0" applyFont="1" applyBorder="1"/>
    <xf numFmtId="0" fontId="25" fillId="0" borderId="0" xfId="0" applyFont="1"/>
    <xf numFmtId="0" fontId="22" fillId="5" borderId="0" xfId="0" applyFont="1" applyFill="1" applyBorder="1" applyAlignment="1">
      <alignment wrapText="1"/>
    </xf>
    <xf numFmtId="0" fontId="22" fillId="5" borderId="14" xfId="0" applyFont="1" applyFill="1" applyBorder="1" applyAlignment="1">
      <alignment wrapText="1"/>
    </xf>
    <xf numFmtId="0" fontId="22" fillId="5" borderId="15" xfId="0" applyFont="1" applyFill="1" applyBorder="1" applyAlignment="1">
      <alignment wrapText="1"/>
    </xf>
    <xf numFmtId="9" fontId="0" fillId="5" borderId="11" xfId="0" applyNumberFormat="1" applyFill="1" applyBorder="1"/>
    <xf numFmtId="9" fontId="0" fillId="5" borderId="13" xfId="0" applyNumberFormat="1" applyFill="1" applyBorder="1"/>
    <xf numFmtId="165" fontId="1" fillId="5" borderId="0" xfId="1" applyNumberFormat="1" applyFill="1"/>
    <xf numFmtId="0" fontId="2" fillId="0" borderId="12" xfId="0" applyFont="1" applyBorder="1"/>
    <xf numFmtId="0" fontId="13" fillId="0" borderId="0" xfId="0" applyFont="1" applyFill="1" applyBorder="1"/>
    <xf numFmtId="0" fontId="0" fillId="4" borderId="0" xfId="0" applyFill="1"/>
    <xf numFmtId="0" fontId="2" fillId="4" borderId="0" xfId="0" applyFont="1" applyFill="1"/>
    <xf numFmtId="0" fontId="20" fillId="4" borderId="0" xfId="0" applyFont="1" applyFill="1"/>
    <xf numFmtId="0" fontId="23" fillId="4" borderId="0" xfId="0" applyFont="1" applyFill="1"/>
    <xf numFmtId="0" fontId="3" fillId="4" borderId="0" xfId="0" applyFont="1" applyFill="1"/>
    <xf numFmtId="0" fontId="14" fillId="4" borderId="0" xfId="0" applyFont="1" applyFill="1"/>
    <xf numFmtId="0" fontId="3" fillId="4" borderId="0" xfId="0" applyFont="1" applyFill="1" applyAlignment="1">
      <alignment horizontal="right"/>
    </xf>
    <xf numFmtId="165" fontId="0" fillId="2" borderId="0" xfId="1" applyNumberFormat="1" applyFont="1" applyFill="1"/>
    <xf numFmtId="165" fontId="12" fillId="0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165" fontId="1" fillId="2" borderId="0" xfId="1" applyNumberFormat="1" applyFill="1" applyAlignment="1">
      <alignment horizontal="center"/>
    </xf>
    <xf numFmtId="0" fontId="0" fillId="2" borderId="0" xfId="0" applyFill="1" applyBorder="1"/>
    <xf numFmtId="0" fontId="15" fillId="2" borderId="0" xfId="0" applyFont="1" applyFill="1" applyAlignment="1">
      <alignment horizontal="center"/>
    </xf>
    <xf numFmtId="165" fontId="7" fillId="2" borderId="1" xfId="1" applyNumberFormat="1" applyFont="1" applyFill="1" applyBorder="1"/>
    <xf numFmtId="165" fontId="0" fillId="2" borderId="0" xfId="1" applyNumberFormat="1" applyFont="1" applyFill="1" applyBorder="1"/>
    <xf numFmtId="165" fontId="16" fillId="2" borderId="0" xfId="1" applyNumberFormat="1" applyFont="1" applyFill="1" applyBorder="1"/>
    <xf numFmtId="165" fontId="7" fillId="2" borderId="0" xfId="1" applyNumberFormat="1" applyFont="1" applyFill="1" applyBorder="1"/>
    <xf numFmtId="43" fontId="3" fillId="2" borderId="0" xfId="1" applyFont="1" applyFill="1" applyBorder="1"/>
    <xf numFmtId="165" fontId="3" fillId="2" borderId="0" xfId="1" applyNumberFormat="1" applyFont="1" applyFill="1" applyBorder="1"/>
    <xf numFmtId="165" fontId="6" fillId="2" borderId="0" xfId="1" applyNumberFormat="1" applyFont="1" applyFill="1" applyBorder="1"/>
    <xf numFmtId="167" fontId="1" fillId="0" borderId="0" xfId="3" applyNumberFormat="1" applyFill="1"/>
    <xf numFmtId="0" fontId="22" fillId="5" borderId="0" xfId="0" applyFont="1" applyFill="1" applyBorder="1" applyAlignment="1"/>
    <xf numFmtId="0" fontId="8" fillId="0" borderId="0" xfId="0" applyNumberFormat="1" applyFont="1" applyBorder="1" applyAlignment="1">
      <alignment horizontal="center"/>
    </xf>
    <xf numFmtId="167" fontId="16" fillId="2" borderId="0" xfId="3" applyNumberFormat="1" applyFont="1" applyFill="1" applyBorder="1"/>
    <xf numFmtId="165" fontId="0" fillId="0" borderId="0" xfId="1" applyNumberFormat="1" applyFont="1" applyBorder="1" applyAlignment="1">
      <alignment horizontal="left"/>
    </xf>
    <xf numFmtId="166" fontId="2" fillId="3" borderId="7" xfId="0" applyNumberFormat="1" applyFont="1" applyFill="1" applyBorder="1"/>
    <xf numFmtId="9" fontId="7" fillId="0" borderId="0" xfId="0" applyNumberFormat="1" applyFont="1" applyFill="1" applyBorder="1" applyAlignment="1">
      <alignment horizontal="left"/>
    </xf>
    <xf numFmtId="0" fontId="0" fillId="0" borderId="4" xfId="0" applyBorder="1"/>
    <xf numFmtId="0" fontId="0" fillId="0" borderId="21" xfId="0" applyBorder="1"/>
    <xf numFmtId="0" fontId="2" fillId="0" borderId="0" xfId="6" applyFont="1"/>
    <xf numFmtId="0" fontId="7" fillId="0" borderId="0" xfId="0" applyFont="1" applyBorder="1"/>
    <xf numFmtId="0" fontId="27" fillId="0" borderId="0" xfId="0" applyFont="1" applyBorder="1"/>
    <xf numFmtId="175" fontId="7" fillId="0" borderId="0" xfId="0" applyNumberFormat="1" applyFont="1"/>
    <xf numFmtId="175" fontId="28" fillId="6" borderId="0" xfId="0" applyNumberFormat="1" applyFont="1" applyFill="1" applyBorder="1"/>
    <xf numFmtId="175" fontId="17" fillId="6" borderId="0" xfId="0" applyNumberFormat="1" applyFont="1" applyFill="1" applyBorder="1"/>
    <xf numFmtId="175" fontId="17" fillId="6" borderId="0" xfId="0" applyNumberFormat="1" applyFont="1" applyFill="1" applyBorder="1" applyAlignment="1">
      <alignment horizontal="right"/>
    </xf>
    <xf numFmtId="175" fontId="17" fillId="6" borderId="0" xfId="0" applyNumberFormat="1" applyFont="1" applyFill="1" applyBorder="1" applyAlignment="1">
      <alignment horizontal="center"/>
    </xf>
    <xf numFmtId="175" fontId="7" fillId="0" borderId="22" xfId="0" applyNumberFormat="1" applyFont="1" applyBorder="1"/>
    <xf numFmtId="175" fontId="7" fillId="0" borderId="23" xfId="0" applyNumberFormat="1" applyFont="1" applyBorder="1"/>
    <xf numFmtId="175" fontId="18" fillId="0" borderId="23" xfId="0" applyNumberFormat="1" applyFont="1" applyBorder="1"/>
    <xf numFmtId="177" fontId="18" fillId="0" borderId="23" xfId="1" applyNumberFormat="1" applyFont="1" applyBorder="1"/>
    <xf numFmtId="175" fontId="7" fillId="0" borderId="24" xfId="0" applyNumberFormat="1" applyFont="1" applyBorder="1"/>
    <xf numFmtId="175" fontId="7" fillId="0" borderId="0" xfId="0" applyNumberFormat="1" applyFont="1" applyBorder="1"/>
    <xf numFmtId="9" fontId="7" fillId="0" borderId="0" xfId="7" applyFont="1" applyBorder="1"/>
    <xf numFmtId="175" fontId="18" fillId="0" borderId="0" xfId="0" applyNumberFormat="1" applyFont="1" applyBorder="1"/>
    <xf numFmtId="175" fontId="7" fillId="0" borderId="17" xfId="0" applyNumberFormat="1" applyFont="1" applyBorder="1"/>
    <xf numFmtId="175" fontId="7" fillId="0" borderId="25" xfId="0" applyNumberFormat="1" applyFont="1" applyBorder="1"/>
    <xf numFmtId="177" fontId="7" fillId="0" borderId="17" xfId="1" applyNumberFormat="1" applyFont="1" applyBorder="1"/>
    <xf numFmtId="176" fontId="7" fillId="0" borderId="23" xfId="1" applyNumberFormat="1" applyFont="1" applyBorder="1"/>
    <xf numFmtId="176" fontId="7" fillId="0" borderId="26" xfId="1" applyNumberFormat="1" applyFont="1" applyBorder="1"/>
    <xf numFmtId="181" fontId="7" fillId="0" borderId="0" xfId="0" applyNumberFormat="1" applyFont="1" applyBorder="1"/>
    <xf numFmtId="181" fontId="7" fillId="0" borderId="4" xfId="0" applyNumberFormat="1" applyFont="1" applyBorder="1"/>
    <xf numFmtId="0" fontId="7" fillId="0" borderId="24" xfId="0" applyFont="1" applyBorder="1"/>
    <xf numFmtId="175" fontId="7" fillId="0" borderId="4" xfId="0" applyNumberFormat="1" applyFont="1" applyBorder="1"/>
    <xf numFmtId="175" fontId="7" fillId="0" borderId="4" xfId="0" applyNumberFormat="1" applyFont="1" applyBorder="1" applyAlignment="1">
      <alignment horizontal="right"/>
    </xf>
    <xf numFmtId="43" fontId="7" fillId="0" borderId="25" xfId="1" applyFont="1" applyBorder="1"/>
    <xf numFmtId="9" fontId="7" fillId="0" borderId="17" xfId="7" applyFont="1" applyBorder="1"/>
    <xf numFmtId="179" fontId="7" fillId="0" borderId="21" xfId="7" applyNumberFormat="1" applyFont="1" applyBorder="1"/>
    <xf numFmtId="175" fontId="7" fillId="0" borderId="21" xfId="0" applyNumberFormat="1" applyFont="1" applyBorder="1"/>
    <xf numFmtId="0" fontId="7" fillId="0" borderId="22" xfId="0" applyFont="1" applyBorder="1"/>
    <xf numFmtId="0" fontId="7" fillId="0" borderId="23" xfId="0" applyFont="1" applyBorder="1"/>
    <xf numFmtId="6" fontId="7" fillId="0" borderId="26" xfId="0" applyNumberFormat="1" applyFont="1" applyBorder="1"/>
    <xf numFmtId="180" fontId="8" fillId="5" borderId="4" xfId="7" applyNumberFormat="1" applyFont="1" applyFill="1" applyBorder="1"/>
    <xf numFmtId="0" fontId="12" fillId="0" borderId="24" xfId="0" applyFont="1" applyBorder="1"/>
    <xf numFmtId="9" fontId="7" fillId="0" borderId="4" xfId="0" applyNumberFormat="1" applyFont="1" applyBorder="1" applyAlignment="1">
      <alignment horizontal="right"/>
    </xf>
    <xf numFmtId="0" fontId="12" fillId="0" borderId="25" xfId="0" applyFont="1" applyBorder="1"/>
    <xf numFmtId="0" fontId="7" fillId="0" borderId="17" xfId="0" applyFont="1" applyBorder="1"/>
    <xf numFmtId="9" fontId="7" fillId="0" borderId="21" xfId="0" applyNumberFormat="1" applyFont="1" applyBorder="1"/>
    <xf numFmtId="175" fontId="28" fillId="0" borderId="0" xfId="0" applyNumberFormat="1" applyFont="1" applyFill="1" applyBorder="1"/>
    <xf numFmtId="17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82" fontId="8" fillId="5" borderId="0" xfId="7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17" xfId="0" applyFont="1" applyBorder="1" applyAlignment="1">
      <alignment horizontal="right"/>
    </xf>
    <xf numFmtId="175" fontId="7" fillId="0" borderId="17" xfId="0" applyNumberFormat="1" applyFont="1" applyBorder="1" applyAlignment="1">
      <alignment horizontal="right"/>
    </xf>
    <xf numFmtId="0" fontId="22" fillId="0" borderId="0" xfId="0" applyFont="1" applyAlignment="1">
      <alignment horizontal="centerContinuous"/>
    </xf>
    <xf numFmtId="0" fontId="22" fillId="0" borderId="0" xfId="0" applyFont="1" applyBorder="1" applyAlignment="1">
      <alignment horizontal="centerContinuous"/>
    </xf>
    <xf numFmtId="1" fontId="2" fillId="0" borderId="17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right" wrapText="1"/>
    </xf>
    <xf numFmtId="0" fontId="22" fillId="0" borderId="0" xfId="0" applyFont="1" applyBorder="1"/>
    <xf numFmtId="0" fontId="22" fillId="0" borderId="0" xfId="0" applyFont="1" applyBorder="1" applyAlignment="1"/>
    <xf numFmtId="0" fontId="22" fillId="0" borderId="0" xfId="0" applyFont="1" applyAlignment="1"/>
    <xf numFmtId="175" fontId="22" fillId="0" borderId="0" xfId="0" applyNumberFormat="1" applyFont="1" applyAlignment="1">
      <alignment horizontal="right"/>
    </xf>
    <xf numFmtId="175" fontId="22" fillId="0" borderId="0" xfId="0" applyNumberFormat="1" applyFont="1"/>
    <xf numFmtId="189" fontId="22" fillId="0" borderId="0" xfId="0" applyNumberFormat="1" applyFont="1"/>
    <xf numFmtId="175" fontId="22" fillId="0" borderId="0" xfId="0" applyNumberFormat="1" applyFont="1" applyBorder="1" applyAlignment="1">
      <alignment vertical="top"/>
    </xf>
    <xf numFmtId="175" fontId="22" fillId="0" borderId="0" xfId="0" applyNumberFormat="1" applyFont="1" applyBorder="1"/>
    <xf numFmtId="175" fontId="22" fillId="0" borderId="0" xfId="0" applyNumberFormat="1" applyFont="1" applyAlignment="1">
      <alignment vertical="top"/>
    </xf>
    <xf numFmtId="9" fontId="32" fillId="0" borderId="0" xfId="0" applyNumberFormat="1" applyFont="1" applyBorder="1" applyAlignment="1"/>
    <xf numFmtId="189" fontId="22" fillId="0" borderId="0" xfId="0" applyNumberFormat="1" applyFont="1" applyBorder="1"/>
    <xf numFmtId="0" fontId="25" fillId="0" borderId="0" xfId="0" applyFont="1" applyBorder="1"/>
    <xf numFmtId="177" fontId="27" fillId="0" borderId="4" xfId="0" applyNumberFormat="1" applyFont="1" applyFill="1" applyBorder="1"/>
    <xf numFmtId="181" fontId="27" fillId="0" borderId="4" xfId="0" applyNumberFormat="1" applyFont="1" applyFill="1" applyBorder="1"/>
    <xf numFmtId="177" fontId="18" fillId="0" borderId="0" xfId="1" applyNumberFormat="1" applyFont="1" applyBorder="1"/>
    <xf numFmtId="0" fontId="7" fillId="0" borderId="0" xfId="0" applyFont="1" applyAlignment="1"/>
    <xf numFmtId="0" fontId="7" fillId="0" borderId="0" xfId="0" applyFont="1" applyBorder="1" applyAlignment="1"/>
    <xf numFmtId="183" fontId="8" fillId="5" borderId="0" xfId="0" applyNumberFormat="1" applyFont="1" applyFill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75" fontId="7" fillId="0" borderId="17" xfId="0" applyNumberFormat="1" applyFont="1" applyBorder="1" applyAlignment="1">
      <alignment horizontal="center"/>
    </xf>
    <xf numFmtId="167" fontId="7" fillId="0" borderId="26" xfId="3" applyNumberFormat="1" applyFont="1" applyFill="1" applyBorder="1"/>
    <xf numFmtId="180" fontId="7" fillId="0" borderId="0" xfId="7" applyNumberFormat="1" applyFont="1" applyBorder="1" applyAlignment="1">
      <alignment horizontal="center"/>
    </xf>
    <xf numFmtId="167" fontId="7" fillId="0" borderId="4" xfId="3" applyNumberFormat="1" applyFont="1" applyBorder="1"/>
    <xf numFmtId="167" fontId="7" fillId="0" borderId="21" xfId="3" applyNumberFormat="1" applyFont="1" applyBorder="1"/>
    <xf numFmtId="175" fontId="2" fillId="0" borderId="25" xfId="0" applyNumberFormat="1" applyFont="1" applyBorder="1" applyAlignment="1">
      <alignment horizontal="right"/>
    </xf>
    <xf numFmtId="175" fontId="28" fillId="6" borderId="0" xfId="0" applyNumberFormat="1" applyFont="1" applyFill="1" applyBorder="1" applyAlignment="1">
      <alignment horizontal="right"/>
    </xf>
    <xf numFmtId="44" fontId="8" fillId="0" borderId="21" xfId="3" applyFont="1" applyBorder="1"/>
    <xf numFmtId="175" fontId="7" fillId="0" borderId="0" xfId="0" applyNumberFormat="1" applyFont="1" applyFill="1" applyBorder="1"/>
    <xf numFmtId="0" fontId="2" fillId="0" borderId="0" xfId="0" applyFont="1" applyFill="1" applyBorder="1"/>
    <xf numFmtId="6" fontId="7" fillId="0" borderId="0" xfId="0" applyNumberFormat="1" applyFont="1" applyFill="1" applyBorder="1"/>
    <xf numFmtId="166" fontId="8" fillId="5" borderId="0" xfId="7" applyNumberFormat="1" applyFont="1" applyFill="1" applyBorder="1" applyAlignment="1">
      <alignment horizontal="center"/>
    </xf>
    <xf numFmtId="166" fontId="7" fillId="0" borderId="0" xfId="7" applyNumberFormat="1" applyFont="1" applyBorder="1" applyAlignment="1">
      <alignment horizontal="center"/>
    </xf>
    <xf numFmtId="0" fontId="13" fillId="0" borderId="0" xfId="5" applyFont="1" applyBorder="1"/>
    <xf numFmtId="1" fontId="2" fillId="0" borderId="17" xfId="4" applyNumberFormat="1" applyFont="1" applyBorder="1" applyAlignment="1">
      <alignment horizontal="center" wrapText="1"/>
    </xf>
    <xf numFmtId="1" fontId="2" fillId="0" borderId="0" xfId="4" applyNumberFormat="1" applyFon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7" xfId="0" applyBorder="1"/>
    <xf numFmtId="1" fontId="2" fillId="0" borderId="17" xfId="4" applyNumberFormat="1" applyFont="1" applyFill="1" applyBorder="1" applyAlignment="1">
      <alignment horizontal="center" wrapText="1"/>
    </xf>
    <xf numFmtId="9" fontId="8" fillId="0" borderId="0" xfId="0" applyNumberFormat="1" applyFont="1" applyFill="1" applyBorder="1" applyAlignment="1">
      <alignment horizontal="center"/>
    </xf>
    <xf numFmtId="175" fontId="7" fillId="0" borderId="0" xfId="0" applyNumberFormat="1" applyFont="1" applyFill="1" applyBorder="1" applyAlignment="1">
      <alignment horizontal="right"/>
    </xf>
    <xf numFmtId="175" fontId="29" fillId="6" borderId="22" xfId="0" applyNumberFormat="1" applyFont="1" applyFill="1" applyBorder="1"/>
    <xf numFmtId="175" fontId="30" fillId="6" borderId="23" xfId="0" applyNumberFormat="1" applyFont="1" applyFill="1" applyBorder="1"/>
    <xf numFmtId="175" fontId="30" fillId="6" borderId="23" xfId="0" applyNumberFormat="1" applyFont="1" applyFill="1" applyBorder="1" applyAlignment="1">
      <alignment horizontal="center"/>
    </xf>
    <xf numFmtId="175" fontId="29" fillId="6" borderId="23" xfId="0" applyNumberFormat="1" applyFont="1" applyFill="1" applyBorder="1" applyAlignment="1">
      <alignment horizontal="center" wrapText="1"/>
    </xf>
    <xf numFmtId="175" fontId="29" fillId="6" borderId="26" xfId="0" applyNumberFormat="1" applyFont="1" applyFill="1" applyBorder="1" applyAlignment="1">
      <alignment horizontal="center" wrapText="1"/>
    </xf>
    <xf numFmtId="175" fontId="7" fillId="0" borderId="4" xfId="0" applyNumberFormat="1" applyFont="1" applyBorder="1" applyAlignment="1">
      <alignment horizontal="center"/>
    </xf>
    <xf numFmtId="166" fontId="8" fillId="5" borderId="17" xfId="7" applyNumberFormat="1" applyFont="1" applyFill="1" applyBorder="1" applyAlignment="1">
      <alignment horizontal="center"/>
    </xf>
    <xf numFmtId="175" fontId="7" fillId="0" borderId="21" xfId="0" applyNumberFormat="1" applyFont="1" applyBorder="1" applyAlignment="1">
      <alignment horizontal="center"/>
    </xf>
    <xf numFmtId="177" fontId="8" fillId="0" borderId="0" xfId="1" applyNumberFormat="1" applyFont="1" applyFill="1" applyBorder="1" applyAlignment="1">
      <alignment horizontal="center"/>
    </xf>
    <xf numFmtId="8" fontId="7" fillId="0" borderId="0" xfId="0" applyNumberFormat="1" applyFont="1" applyBorder="1"/>
    <xf numFmtId="0" fontId="7" fillId="0" borderId="0" xfId="0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center"/>
    </xf>
    <xf numFmtId="175" fontId="23" fillId="0" borderId="17" xfId="0" applyNumberFormat="1" applyFont="1" applyBorder="1" applyAlignment="1">
      <alignment horizontal="left"/>
    </xf>
    <xf numFmtId="167" fontId="2" fillId="0" borderId="17" xfId="0" applyNumberFormat="1" applyFont="1" applyBorder="1"/>
    <xf numFmtId="0" fontId="2" fillId="0" borderId="0" xfId="0" applyFont="1" applyBorder="1" applyAlignment="1">
      <alignment horizontal="center"/>
    </xf>
    <xf numFmtId="167" fontId="7" fillId="0" borderId="0" xfId="0" applyNumberFormat="1" applyFont="1" applyBorder="1"/>
    <xf numFmtId="188" fontId="7" fillId="0" borderId="17" xfId="0" applyNumberFormat="1" applyFont="1" applyBorder="1" applyAlignment="1">
      <alignment vertical="center"/>
    </xf>
    <xf numFmtId="188" fontId="2" fillId="0" borderId="17" xfId="0" applyNumberFormat="1" applyFont="1" applyBorder="1" applyAlignment="1">
      <alignment vertical="center"/>
    </xf>
    <xf numFmtId="175" fontId="7" fillId="0" borderId="0" xfId="0" applyNumberFormat="1" applyFont="1" applyAlignment="1">
      <alignment horizontal="right"/>
    </xf>
    <xf numFmtId="189" fontId="7" fillId="0" borderId="0" xfId="0" applyNumberFormat="1" applyFont="1"/>
    <xf numFmtId="185" fontId="8" fillId="0" borderId="0" xfId="0" applyNumberFormat="1" applyFont="1"/>
    <xf numFmtId="175" fontId="2" fillId="0" borderId="0" xfId="0" applyNumberFormat="1" applyFont="1" applyBorder="1" applyAlignment="1">
      <alignment vertical="top"/>
    </xf>
    <xf numFmtId="175" fontId="7" fillId="0" borderId="0" xfId="0" applyNumberFormat="1" applyFont="1" applyBorder="1" applyAlignment="1">
      <alignment vertical="top"/>
    </xf>
    <xf numFmtId="10" fontId="7" fillId="0" borderId="17" xfId="7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75" fontId="7" fillId="0" borderId="0" xfId="0" quotePrefix="1" applyNumberFormat="1" applyFont="1" applyBorder="1" applyAlignment="1">
      <alignment horizontal="right" vertical="top"/>
    </xf>
    <xf numFmtId="175" fontId="7" fillId="0" borderId="0" xfId="0" applyNumberFormat="1" applyFont="1" applyAlignment="1">
      <alignment vertical="top"/>
    </xf>
    <xf numFmtId="189" fontId="2" fillId="0" borderId="17" xfId="0" applyNumberFormat="1" applyFont="1" applyBorder="1" applyAlignment="1">
      <alignment vertical="top"/>
    </xf>
    <xf numFmtId="166" fontId="2" fillId="0" borderId="17" xfId="7" applyNumberFormat="1" applyFont="1" applyBorder="1" applyAlignment="1">
      <alignment horizontal="center" vertical="top"/>
    </xf>
    <xf numFmtId="10" fontId="2" fillId="0" borderId="0" xfId="7" applyNumberFormat="1" applyFont="1" applyBorder="1" applyAlignment="1">
      <alignment horizontal="center" vertical="top"/>
    </xf>
    <xf numFmtId="189" fontId="2" fillId="0" borderId="0" xfId="0" applyNumberFormat="1" applyFont="1" applyBorder="1" applyAlignment="1">
      <alignment vertical="top"/>
    </xf>
    <xf numFmtId="166" fontId="2" fillId="0" borderId="0" xfId="7" applyNumberFormat="1" applyFont="1" applyBorder="1" applyAlignment="1">
      <alignment horizontal="center" vertical="top"/>
    </xf>
    <xf numFmtId="10" fontId="2" fillId="0" borderId="17" xfId="7" applyNumberFormat="1" applyFont="1" applyBorder="1" applyAlignment="1">
      <alignment horizontal="center" vertical="top"/>
    </xf>
    <xf numFmtId="0" fontId="34" fillId="0" borderId="0" xfId="0" applyNumberFormat="1" applyFont="1" applyBorder="1" applyAlignment="1">
      <alignment vertical="top"/>
    </xf>
    <xf numFmtId="189" fontId="7" fillId="0" borderId="0" xfId="0" applyNumberFormat="1" applyFont="1" applyBorder="1" applyAlignment="1"/>
    <xf numFmtId="189" fontId="2" fillId="0" borderId="0" xfId="0" applyNumberFormat="1" applyFont="1" applyBorder="1" applyAlignment="1"/>
    <xf numFmtId="0" fontId="35" fillId="0" borderId="0" xfId="0" applyNumberFormat="1" applyFont="1" applyBorder="1" applyAlignment="1"/>
    <xf numFmtId="193" fontId="7" fillId="0" borderId="0" xfId="0" applyNumberFormat="1" applyFont="1" applyBorder="1" applyAlignment="1"/>
    <xf numFmtId="193" fontId="35" fillId="0" borderId="0" xfId="0" applyNumberFormat="1" applyFont="1" applyBorder="1" applyAlignment="1"/>
    <xf numFmtId="189" fontId="7" fillId="0" borderId="0" xfId="0" applyNumberFormat="1" applyFont="1" applyBorder="1" applyAlignment="1">
      <alignment vertical="top"/>
    </xf>
    <xf numFmtId="0" fontId="35" fillId="0" borderId="0" xfId="0" applyNumberFormat="1" applyFont="1" applyBorder="1" applyAlignment="1">
      <alignment vertical="top"/>
    </xf>
    <xf numFmtId="193" fontId="7" fillId="0" borderId="0" xfId="0" applyNumberFormat="1" applyFont="1" applyBorder="1" applyAlignment="1">
      <alignment vertical="top"/>
    </xf>
    <xf numFmtId="175" fontId="35" fillId="0" borderId="0" xfId="0" applyNumberFormat="1" applyFont="1" applyBorder="1" applyAlignment="1">
      <alignment vertical="top"/>
    </xf>
    <xf numFmtId="189" fontId="2" fillId="0" borderId="23" xfId="0" applyNumberFormat="1" applyFont="1" applyBorder="1" applyAlignment="1">
      <alignment horizontal="right" vertical="top"/>
    </xf>
    <xf numFmtId="193" fontId="2" fillId="0" borderId="23" xfId="0" applyNumberFormat="1" applyFont="1" applyBorder="1" applyAlignment="1">
      <alignment horizontal="right" vertical="top"/>
    </xf>
    <xf numFmtId="193" fontId="2" fillId="0" borderId="0" xfId="0" applyNumberFormat="1" applyFont="1" applyBorder="1" applyAlignment="1">
      <alignment horizontal="right" vertical="top"/>
    </xf>
    <xf numFmtId="189" fontId="2" fillId="0" borderId="27" xfId="0" applyNumberFormat="1" applyFont="1" applyBorder="1" applyAlignment="1">
      <alignment vertical="center"/>
    </xf>
    <xf numFmtId="0" fontId="36" fillId="0" borderId="27" xfId="0" applyNumberFormat="1" applyFont="1" applyBorder="1" applyAlignment="1">
      <alignment vertical="center"/>
    </xf>
    <xf numFmtId="193" fontId="2" fillId="0" borderId="27" xfId="0" applyNumberFormat="1" applyFont="1" applyBorder="1" applyAlignment="1">
      <alignment horizontal="right" vertical="center"/>
    </xf>
    <xf numFmtId="193" fontId="2" fillId="0" borderId="0" xfId="0" applyNumberFormat="1" applyFont="1" applyBorder="1" applyAlignment="1">
      <alignment horizontal="right" vertical="center"/>
    </xf>
    <xf numFmtId="189" fontId="2" fillId="0" borderId="0" xfId="0" applyNumberFormat="1" applyFont="1" applyBorder="1" applyAlignment="1">
      <alignment vertical="center"/>
    </xf>
    <xf numFmtId="0" fontId="36" fillId="0" borderId="0" xfId="0" applyNumberFormat="1" applyFont="1" applyBorder="1" applyAlignment="1">
      <alignment vertical="center"/>
    </xf>
    <xf numFmtId="189" fontId="2" fillId="0" borderId="0" xfId="0" applyNumberFormat="1" applyFont="1" applyBorder="1" applyAlignment="1">
      <alignment horizontal="right" vertical="top"/>
    </xf>
    <xf numFmtId="189" fontId="2" fillId="0" borderId="0" xfId="0" applyNumberFormat="1" applyFont="1" applyBorder="1" applyAlignment="1">
      <alignment horizontal="right" vertical="center"/>
    </xf>
    <xf numFmtId="195" fontId="7" fillId="0" borderId="0" xfId="0" applyNumberFormat="1" applyFont="1" applyBorder="1" applyAlignment="1"/>
    <xf numFmtId="189" fontId="7" fillId="0" borderId="0" xfId="0" applyNumberFormat="1" applyFont="1" applyBorder="1"/>
    <xf numFmtId="175" fontId="37" fillId="0" borderId="17" xfId="0" applyNumberFormat="1" applyFont="1" applyBorder="1"/>
    <xf numFmtId="175" fontId="37" fillId="0" borderId="0" xfId="0" applyNumberFormat="1" applyFont="1" applyBorder="1"/>
    <xf numFmtId="189" fontId="2" fillId="0" borderId="0" xfId="0" applyNumberFormat="1" applyFont="1"/>
    <xf numFmtId="9" fontId="2" fillId="0" borderId="28" xfId="0" applyNumberFormat="1" applyFont="1" applyBorder="1"/>
    <xf numFmtId="175" fontId="2" fillId="0" borderId="0" xfId="0" applyNumberFormat="1" applyFont="1" applyFill="1" applyAlignment="1">
      <alignment horizontal="right"/>
    </xf>
    <xf numFmtId="0" fontId="2" fillId="0" borderId="17" xfId="0" applyFont="1" applyBorder="1"/>
    <xf numFmtId="189" fontId="2" fillId="0" borderId="0" xfId="0" applyNumberFormat="1" applyFont="1" applyAlignment="1">
      <alignment horizontal="right"/>
    </xf>
    <xf numFmtId="189" fontId="2" fillId="0" borderId="0" xfId="0" applyNumberFormat="1" applyFont="1" applyFill="1" applyBorder="1" applyAlignment="1">
      <alignment horizontal="right" vertical="center"/>
    </xf>
    <xf numFmtId="43" fontId="7" fillId="0" borderId="0" xfId="1" applyFont="1"/>
    <xf numFmtId="167" fontId="2" fillId="0" borderId="1" xfId="0" applyNumberFormat="1" applyFont="1" applyBorder="1"/>
    <xf numFmtId="10" fontId="2" fillId="0" borderId="1" xfId="7" applyNumberFormat="1" applyFont="1" applyBorder="1" applyAlignment="1">
      <alignment horizontal="center" vertical="top"/>
    </xf>
    <xf numFmtId="189" fontId="2" fillId="0" borderId="1" xfId="0" applyNumberFormat="1" applyFont="1" applyBorder="1" applyAlignment="1">
      <alignment vertical="top"/>
    </xf>
    <xf numFmtId="0" fontId="28" fillId="6" borderId="2" xfId="8" applyFont="1" applyFill="1" applyBorder="1" applyAlignment="1">
      <alignment horizontal="left"/>
    </xf>
    <xf numFmtId="0" fontId="17" fillId="6" borderId="1" xfId="0" applyFont="1" applyFill="1" applyBorder="1" applyAlignment="1"/>
    <xf numFmtId="0" fontId="17" fillId="6" borderId="3" xfId="0" applyFont="1" applyFill="1" applyBorder="1" applyAlignment="1"/>
    <xf numFmtId="175" fontId="7" fillId="0" borderId="24" xfId="8" applyNumberFormat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175" fontId="2" fillId="0" borderId="24" xfId="0" applyNumberFormat="1" applyFont="1" applyBorder="1"/>
    <xf numFmtId="10" fontId="7" fillId="0" borderId="0" xfId="7" applyNumberFormat="1" applyFont="1" applyBorder="1" applyAlignment="1">
      <alignment horizontal="center"/>
    </xf>
    <xf numFmtId="167" fontId="7" fillId="0" borderId="0" xfId="3" applyNumberFormat="1" applyFont="1" applyBorder="1"/>
    <xf numFmtId="9" fontId="7" fillId="0" borderId="4" xfId="0" applyNumberFormat="1" applyFont="1" applyBorder="1" applyAlignment="1">
      <alignment horizontal="center"/>
    </xf>
    <xf numFmtId="175" fontId="2" fillId="0" borderId="24" xfId="0" applyNumberFormat="1" applyFont="1" applyBorder="1" applyAlignment="1">
      <alignment vertical="top"/>
    </xf>
    <xf numFmtId="9" fontId="7" fillId="0" borderId="21" xfId="0" applyNumberFormat="1" applyFont="1" applyBorder="1" applyAlignment="1">
      <alignment horizontal="center"/>
    </xf>
    <xf numFmtId="189" fontId="2" fillId="0" borderId="25" xfId="0" applyNumberFormat="1" applyFont="1" applyBorder="1" applyAlignment="1">
      <alignment vertical="top"/>
    </xf>
    <xf numFmtId="189" fontId="2" fillId="0" borderId="3" xfId="0" applyNumberFormat="1" applyFont="1" applyBorder="1" applyAlignment="1">
      <alignment vertical="top"/>
    </xf>
    <xf numFmtId="9" fontId="8" fillId="5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0" xfId="0" applyFill="1"/>
    <xf numFmtId="0" fontId="0" fillId="0" borderId="0" xfId="0" applyBorder="1" applyAlignment="1">
      <alignment horizontal="center"/>
    </xf>
    <xf numFmtId="175" fontId="7" fillId="0" borderId="0" xfId="0" applyNumberFormat="1" applyFont="1" applyFill="1" applyBorder="1" applyAlignment="1">
      <alignment horizontal="left" indent="1"/>
    </xf>
    <xf numFmtId="0" fontId="13" fillId="0" borderId="17" xfId="0" applyFont="1" applyFill="1" applyBorder="1"/>
    <xf numFmtId="0" fontId="2" fillId="0" borderId="17" xfId="0" applyFont="1" applyFill="1" applyBorder="1"/>
    <xf numFmtId="0" fontId="7" fillId="0" borderId="17" xfId="0" applyFont="1" applyFill="1" applyBorder="1"/>
    <xf numFmtId="0" fontId="13" fillId="0" borderId="2" xfId="0" applyFont="1" applyFill="1" applyBorder="1"/>
    <xf numFmtId="0" fontId="2" fillId="0" borderId="1" xfId="0" applyFont="1" applyFill="1" applyBorder="1"/>
    <xf numFmtId="1" fontId="2" fillId="0" borderId="1" xfId="2" applyNumberFormat="1" applyFont="1" applyBorder="1" applyAlignment="1">
      <alignment horizontal="center" wrapText="1"/>
    </xf>
    <xf numFmtId="1" fontId="2" fillId="0" borderId="1" xfId="4" applyNumberFormat="1" applyFont="1" applyBorder="1" applyAlignment="1">
      <alignment horizontal="center" wrapText="1"/>
    </xf>
    <xf numFmtId="1" fontId="2" fillId="0" borderId="1" xfId="4" applyNumberFormat="1" applyFont="1" applyFill="1" applyBorder="1" applyAlignment="1">
      <alignment horizontal="center" wrapText="1"/>
    </xf>
    <xf numFmtId="1" fontId="2" fillId="0" borderId="3" xfId="4" applyNumberFormat="1" applyFont="1" applyFill="1" applyBorder="1" applyAlignment="1">
      <alignment horizontal="center" wrapText="1"/>
    </xf>
    <xf numFmtId="175" fontId="2" fillId="0" borderId="24" xfId="0" applyNumberFormat="1" applyFont="1" applyFill="1" applyBorder="1"/>
    <xf numFmtId="175" fontId="2" fillId="0" borderId="25" xfId="0" applyNumberFormat="1" applyFont="1" applyFill="1" applyBorder="1"/>
    <xf numFmtId="167" fontId="7" fillId="0" borderId="0" xfId="0" applyNumberFormat="1" applyFont="1" applyFill="1" applyBorder="1"/>
    <xf numFmtId="167" fontId="7" fillId="0" borderId="0" xfId="3" applyNumberFormat="1" applyFont="1" applyFill="1" applyBorder="1"/>
    <xf numFmtId="1" fontId="2" fillId="0" borderId="0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175" fontId="8" fillId="5" borderId="0" xfId="1" applyNumberFormat="1" applyFont="1" applyFill="1" applyBorder="1" applyAlignment="1">
      <alignment horizontal="center"/>
    </xf>
    <xf numFmtId="167" fontId="7" fillId="0" borderId="0" xfId="0" applyNumberFormat="1" applyFont="1"/>
    <xf numFmtId="189" fontId="2" fillId="0" borderId="29" xfId="0" applyNumberFormat="1" applyFont="1" applyBorder="1" applyAlignment="1">
      <alignment vertical="center"/>
    </xf>
    <xf numFmtId="167" fontId="27" fillId="0" borderId="0" xfId="3" applyNumberFormat="1" applyFont="1" applyBorder="1" applyAlignment="1">
      <alignment vertical="top"/>
    </xf>
    <xf numFmtId="0" fontId="28" fillId="6" borderId="0" xfId="0" applyFont="1" applyFill="1"/>
    <xf numFmtId="167" fontId="27" fillId="0" borderId="0" xfId="0" applyNumberFormat="1" applyFont="1" applyBorder="1" applyAlignment="1"/>
    <xf numFmtId="44" fontId="27" fillId="0" borderId="0" xfId="3" applyFont="1" applyBorder="1" applyAlignment="1">
      <alignment vertical="top"/>
    </xf>
    <xf numFmtId="167" fontId="38" fillId="0" borderId="29" xfId="3" applyNumberFormat="1" applyFont="1" applyBorder="1" applyAlignment="1">
      <alignment vertical="center"/>
    </xf>
    <xf numFmtId="189" fontId="2" fillId="0" borderId="29" xfId="0" applyNumberFormat="1" applyFont="1" applyBorder="1" applyAlignment="1">
      <alignment horizontal="right" vertical="center"/>
    </xf>
    <xf numFmtId="0" fontId="7" fillId="0" borderId="29" xfId="0" applyFont="1" applyBorder="1"/>
    <xf numFmtId="189" fontId="2" fillId="0" borderId="30" xfId="0" applyNumberFormat="1" applyFont="1" applyBorder="1" applyAlignment="1">
      <alignment vertical="center"/>
    </xf>
    <xf numFmtId="167" fontId="2" fillId="0" borderId="30" xfId="3" applyNumberFormat="1" applyFont="1" applyBorder="1" applyAlignment="1">
      <alignment vertical="center"/>
    </xf>
    <xf numFmtId="167" fontId="2" fillId="0" borderId="1" xfId="3" applyNumberFormat="1" applyFont="1" applyBorder="1" applyAlignment="1">
      <alignment vertical="center"/>
    </xf>
    <xf numFmtId="0" fontId="28" fillId="6" borderId="17" xfId="8" applyFont="1" applyFill="1" applyBorder="1" applyAlignment="1">
      <alignment horizontal="left"/>
    </xf>
    <xf numFmtId="189" fontId="28" fillId="6" borderId="17" xfId="0" applyNumberFormat="1" applyFont="1" applyFill="1" applyBorder="1" applyAlignment="1">
      <alignment vertical="top"/>
    </xf>
    <xf numFmtId="0" fontId="28" fillId="6" borderId="17" xfId="0" applyNumberFormat="1" applyFont="1" applyFill="1" applyBorder="1" applyAlignment="1">
      <alignment vertical="top"/>
    </xf>
    <xf numFmtId="0" fontId="17" fillId="6" borderId="0" xfId="0" applyFont="1" applyFill="1"/>
    <xf numFmtId="0" fontId="17" fillId="6" borderId="17" xfId="0" applyFont="1" applyFill="1" applyBorder="1"/>
    <xf numFmtId="0" fontId="28" fillId="0" borderId="0" xfId="0" applyNumberFormat="1" applyFont="1" applyFill="1" applyBorder="1" applyAlignment="1">
      <alignment vertical="top"/>
    </xf>
    <xf numFmtId="0" fontId="13" fillId="0" borderId="1" xfId="0" applyFont="1" applyFill="1" applyBorder="1"/>
    <xf numFmtId="0" fontId="7" fillId="0" borderId="1" xfId="0" applyFont="1" applyFill="1" applyBorder="1"/>
    <xf numFmtId="175" fontId="2" fillId="0" borderId="1" xfId="0" applyNumberFormat="1" applyFont="1" applyFill="1" applyBorder="1"/>
    <xf numFmtId="43" fontId="7" fillId="0" borderId="1" xfId="1" applyFont="1" applyFill="1" applyBorder="1"/>
    <xf numFmtId="43" fontId="7" fillId="0" borderId="1" xfId="1" applyFont="1" applyBorder="1"/>
    <xf numFmtId="175" fontId="2" fillId="0" borderId="1" xfId="0" applyNumberFormat="1" applyFont="1" applyBorder="1"/>
    <xf numFmtId="175" fontId="7" fillId="0" borderId="1" xfId="0" applyNumberFormat="1" applyFont="1" applyBorder="1"/>
    <xf numFmtId="175" fontId="7" fillId="0" borderId="17" xfId="0" applyNumberFormat="1" applyFont="1" applyFill="1" applyBorder="1" applyAlignment="1">
      <alignment horizontal="left" indent="1"/>
    </xf>
    <xf numFmtId="167" fontId="7" fillId="0" borderId="17" xfId="0" applyNumberFormat="1" applyFont="1" applyFill="1" applyBorder="1"/>
    <xf numFmtId="0" fontId="13" fillId="0" borderId="1" xfId="0" applyFont="1" applyBorder="1"/>
    <xf numFmtId="0" fontId="22" fillId="0" borderId="1" xfId="0" applyFont="1" applyBorder="1"/>
    <xf numFmtId="0" fontId="22" fillId="0" borderId="17" xfId="0" applyFont="1" applyBorder="1"/>
    <xf numFmtId="167" fontId="7" fillId="0" borderId="17" xfId="0" applyNumberFormat="1" applyFont="1" applyBorder="1"/>
    <xf numFmtId="167" fontId="7" fillId="0" borderId="17" xfId="3" applyNumberFormat="1" applyFont="1" applyFill="1" applyBorder="1"/>
    <xf numFmtId="175" fontId="39" fillId="6" borderId="0" xfId="0" applyNumberFormat="1" applyFont="1" applyFill="1" applyBorder="1"/>
    <xf numFmtId="0" fontId="28" fillId="6" borderId="0" xfId="0" applyFont="1" applyFill="1" applyBorder="1"/>
    <xf numFmtId="0" fontId="17" fillId="6" borderId="0" xfId="0" applyFont="1" applyFill="1" applyBorder="1"/>
    <xf numFmtId="0" fontId="13" fillId="0" borderId="24" xfId="0" applyFont="1" applyFill="1" applyBorder="1"/>
    <xf numFmtId="167" fontId="7" fillId="0" borderId="0" xfId="3" applyNumberFormat="1" applyFont="1" applyFill="1" applyBorder="1" applyAlignment="1">
      <alignment horizontal="center"/>
    </xf>
    <xf numFmtId="167" fontId="7" fillId="0" borderId="17" xfId="3" applyNumberFormat="1" applyFont="1" applyFill="1" applyBorder="1" applyAlignment="1">
      <alignment horizontal="center"/>
    </xf>
    <xf numFmtId="189" fontId="7" fillId="0" borderId="17" xfId="0" applyNumberFormat="1" applyFont="1" applyBorder="1" applyAlignment="1">
      <alignment vertical="top"/>
    </xf>
    <xf numFmtId="0" fontId="36" fillId="0" borderId="29" xfId="0" applyNumberFormat="1" applyFont="1" applyBorder="1" applyAlignment="1">
      <alignment vertical="center"/>
    </xf>
    <xf numFmtId="167" fontId="7" fillId="0" borderId="0" xfId="0" applyNumberFormat="1" applyFont="1" applyBorder="1" applyAlignment="1"/>
    <xf numFmtId="167" fontId="7" fillId="0" borderId="0" xfId="3" applyNumberFormat="1" applyFont="1" applyBorder="1" applyAlignment="1">
      <alignment vertical="top"/>
    </xf>
    <xf numFmtId="44" fontId="7" fillId="0" borderId="0" xfId="3" applyFont="1" applyBorder="1" applyAlignment="1">
      <alignment vertical="top"/>
    </xf>
    <xf numFmtId="175" fontId="22" fillId="0" borderId="0" xfId="0" applyNumberFormat="1" applyFont="1" applyFill="1" applyBorder="1" applyAlignment="1">
      <alignment vertical="top"/>
    </xf>
    <xf numFmtId="175" fontId="25" fillId="0" borderId="0" xfId="0" applyNumberFormat="1" applyFont="1" applyFill="1" applyBorder="1" applyAlignment="1">
      <alignment vertical="top"/>
    </xf>
    <xf numFmtId="9" fontId="32" fillId="0" borderId="0" xfId="0" applyNumberFormat="1" applyFont="1" applyFill="1" applyBorder="1" applyAlignment="1"/>
    <xf numFmtId="0" fontId="22" fillId="0" borderId="0" xfId="0" applyFont="1" applyFill="1" applyBorder="1" applyAlignment="1"/>
    <xf numFmtId="175" fontId="22" fillId="0" borderId="0" xfId="0" applyNumberFormat="1" applyFont="1" applyFill="1" applyBorder="1"/>
    <xf numFmtId="189" fontId="22" fillId="0" borderId="0" xfId="0" applyNumberFormat="1" applyFont="1" applyFill="1" applyBorder="1"/>
    <xf numFmtId="0" fontId="25" fillId="0" borderId="0" xfId="0" applyFont="1" applyFill="1" applyBorder="1"/>
    <xf numFmtId="0" fontId="28" fillId="6" borderId="17" xfId="0" applyFont="1" applyFill="1" applyBorder="1" applyAlignment="1"/>
    <xf numFmtId="0" fontId="17" fillId="6" borderId="17" xfId="0" applyFont="1" applyFill="1" applyBorder="1" applyAlignment="1"/>
    <xf numFmtId="195" fontId="17" fillId="6" borderId="17" xfId="0" applyNumberFormat="1" applyFont="1" applyFill="1" applyBorder="1" applyAlignment="1"/>
    <xf numFmtId="0" fontId="7" fillId="6" borderId="0" xfId="0" applyFont="1" applyFill="1"/>
    <xf numFmtId="0" fontId="7" fillId="0" borderId="25" xfId="0" applyFont="1" applyBorder="1"/>
    <xf numFmtId="167" fontId="7" fillId="0" borderId="26" xfId="3" applyNumberFormat="1" applyFont="1" applyBorder="1"/>
    <xf numFmtId="183" fontId="7" fillId="0" borderId="23" xfId="0" applyNumberFormat="1" applyFont="1" applyBorder="1"/>
    <xf numFmtId="183" fontId="7" fillId="0" borderId="0" xfId="0" applyNumberFormat="1" applyFont="1" applyBorder="1"/>
    <xf numFmtId="183" fontId="7" fillId="0" borderId="17" xfId="0" applyNumberFormat="1" applyFont="1" applyBorder="1"/>
    <xf numFmtId="0" fontId="28" fillId="6" borderId="0" xfId="0" applyFont="1" applyFill="1" applyAlignment="1">
      <alignment horizontal="center"/>
    </xf>
    <xf numFmtId="0" fontId="17" fillId="6" borderId="9" xfId="0" applyFont="1" applyFill="1" applyBorder="1"/>
    <xf numFmtId="0" fontId="28" fillId="6" borderId="31" xfId="0" applyFont="1" applyFill="1" applyBorder="1" applyAlignment="1">
      <alignment horizontal="center"/>
    </xf>
    <xf numFmtId="0" fontId="28" fillId="6" borderId="32" xfId="0" applyFont="1" applyFill="1" applyBorder="1" applyAlignment="1">
      <alignment horizontal="center"/>
    </xf>
    <xf numFmtId="0" fontId="2" fillId="0" borderId="11" xfId="0" applyFont="1" applyBorder="1"/>
    <xf numFmtId="9" fontId="0" fillId="0" borderId="0" xfId="0" applyNumberFormat="1" applyBorder="1" applyAlignment="1">
      <alignment horizontal="center"/>
    </xf>
    <xf numFmtId="167" fontId="0" fillId="0" borderId="0" xfId="3" applyNumberFormat="1" applyFont="1" applyBorder="1"/>
    <xf numFmtId="167" fontId="0" fillId="0" borderId="14" xfId="3" applyNumberFormat="1" applyFont="1" applyBorder="1"/>
    <xf numFmtId="167" fontId="2" fillId="0" borderId="0" xfId="3" applyNumberFormat="1" applyFont="1" applyBorder="1"/>
    <xf numFmtId="167" fontId="2" fillId="0" borderId="17" xfId="3" applyNumberFormat="1" applyFont="1" applyBorder="1"/>
    <xf numFmtId="166" fontId="2" fillId="0" borderId="16" xfId="7" applyNumberFormat="1" applyFont="1" applyFill="1" applyBorder="1" applyAlignment="1">
      <alignment horizontal="center"/>
    </xf>
    <xf numFmtId="166" fontId="2" fillId="0" borderId="17" xfId="7" applyNumberFormat="1" applyFont="1" applyFill="1" applyBorder="1" applyAlignment="1">
      <alignment horizontal="center"/>
    </xf>
    <xf numFmtId="166" fontId="2" fillId="0" borderId="18" xfId="7" applyNumberFormat="1" applyFon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8" fillId="6" borderId="8" xfId="0" applyFont="1" applyFill="1" applyBorder="1"/>
    <xf numFmtId="0" fontId="0" fillId="7" borderId="10" xfId="0" applyFill="1" applyBorder="1"/>
    <xf numFmtId="0" fontId="28" fillId="7" borderId="8" xfId="0" applyFont="1" applyFill="1" applyBorder="1"/>
    <xf numFmtId="0" fontId="17" fillId="7" borderId="9" xfId="0" applyFont="1" applyFill="1" applyBorder="1"/>
    <xf numFmtId="0" fontId="17" fillId="7" borderId="10" xfId="0" applyFont="1" applyFill="1" applyBorder="1"/>
    <xf numFmtId="0" fontId="14" fillId="0" borderId="0" xfId="0" applyFont="1"/>
    <xf numFmtId="44" fontId="0" fillId="0" borderId="12" xfId="3" applyFont="1" applyBorder="1"/>
    <xf numFmtId="165" fontId="0" fillId="0" borderId="0" xfId="1" applyNumberFormat="1" applyFont="1" applyFill="1" applyAlignment="1">
      <alignment horizontal="right"/>
    </xf>
    <xf numFmtId="44" fontId="0" fillId="0" borderId="0" xfId="3" applyFont="1"/>
    <xf numFmtId="204" fontId="0" fillId="0" borderId="0" xfId="1" applyNumberFormat="1" applyFont="1"/>
    <xf numFmtId="205" fontId="6" fillId="0" borderId="0" xfId="1" applyNumberFormat="1" applyFont="1"/>
    <xf numFmtId="173" fontId="0" fillId="0" borderId="0" xfId="3" applyNumberFormat="1" applyFont="1"/>
    <xf numFmtId="9" fontId="8" fillId="5" borderId="0" xfId="7" applyFont="1" applyFill="1" applyAlignment="1">
      <alignment horizontal="center"/>
    </xf>
    <xf numFmtId="44" fontId="8" fillId="5" borderId="0" xfId="3" applyFont="1" applyFill="1"/>
    <xf numFmtId="167" fontId="0" fillId="0" borderId="0" xfId="0" applyNumberFormat="1" applyBorder="1"/>
    <xf numFmtId="44" fontId="0" fillId="0" borderId="17" xfId="0" applyNumberFormat="1" applyBorder="1"/>
    <xf numFmtId="10" fontId="8" fillId="5" borderId="0" xfId="0" applyNumberFormat="1" applyFont="1" applyFill="1"/>
    <xf numFmtId="9" fontId="2" fillId="0" borderId="0" xfId="7" applyFont="1" applyFill="1"/>
    <xf numFmtId="165" fontId="2" fillId="0" borderId="0" xfId="0" applyNumberFormat="1" applyFont="1"/>
    <xf numFmtId="0" fontId="2" fillId="2" borderId="0" xfId="0" applyFont="1" applyFill="1" applyAlignment="1">
      <alignment horizontal="center"/>
    </xf>
    <xf numFmtId="0" fontId="20" fillId="0" borderId="8" xfId="0" applyFont="1" applyBorder="1"/>
    <xf numFmtId="0" fontId="13" fillId="0" borderId="13" xfId="0" applyFont="1" applyBorder="1"/>
    <xf numFmtId="0" fontId="0" fillId="0" borderId="17" xfId="0" applyFill="1" applyBorder="1"/>
    <xf numFmtId="0" fontId="17" fillId="7" borderId="9" xfId="0" applyFont="1" applyFill="1" applyBorder="1" applyAlignment="1">
      <alignment horizontal="right"/>
    </xf>
    <xf numFmtId="0" fontId="0" fillId="0" borderId="11" xfId="0" applyFill="1" applyBorder="1"/>
    <xf numFmtId="0" fontId="40" fillId="6" borderId="0" xfId="0" applyFont="1" applyFill="1"/>
    <xf numFmtId="0" fontId="17" fillId="6" borderId="0" xfId="0" applyFont="1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7" fillId="6" borderId="0" xfId="0" applyFont="1" applyFill="1" applyBorder="1" applyAlignment="1">
      <alignment horizontal="right"/>
    </xf>
    <xf numFmtId="189" fontId="2" fillId="0" borderId="0" xfId="0" applyNumberFormat="1" applyFont="1" applyBorder="1" applyAlignment="1">
      <alignment horizontal="right"/>
    </xf>
    <xf numFmtId="0" fontId="40" fillId="0" borderId="0" xfId="0" applyFont="1" applyFill="1"/>
    <xf numFmtId="0" fontId="33" fillId="0" borderId="8" xfId="5" applyFont="1" applyBorder="1"/>
    <xf numFmtId="0" fontId="22" fillId="0" borderId="10" xfId="0" applyFont="1" applyBorder="1" applyAlignment="1">
      <alignment horizontal="centerContinuous"/>
    </xf>
    <xf numFmtId="0" fontId="13" fillId="0" borderId="13" xfId="5" applyFont="1" applyBorder="1"/>
    <xf numFmtId="0" fontId="22" fillId="0" borderId="15" xfId="0" applyFont="1" applyBorder="1" applyAlignment="1">
      <alignment horizontal="centerContinuous"/>
    </xf>
    <xf numFmtId="9" fontId="0" fillId="0" borderId="14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5" borderId="26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9" fontId="8" fillId="5" borderId="4" xfId="7" applyFont="1" applyFill="1" applyBorder="1" applyAlignment="1">
      <alignment horizontal="center"/>
    </xf>
    <xf numFmtId="44" fontId="8" fillId="5" borderId="4" xfId="3" applyFont="1" applyFill="1" applyBorder="1" applyAlignment="1">
      <alignment horizontal="center"/>
    </xf>
    <xf numFmtId="165" fontId="8" fillId="5" borderId="21" xfId="1" applyNumberFormat="1" applyFont="1" applyFill="1" applyBorder="1" applyAlignment="1">
      <alignment horizontal="center"/>
    </xf>
    <xf numFmtId="165" fontId="8" fillId="5" borderId="26" xfId="1" applyNumberFormat="1" applyFont="1" applyFill="1" applyBorder="1"/>
    <xf numFmtId="167" fontId="0" fillId="0" borderId="21" xfId="3" applyNumberFormat="1" applyFont="1" applyFill="1" applyBorder="1"/>
    <xf numFmtId="0" fontId="0" fillId="6" borderId="0" xfId="0" applyFill="1" applyBorder="1"/>
    <xf numFmtId="9" fontId="8" fillId="5" borderId="26" xfId="7" applyFont="1" applyFill="1" applyBorder="1"/>
    <xf numFmtId="166" fontId="27" fillId="0" borderId="4" xfId="7" applyNumberFormat="1" applyFont="1" applyFill="1" applyBorder="1"/>
    <xf numFmtId="0" fontId="0" fillId="5" borderId="21" xfId="0" applyFill="1" applyBorder="1"/>
    <xf numFmtId="166" fontId="41" fillId="5" borderId="26" xfId="7" applyNumberFormat="1" applyFont="1" applyFill="1" applyBorder="1" applyAlignment="1">
      <alignment horizontal="center"/>
    </xf>
    <xf numFmtId="0" fontId="41" fillId="5" borderId="4" xfId="0" applyFont="1" applyFill="1" applyBorder="1" applyAlignment="1">
      <alignment horizontal="center"/>
    </xf>
    <xf numFmtId="166" fontId="41" fillId="5" borderId="4" xfId="7" applyNumberFormat="1" applyFont="1" applyFill="1" applyBorder="1" applyAlignment="1">
      <alignment horizontal="center"/>
    </xf>
    <xf numFmtId="10" fontId="41" fillId="5" borderId="4" xfId="7" applyNumberFormat="1" applyFont="1" applyFill="1" applyBorder="1" applyAlignment="1">
      <alignment horizontal="center"/>
    </xf>
    <xf numFmtId="10" fontId="41" fillId="5" borderId="21" xfId="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26" xfId="0" applyBorder="1"/>
    <xf numFmtId="0" fontId="0" fillId="5" borderId="0" xfId="1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6" fontId="0" fillId="5" borderId="0" xfId="7" applyNumberFormat="1" applyFont="1" applyFill="1" applyBorder="1" applyAlignment="1">
      <alignment horizontal="center"/>
    </xf>
    <xf numFmtId="10" fontId="0" fillId="5" borderId="0" xfId="7" applyNumberFormat="1" applyFont="1" applyFill="1" applyBorder="1" applyAlignment="1">
      <alignment horizontal="center"/>
    </xf>
    <xf numFmtId="0" fontId="21" fillId="0" borderId="24" xfId="0" applyFont="1" applyBorder="1"/>
    <xf numFmtId="0" fontId="22" fillId="5" borderId="17" xfId="0" applyFont="1" applyFill="1" applyBorder="1" applyAlignment="1">
      <alignment wrapText="1"/>
    </xf>
    <xf numFmtId="0" fontId="3" fillId="0" borderId="23" xfId="0" applyFont="1" applyBorder="1"/>
    <xf numFmtId="0" fontId="3" fillId="0" borderId="26" xfId="0" applyFont="1" applyBorder="1"/>
    <xf numFmtId="0" fontId="3" fillId="0" borderId="24" xfId="0" applyFont="1" applyBorder="1"/>
    <xf numFmtId="0" fontId="22" fillId="5" borderId="4" xfId="0" applyFont="1" applyFill="1" applyBorder="1" applyAlignment="1">
      <alignment wrapText="1"/>
    </xf>
    <xf numFmtId="0" fontId="3" fillId="0" borderId="25" xfId="0" applyFont="1" applyBorder="1"/>
    <xf numFmtId="0" fontId="22" fillId="5" borderId="21" xfId="0" applyFont="1" applyFill="1" applyBorder="1" applyAlignment="1">
      <alignment wrapText="1"/>
    </xf>
    <xf numFmtId="0" fontId="20" fillId="0" borderId="9" xfId="0" applyFont="1" applyBorder="1"/>
    <xf numFmtId="0" fontId="13" fillId="0" borderId="14" xfId="0" applyFont="1" applyBorder="1"/>
    <xf numFmtId="0" fontId="0" fillId="2" borderId="17" xfId="0" applyFill="1" applyBorder="1"/>
    <xf numFmtId="0" fontId="41" fillId="2" borderId="17" xfId="0" applyFont="1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167" fontId="0" fillId="0" borderId="26" xfId="3" applyNumberFormat="1" applyFont="1" applyBorder="1"/>
    <xf numFmtId="167" fontId="0" fillId="0" borderId="4" xfId="3" applyNumberFormat="1" applyFont="1" applyBorder="1"/>
    <xf numFmtId="207" fontId="8" fillId="5" borderId="21" xfId="0" applyNumberFormat="1" applyFont="1" applyFill="1" applyBorder="1" applyAlignment="1">
      <alignment horizontal="center"/>
    </xf>
    <xf numFmtId="167" fontId="0" fillId="0" borderId="4" xfId="0" applyNumberFormat="1" applyBorder="1"/>
    <xf numFmtId="0" fontId="2" fillId="0" borderId="24" xfId="0" applyFont="1" applyBorder="1"/>
    <xf numFmtId="167" fontId="2" fillId="0" borderId="4" xfId="0" applyNumberFormat="1" applyFont="1" applyBorder="1"/>
    <xf numFmtId="167" fontId="2" fillId="0" borderId="4" xfId="3" applyNumberFormat="1" applyFont="1" applyBorder="1"/>
    <xf numFmtId="167" fontId="8" fillId="5" borderId="21" xfId="3" applyNumberFormat="1" applyFont="1" applyFill="1" applyBorder="1"/>
    <xf numFmtId="0" fontId="2" fillId="0" borderId="25" xfId="0" applyFont="1" applyFill="1" applyBorder="1"/>
    <xf numFmtId="183" fontId="8" fillId="5" borderId="33" xfId="0" applyNumberFormat="1" applyFont="1" applyFill="1" applyBorder="1" applyAlignment="1">
      <alignment horizontal="center"/>
    </xf>
    <xf numFmtId="183" fontId="8" fillId="5" borderId="34" xfId="0" applyNumberFormat="1" applyFont="1" applyFill="1" applyBorder="1" applyAlignment="1">
      <alignment horizontal="center"/>
    </xf>
    <xf numFmtId="183" fontId="8" fillId="5" borderId="35" xfId="0" applyNumberFormat="1" applyFont="1" applyFill="1" applyBorder="1" applyAlignment="1">
      <alignment horizontal="center"/>
    </xf>
    <xf numFmtId="165" fontId="8" fillId="5" borderId="4" xfId="1" applyNumberFormat="1" applyFont="1" applyFill="1" applyBorder="1" applyAlignment="1">
      <alignment horizontal="center"/>
    </xf>
    <xf numFmtId="0" fontId="2" fillId="0" borderId="22" xfId="0" applyFont="1" applyBorder="1"/>
    <xf numFmtId="0" fontId="28" fillId="0" borderId="0" xfId="0" applyFont="1" applyFill="1" applyBorder="1"/>
    <xf numFmtId="167" fontId="8" fillId="5" borderId="4" xfId="3" applyNumberFormat="1" applyFont="1" applyFill="1" applyBorder="1"/>
    <xf numFmtId="0" fontId="2" fillId="0" borderId="24" xfId="0" applyFont="1" applyBorder="1" applyAlignment="1">
      <alignment horizontal="right"/>
    </xf>
    <xf numFmtId="10" fontId="8" fillId="5" borderId="4" xfId="7" applyNumberFormat="1" applyFont="1" applyFill="1" applyBorder="1" applyAlignment="1">
      <alignment horizontal="center"/>
    </xf>
    <xf numFmtId="167" fontId="2" fillId="0" borderId="21" xfId="3" applyNumberFormat="1" applyFont="1" applyBorder="1"/>
    <xf numFmtId="0" fontId="2" fillId="0" borderId="2" xfId="0" applyFont="1" applyBorder="1"/>
    <xf numFmtId="167" fontId="2" fillId="0" borderId="3" xfId="3" applyNumberFormat="1" applyFont="1" applyBorder="1"/>
    <xf numFmtId="167" fontId="0" fillId="0" borderId="0" xfId="3" applyNumberFormat="1" applyFont="1" applyFill="1" applyBorder="1"/>
    <xf numFmtId="0" fontId="0" fillId="2" borderId="0" xfId="0" applyFill="1" applyBorder="1" applyAlignment="1">
      <alignment horizontal="center"/>
    </xf>
    <xf numFmtId="43" fontId="0" fillId="0" borderId="0" xfId="1" applyFont="1" applyFill="1"/>
    <xf numFmtId="43" fontId="0" fillId="0" borderId="0" xfId="0" applyNumberFormat="1" applyFill="1"/>
    <xf numFmtId="165" fontId="8" fillId="2" borderId="0" xfId="1" applyNumberFormat="1" applyFont="1" applyFill="1"/>
    <xf numFmtId="165" fontId="1" fillId="2" borderId="17" xfId="1" applyNumberFormat="1" applyFill="1" applyBorder="1"/>
    <xf numFmtId="165" fontId="1" fillId="0" borderId="17" xfId="1" applyNumberFormat="1" applyBorder="1"/>
    <xf numFmtId="167" fontId="1" fillId="0" borderId="0" xfId="3" applyNumberFormat="1"/>
    <xf numFmtId="167" fontId="8" fillId="2" borderId="0" xfId="3" applyNumberFormat="1" applyFont="1" applyFill="1"/>
    <xf numFmtId="165" fontId="41" fillId="2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8" fillId="0" borderId="0" xfId="1" applyNumberFormat="1" applyFont="1" applyBorder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67" fontId="8" fillId="2" borderId="17" xfId="3" applyNumberFormat="1" applyFont="1" applyFill="1" applyBorder="1"/>
    <xf numFmtId="167" fontId="2" fillId="2" borderId="0" xfId="3" applyNumberFormat="1" applyFont="1" applyFill="1" applyBorder="1"/>
    <xf numFmtId="167" fontId="2" fillId="0" borderId="0" xfId="3" applyNumberFormat="1" applyFont="1" applyFill="1" applyBorder="1"/>
    <xf numFmtId="167" fontId="0" fillId="0" borderId="0" xfId="0" applyNumberFormat="1" applyFill="1"/>
    <xf numFmtId="9" fontId="1" fillId="0" borderId="0" xfId="7" applyFill="1" applyBorder="1"/>
    <xf numFmtId="0" fontId="2" fillId="0" borderId="0" xfId="0" applyFont="1" applyBorder="1" applyAlignment="1">
      <alignment horizontal="right"/>
    </xf>
    <xf numFmtId="166" fontId="8" fillId="5" borderId="23" xfId="7" applyNumberFormat="1" applyFont="1" applyFill="1" applyBorder="1" applyAlignment="1">
      <alignment horizontal="center"/>
    </xf>
    <xf numFmtId="166" fontId="8" fillId="5" borderId="26" xfId="7" applyNumberFormat="1" applyFont="1" applyFill="1" applyBorder="1" applyAlignment="1">
      <alignment horizontal="center"/>
    </xf>
    <xf numFmtId="166" fontId="8" fillId="5" borderId="4" xfId="7" applyNumberFormat="1" applyFont="1" applyFill="1" applyBorder="1" applyAlignment="1">
      <alignment horizontal="center"/>
    </xf>
    <xf numFmtId="166" fontId="8" fillId="5" borderId="21" xfId="7" applyNumberFormat="1" applyFont="1" applyFill="1" applyBorder="1" applyAlignment="1">
      <alignment horizontal="center"/>
    </xf>
    <xf numFmtId="44" fontId="8" fillId="5" borderId="23" xfId="3" applyFont="1" applyFill="1" applyBorder="1"/>
    <xf numFmtId="44" fontId="8" fillId="5" borderId="0" xfId="3" applyFont="1" applyFill="1" applyBorder="1"/>
    <xf numFmtId="166" fontId="8" fillId="0" borderId="0" xfId="7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0" fillId="0" borderId="22" xfId="0" applyFont="1" applyFill="1" applyBorder="1"/>
    <xf numFmtId="0" fontId="0" fillId="0" borderId="23" xfId="0" applyFill="1" applyBorder="1"/>
    <xf numFmtId="165" fontId="8" fillId="2" borderId="0" xfId="1" applyNumberFormat="1" applyFont="1" applyFill="1" applyAlignment="1">
      <alignment horizontal="center"/>
    </xf>
    <xf numFmtId="166" fontId="8" fillId="6" borderId="0" xfId="7" applyNumberFormat="1" applyFont="1" applyFill="1" applyBorder="1" applyAlignment="1">
      <alignment horizontal="center"/>
    </xf>
    <xf numFmtId="0" fontId="40" fillId="6" borderId="0" xfId="0" applyFont="1" applyFill="1" applyBorder="1"/>
    <xf numFmtId="167" fontId="2" fillId="2" borderId="0" xfId="3" applyNumberFormat="1" applyFont="1" applyFill="1"/>
    <xf numFmtId="167" fontId="2" fillId="0" borderId="0" xfId="3" applyNumberFormat="1" applyFont="1" applyFill="1"/>
    <xf numFmtId="167" fontId="2" fillId="2" borderId="17" xfId="3" applyNumberFormat="1" applyFont="1" applyFill="1" applyBorder="1"/>
    <xf numFmtId="167" fontId="2" fillId="0" borderId="17" xfId="3" applyNumberFormat="1" applyFont="1" applyFill="1" applyBorder="1"/>
    <xf numFmtId="167" fontId="42" fillId="2" borderId="0" xfId="3" applyNumberFormat="1" applyFont="1" applyFill="1"/>
    <xf numFmtId="0" fontId="13" fillId="6" borderId="0" xfId="0" applyFont="1" applyFill="1" applyBorder="1"/>
    <xf numFmtId="166" fontId="43" fillId="6" borderId="0" xfId="7" applyNumberFormat="1" applyFont="1" applyFill="1" applyBorder="1" applyAlignment="1">
      <alignment horizontal="center"/>
    </xf>
    <xf numFmtId="167" fontId="7" fillId="0" borderId="0" xfId="3" applyNumberFormat="1" applyFont="1" applyFill="1"/>
    <xf numFmtId="167" fontId="41" fillId="2" borderId="0" xfId="3" applyNumberFormat="1" applyFont="1" applyFill="1" applyAlignment="1">
      <alignment horizontal="center"/>
    </xf>
    <xf numFmtId="167" fontId="41" fillId="2" borderId="0" xfId="3" applyNumberFormat="1" applyFont="1" applyFill="1"/>
    <xf numFmtId="0" fontId="0" fillId="2" borderId="17" xfId="0" applyFill="1" applyBorder="1" applyAlignment="1">
      <alignment horizontal="center"/>
    </xf>
    <xf numFmtId="165" fontId="1" fillId="0" borderId="17" xfId="1" applyNumberFormat="1" applyFill="1" applyBorder="1"/>
    <xf numFmtId="44" fontId="7" fillId="2" borderId="17" xfId="3" applyFont="1" applyFill="1" applyBorder="1" applyAlignment="1">
      <alignment horizontal="center"/>
    </xf>
    <xf numFmtId="44" fontId="7" fillId="2" borderId="17" xfId="3" applyFont="1" applyFill="1" applyBorder="1"/>
    <xf numFmtId="165" fontId="1" fillId="0" borderId="0" xfId="1" applyNumberFormat="1" applyFont="1" applyAlignment="1">
      <alignment horizontal="left" indent="1"/>
    </xf>
    <xf numFmtId="165" fontId="2" fillId="0" borderId="0" xfId="1" applyNumberFormat="1" applyFont="1" applyBorder="1"/>
    <xf numFmtId="167" fontId="1" fillId="2" borderId="0" xfId="3" applyNumberFormat="1" applyFill="1"/>
    <xf numFmtId="0" fontId="0" fillId="0" borderId="29" xfId="0" applyBorder="1"/>
    <xf numFmtId="165" fontId="1" fillId="0" borderId="36" xfId="1" applyNumberFormat="1" applyFill="1" applyBorder="1"/>
    <xf numFmtId="168" fontId="2" fillId="2" borderId="0" xfId="0" applyNumberFormat="1" applyFont="1" applyFill="1" applyAlignment="1">
      <alignment horizontal="center"/>
    </xf>
    <xf numFmtId="167" fontId="2" fillId="2" borderId="29" xfId="3" applyNumberFormat="1" applyFont="1" applyFill="1" applyBorder="1"/>
    <xf numFmtId="167" fontId="2" fillId="0" borderId="29" xfId="3" applyNumberFormat="1" applyFont="1" applyFill="1" applyBorder="1"/>
    <xf numFmtId="0" fontId="3" fillId="0" borderId="0" xfId="0" applyFont="1" applyAlignment="1">
      <alignment horizontal="left" indent="1"/>
    </xf>
    <xf numFmtId="43" fontId="3" fillId="2" borderId="0" xfId="1" applyFont="1" applyFill="1" applyAlignment="1"/>
    <xf numFmtId="43" fontId="3" fillId="0" borderId="0" xfId="1" applyFont="1" applyFill="1" applyAlignment="1"/>
    <xf numFmtId="10" fontId="3" fillId="2" borderId="0" xfId="7" applyNumberFormat="1" applyFont="1" applyFill="1"/>
    <xf numFmtId="10" fontId="3" fillId="0" borderId="0" xfId="7" applyNumberFormat="1" applyFont="1" applyFill="1"/>
    <xf numFmtId="165" fontId="1" fillId="5" borderId="0" xfId="1" applyNumberFormat="1" applyFont="1" applyFill="1" applyAlignment="1">
      <alignment horizontal="center"/>
    </xf>
    <xf numFmtId="168" fontId="2" fillId="5" borderId="0" xfId="0" applyNumberFormat="1" applyFont="1" applyFill="1" applyAlignment="1">
      <alignment horizontal="center"/>
    </xf>
    <xf numFmtId="0" fontId="0" fillId="0" borderId="35" xfId="0" applyBorder="1"/>
    <xf numFmtId="0" fontId="17" fillId="0" borderId="0" xfId="0" applyFont="1" applyBorder="1"/>
    <xf numFmtId="10" fontId="2" fillId="0" borderId="0" xfId="7" applyNumberFormat="1" applyFont="1" applyBorder="1" applyAlignment="1">
      <alignment horizontal="center"/>
    </xf>
    <xf numFmtId="0" fontId="0" fillId="0" borderId="34" xfId="0" applyBorder="1"/>
    <xf numFmtId="10" fontId="2" fillId="0" borderId="17" xfId="7" applyNumberFormat="1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166" fontId="4" fillId="5" borderId="0" xfId="7" applyNumberFormat="1" applyFont="1" applyFill="1" applyBorder="1"/>
    <xf numFmtId="207" fontId="2" fillId="0" borderId="33" xfId="0" applyNumberFormat="1" applyFont="1" applyBorder="1" applyAlignment="1">
      <alignment horizontal="center"/>
    </xf>
    <xf numFmtId="167" fontId="0" fillId="0" borderId="35" xfId="3" applyNumberFormat="1" applyFont="1" applyBorder="1"/>
    <xf numFmtId="167" fontId="0" fillId="0" borderId="34" xfId="3" applyNumberFormat="1" applyFont="1" applyBorder="1"/>
    <xf numFmtId="10" fontId="2" fillId="0" borderId="22" xfId="7" applyNumberFormat="1" applyFont="1" applyBorder="1" applyAlignment="1">
      <alignment horizontal="center"/>
    </xf>
    <xf numFmtId="167" fontId="0" fillId="0" borderId="33" xfId="3" applyNumberFormat="1" applyFont="1" applyBorder="1"/>
    <xf numFmtId="10" fontId="2" fillId="0" borderId="25" xfId="7" applyNumberFormat="1" applyFont="1" applyBorder="1" applyAlignment="1">
      <alignment horizontal="center"/>
    </xf>
    <xf numFmtId="10" fontId="2" fillId="0" borderId="34" xfId="7" applyNumberFormat="1" applyFont="1" applyBorder="1" applyAlignment="1">
      <alignment horizontal="center"/>
    </xf>
    <xf numFmtId="0" fontId="2" fillId="0" borderId="25" xfId="0" applyFont="1" applyBorder="1"/>
    <xf numFmtId="10" fontId="2" fillId="0" borderId="21" xfId="7" applyNumberFormat="1" applyFont="1" applyBorder="1" applyAlignment="1">
      <alignment horizontal="center"/>
    </xf>
    <xf numFmtId="0" fontId="2" fillId="0" borderId="37" xfId="0" applyFont="1" applyBorder="1"/>
    <xf numFmtId="207" fontId="2" fillId="0" borderId="29" xfId="0" applyNumberFormat="1" applyFont="1" applyBorder="1" applyAlignment="1">
      <alignment horizontal="center"/>
    </xf>
    <xf numFmtId="207" fontId="2" fillId="0" borderId="36" xfId="0" applyNumberFormat="1" applyFont="1" applyBorder="1" applyAlignment="1">
      <alignment horizontal="center"/>
    </xf>
    <xf numFmtId="167" fontId="0" fillId="0" borderId="33" xfId="3" applyNumberFormat="1" applyFont="1" applyFill="1" applyBorder="1"/>
    <xf numFmtId="167" fontId="0" fillId="0" borderId="34" xfId="3" applyNumberFormat="1" applyFont="1" applyFill="1" applyBorder="1"/>
    <xf numFmtId="165" fontId="7" fillId="0" borderId="17" xfId="1" applyNumberFormat="1" applyFont="1" applyFill="1" applyBorder="1"/>
    <xf numFmtId="167" fontId="2" fillId="0" borderId="0" xfId="3" applyNumberFormat="1" applyFont="1"/>
    <xf numFmtId="166" fontId="0" fillId="5" borderId="26" xfId="7" applyNumberFormat="1" applyFont="1" applyFill="1" applyBorder="1"/>
    <xf numFmtId="9" fontId="7" fillId="5" borderId="21" xfId="7" applyFont="1" applyFill="1" applyBorder="1"/>
    <xf numFmtId="166" fontId="2" fillId="0" borderId="29" xfId="7" applyNumberFormat="1" applyFont="1" applyBorder="1" applyAlignment="1">
      <alignment horizontal="center"/>
    </xf>
    <xf numFmtId="166" fontId="2" fillId="0" borderId="35" xfId="7" applyNumberFormat="1" applyFont="1" applyBorder="1" applyAlignment="1">
      <alignment horizontal="center"/>
    </xf>
    <xf numFmtId="166" fontId="2" fillId="0" borderId="34" xfId="7" applyNumberFormat="1" applyFont="1" applyBorder="1" applyAlignment="1">
      <alignment horizontal="center"/>
    </xf>
    <xf numFmtId="10" fontId="17" fillId="0" borderId="37" xfId="0" applyNumberFormat="1" applyFont="1" applyBorder="1" applyAlignment="1">
      <alignment horizontal="center"/>
    </xf>
    <xf numFmtId="166" fontId="2" fillId="0" borderId="36" xfId="7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0" xfId="7" applyNumberFormat="1" applyFont="1" applyBorder="1" applyAlignment="1">
      <alignment horizontal="center"/>
    </xf>
    <xf numFmtId="10" fontId="0" fillId="0" borderId="4" xfId="7" applyNumberFormat="1" applyFont="1" applyBorder="1" applyAlignment="1">
      <alignment horizontal="center"/>
    </xf>
    <xf numFmtId="10" fontId="0" fillId="0" borderId="17" xfId="7" applyNumberFormat="1" applyFont="1" applyBorder="1" applyAlignment="1">
      <alignment horizontal="center"/>
    </xf>
    <xf numFmtId="10" fontId="0" fillId="0" borderId="21" xfId="7" applyNumberFormat="1" applyFont="1" applyBorder="1" applyAlignment="1">
      <alignment horizontal="center"/>
    </xf>
    <xf numFmtId="10" fontId="7" fillId="5" borderId="0" xfId="7" applyNumberFormat="1" applyFont="1" applyFill="1" applyBorder="1" applyAlignment="1">
      <alignment horizontal="center"/>
    </xf>
    <xf numFmtId="10" fontId="2" fillId="0" borderId="1" xfId="7" applyNumberFormat="1" applyFont="1" applyBorder="1" applyAlignment="1">
      <alignment horizontal="center"/>
    </xf>
    <xf numFmtId="10" fontId="2" fillId="0" borderId="3" xfId="7" applyNumberFormat="1" applyFont="1" applyBorder="1" applyAlignment="1">
      <alignment horizontal="center"/>
    </xf>
    <xf numFmtId="166" fontId="7" fillId="5" borderId="17" xfId="7" applyNumberFormat="1" applyFont="1" applyFill="1" applyBorder="1" applyAlignment="1">
      <alignment horizontal="center"/>
    </xf>
    <xf numFmtId="167" fontId="2" fillId="0" borderId="23" xfId="3" applyNumberFormat="1" applyFont="1" applyBorder="1" applyAlignment="1">
      <alignment vertical="top"/>
    </xf>
    <xf numFmtId="44" fontId="8" fillId="5" borderId="26" xfId="3" applyFont="1" applyFill="1" applyBorder="1"/>
    <xf numFmtId="44" fontId="8" fillId="5" borderId="4" xfId="3" applyFont="1" applyFill="1" applyBorder="1"/>
    <xf numFmtId="10" fontId="7" fillId="0" borderId="0" xfId="7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3" fillId="0" borderId="11" xfId="0" applyFont="1" applyBorder="1"/>
    <xf numFmtId="0" fontId="13" fillId="0" borderId="0" xfId="0" applyFont="1" applyBorder="1"/>
    <xf numFmtId="0" fontId="13" fillId="0" borderId="13" xfId="0" applyFont="1" applyFill="1" applyBorder="1"/>
    <xf numFmtId="0" fontId="12" fillId="0" borderId="14" xfId="0" applyFont="1" applyBorder="1" applyAlignment="1">
      <alignment horizontal="center"/>
    </xf>
    <xf numFmtId="165" fontId="2" fillId="0" borderId="0" xfId="1" applyNumberFormat="1" applyFont="1" applyBorder="1" applyAlignment="1">
      <alignment horizontal="right"/>
    </xf>
    <xf numFmtId="166" fontId="8" fillId="5" borderId="0" xfId="7" applyNumberFormat="1" applyFont="1" applyFill="1" applyAlignment="1">
      <alignment horizontal="center"/>
    </xf>
    <xf numFmtId="166" fontId="8" fillId="0" borderId="0" xfId="7" applyNumberFormat="1" applyFont="1" applyFill="1" applyAlignment="1">
      <alignment horizontal="center"/>
    </xf>
    <xf numFmtId="167" fontId="0" fillId="0" borderId="35" xfId="3" applyNumberFormat="1" applyFont="1" applyFill="1" applyBorder="1"/>
    <xf numFmtId="0" fontId="2" fillId="0" borderId="17" xfId="0" applyFont="1" applyBorder="1" applyAlignment="1">
      <alignment horizontal="left"/>
    </xf>
    <xf numFmtId="167" fontId="8" fillId="2" borderId="0" xfId="3" applyNumberFormat="1" applyFont="1" applyFill="1" applyBorder="1"/>
    <xf numFmtId="0" fontId="28" fillId="6" borderId="0" xfId="0" applyFont="1" applyFill="1" applyBorder="1" applyAlignment="1">
      <alignment horizontal="center"/>
    </xf>
    <xf numFmtId="167" fontId="17" fillId="6" borderId="0" xfId="0" applyNumberFormat="1" applyFont="1" applyFill="1"/>
    <xf numFmtId="165" fontId="17" fillId="6" borderId="0" xfId="1" applyNumberFormat="1" applyFont="1" applyFill="1" applyAlignment="1">
      <alignment horizontal="right"/>
    </xf>
    <xf numFmtId="9" fontId="17" fillId="6" borderId="0" xfId="7" applyFont="1" applyFill="1"/>
    <xf numFmtId="0" fontId="40" fillId="6" borderId="0" xfId="0" applyFont="1" applyFill="1" applyBorder="1" applyAlignment="1">
      <alignment horizontal="left"/>
    </xf>
    <xf numFmtId="0" fontId="2" fillId="0" borderId="17" xfId="0" applyFont="1" applyBorder="1" applyAlignment="1">
      <alignment horizontal="center"/>
    </xf>
    <xf numFmtId="165" fontId="12" fillId="2" borderId="0" xfId="1" applyNumberFormat="1" applyFont="1" applyFill="1"/>
    <xf numFmtId="167" fontId="7" fillId="2" borderId="0" xfId="3" applyNumberFormat="1" applyFont="1" applyFill="1"/>
    <xf numFmtId="167" fontId="7" fillId="2" borderId="17" xfId="3" applyNumberFormat="1" applyFont="1" applyFill="1" applyBorder="1"/>
    <xf numFmtId="1" fontId="2" fillId="0" borderId="1" xfId="0" applyNumberFormat="1" applyFont="1" applyBorder="1" applyAlignment="1">
      <alignment horizontal="center"/>
    </xf>
    <xf numFmtId="165" fontId="8" fillId="2" borderId="0" xfId="1" applyNumberFormat="1" applyFont="1" applyFill="1" applyBorder="1"/>
    <xf numFmtId="9" fontId="7" fillId="0" borderId="0" xfId="7" applyFont="1" applyFill="1"/>
    <xf numFmtId="167" fontId="1" fillId="0" borderId="17" xfId="3" applyNumberFormat="1" applyBorder="1"/>
    <xf numFmtId="167" fontId="42" fillId="0" borderId="0" xfId="3" applyNumberFormat="1" applyFont="1" applyFill="1"/>
    <xf numFmtId="167" fontId="2" fillId="2" borderId="0" xfId="3" applyNumberFormat="1" applyFont="1" applyFill="1" applyAlignment="1">
      <alignment horizontal="center"/>
    </xf>
    <xf numFmtId="167" fontId="1" fillId="0" borderId="0" xfId="7" applyNumberFormat="1" applyFill="1" applyBorder="1"/>
    <xf numFmtId="0" fontId="7" fillId="2" borderId="0" xfId="0" applyFont="1" applyFill="1" applyBorder="1" applyAlignment="1">
      <alignment horizontal="center"/>
    </xf>
    <xf numFmtId="165" fontId="2" fillId="0" borderId="37" xfId="1" applyNumberFormat="1" applyFont="1" applyBorder="1" applyAlignment="1">
      <alignment horizontal="right" wrapText="1"/>
    </xf>
    <xf numFmtId="0" fontId="17" fillId="0" borderId="0" xfId="0" applyFont="1" applyFill="1"/>
    <xf numFmtId="207" fontId="2" fillId="0" borderId="0" xfId="0" applyNumberFormat="1" applyFont="1" applyBorder="1" applyAlignment="1">
      <alignment horizontal="center"/>
    </xf>
    <xf numFmtId="166" fontId="8" fillId="0" borderId="0" xfId="0" applyNumberFormat="1" applyFont="1" applyFill="1" applyAlignment="1">
      <alignment horizontal="center"/>
    </xf>
    <xf numFmtId="166" fontId="1" fillId="0" borderId="2" xfId="7" applyNumberFormat="1" applyBorder="1"/>
    <xf numFmtId="166" fontId="1" fillId="0" borderId="1" xfId="7" applyNumberFormat="1" applyBorder="1"/>
    <xf numFmtId="166" fontId="1" fillId="0" borderId="3" xfId="7" applyNumberFormat="1" applyBorder="1"/>
    <xf numFmtId="0" fontId="13" fillId="5" borderId="11" xfId="0" applyFont="1" applyFill="1" applyBorder="1"/>
    <xf numFmtId="167" fontId="16" fillId="2" borderId="0" xfId="3" applyNumberFormat="1" applyFont="1" applyFill="1"/>
    <xf numFmtId="165" fontId="3" fillId="2" borderId="0" xfId="1" applyNumberFormat="1" applyFont="1" applyFill="1"/>
    <xf numFmtId="0" fontId="0" fillId="5" borderId="0" xfId="0" applyFill="1" applyAlignment="1">
      <alignment horizontal="center"/>
    </xf>
    <xf numFmtId="0" fontId="0" fillId="5" borderId="17" xfId="0" applyFill="1" applyBorder="1" applyAlignment="1">
      <alignment horizontal="center"/>
    </xf>
    <xf numFmtId="0" fontId="2" fillId="0" borderId="0" xfId="0" applyFont="1" applyAlignment="1"/>
    <xf numFmtId="165" fontId="1" fillId="0" borderId="0" xfId="1" applyNumberFormat="1" applyFont="1" applyFill="1" applyBorder="1"/>
    <xf numFmtId="165" fontId="8" fillId="0" borderId="0" xfId="1" applyNumberFormat="1" applyFont="1" applyFill="1" applyBorder="1"/>
    <xf numFmtId="165" fontId="7" fillId="3" borderId="14" xfId="1" applyNumberFormat="1" applyFont="1" applyFill="1" applyBorder="1"/>
    <xf numFmtId="165" fontId="7" fillId="3" borderId="33" xfId="1" applyNumberFormat="1" applyFont="1" applyFill="1" applyBorder="1"/>
    <xf numFmtId="165" fontId="7" fillId="0" borderId="0" xfId="1" applyNumberFormat="1" applyFont="1" applyFill="1" applyBorder="1" applyAlignment="1">
      <alignment horizontal="right"/>
    </xf>
    <xf numFmtId="165" fontId="7" fillId="5" borderId="35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165" fontId="7" fillId="3" borderId="38" xfId="1" applyNumberFormat="1" applyFont="1" applyFill="1" applyBorder="1"/>
    <xf numFmtId="165" fontId="2" fillId="0" borderId="2" xfId="1" applyNumberFormat="1" applyFont="1" applyBorder="1" applyAlignment="1">
      <alignment horizontal="right"/>
    </xf>
    <xf numFmtId="165" fontId="2" fillId="2" borderId="1" xfId="1" applyNumberFormat="1" applyFont="1" applyFill="1" applyBorder="1"/>
    <xf numFmtId="165" fontId="2" fillId="0" borderId="1" xfId="1" applyNumberFormat="1" applyFont="1" applyFill="1" applyBorder="1"/>
    <xf numFmtId="165" fontId="2" fillId="0" borderId="3" xfId="1" applyNumberFormat="1" applyFont="1" applyFill="1" applyBorder="1"/>
    <xf numFmtId="165" fontId="2" fillId="2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1" xfId="0" applyNumberFormat="1" applyFont="1" applyBorder="1"/>
    <xf numFmtId="165" fontId="2" fillId="0" borderId="3" xfId="0" applyNumberFormat="1" applyFont="1" applyBorder="1"/>
    <xf numFmtId="0" fontId="14" fillId="0" borderId="22" xfId="0" applyFont="1" applyBorder="1"/>
    <xf numFmtId="165" fontId="0" fillId="0" borderId="23" xfId="0" applyNumberFormat="1" applyBorder="1"/>
    <xf numFmtId="2" fontId="1" fillId="0" borderId="23" xfId="3" applyNumberFormat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9" fontId="8" fillId="5" borderId="0" xfId="7" applyFont="1" applyFill="1" applyBorder="1" applyAlignment="1">
      <alignment horizontal="center"/>
    </xf>
    <xf numFmtId="44" fontId="0" fillId="0" borderId="0" xfId="3" applyFont="1" applyBorder="1"/>
    <xf numFmtId="44" fontId="0" fillId="0" borderId="4" xfId="3" applyFont="1" applyBorder="1"/>
    <xf numFmtId="165" fontId="0" fillId="0" borderId="4" xfId="1" applyNumberFormat="1" applyFont="1" applyBorder="1"/>
    <xf numFmtId="0" fontId="0" fillId="0" borderId="24" xfId="0" applyFill="1" applyBorder="1"/>
    <xf numFmtId="205" fontId="7" fillId="0" borderId="0" xfId="1" applyNumberFormat="1" applyFont="1" applyBorder="1"/>
    <xf numFmtId="205" fontId="7" fillId="0" borderId="4" xfId="1" applyNumberFormat="1" applyFont="1" applyBorder="1"/>
    <xf numFmtId="165" fontId="0" fillId="0" borderId="17" xfId="0" applyNumberFormat="1" applyBorder="1"/>
    <xf numFmtId="173" fontId="0" fillId="0" borderId="17" xfId="3" applyNumberFormat="1" applyFont="1" applyBorder="1"/>
    <xf numFmtId="2" fontId="1" fillId="0" borderId="26" xfId="3" applyNumberFormat="1" applyBorder="1" applyAlignment="1">
      <alignment horizontal="right"/>
    </xf>
    <xf numFmtId="165" fontId="7" fillId="0" borderId="0" xfId="1" applyNumberFormat="1" applyFont="1" applyFill="1" applyBorder="1" applyAlignment="1">
      <alignment horizontal="left"/>
    </xf>
    <xf numFmtId="173" fontId="7" fillId="0" borderId="0" xfId="3" applyNumberFormat="1" applyFont="1" applyFill="1" applyBorder="1"/>
    <xf numFmtId="0" fontId="7" fillId="0" borderId="0" xfId="0" applyFont="1" applyFill="1" applyBorder="1" applyAlignment="1">
      <alignment horizontal="left"/>
    </xf>
    <xf numFmtId="167" fontId="0" fillId="5" borderId="34" xfId="3" applyNumberFormat="1" applyFont="1" applyFill="1" applyBorder="1"/>
    <xf numFmtId="167" fontId="2" fillId="0" borderId="0" xfId="0" applyNumberFormat="1" applyFont="1" applyBorder="1"/>
    <xf numFmtId="173" fontId="2" fillId="0" borderId="29" xfId="3" applyNumberFormat="1" applyFont="1" applyBorder="1"/>
    <xf numFmtId="173" fontId="2" fillId="0" borderId="36" xfId="3" applyNumberFormat="1" applyFont="1" applyBorder="1"/>
    <xf numFmtId="165" fontId="2" fillId="0" borderId="34" xfId="1" applyNumberFormat="1" applyFont="1" applyBorder="1"/>
    <xf numFmtId="44" fontId="8" fillId="5" borderId="21" xfId="3" applyNumberFormat="1" applyFont="1" applyFill="1" applyBorder="1"/>
    <xf numFmtId="9" fontId="0" fillId="0" borderId="0" xfId="7" applyFont="1" applyFill="1" applyBorder="1"/>
    <xf numFmtId="0" fontId="28" fillId="6" borderId="24" xfId="0" applyFont="1" applyFill="1" applyBorder="1"/>
    <xf numFmtId="2" fontId="0" fillId="0" borderId="0" xfId="0" applyNumberFormat="1" applyFill="1" applyBorder="1"/>
    <xf numFmtId="0" fontId="28" fillId="6" borderId="4" xfId="0" applyFont="1" applyFill="1" applyBorder="1"/>
    <xf numFmtId="10" fontId="0" fillId="0" borderId="0" xfId="7" applyNumberFormat="1" applyFont="1" applyFill="1" applyBorder="1"/>
    <xf numFmtId="167" fontId="0" fillId="0" borderId="4" xfId="3" applyNumberFormat="1" applyFont="1" applyFill="1" applyBorder="1"/>
    <xf numFmtId="0" fontId="0" fillId="6" borderId="23" xfId="0" applyFill="1" applyBorder="1"/>
    <xf numFmtId="0" fontId="40" fillId="6" borderId="22" xfId="0" applyFont="1" applyFill="1" applyBorder="1"/>
    <xf numFmtId="0" fontId="17" fillId="6" borderId="23" xfId="0" applyFont="1" applyFill="1" applyBorder="1"/>
    <xf numFmtId="0" fontId="17" fillId="6" borderId="26" xfId="0" applyFont="1" applyFill="1" applyBorder="1"/>
    <xf numFmtId="0" fontId="3" fillId="6" borderId="23" xfId="0" applyFont="1" applyFill="1" applyBorder="1"/>
    <xf numFmtId="0" fontId="3" fillId="6" borderId="26" xfId="0" applyFont="1" applyFill="1" applyBorder="1"/>
    <xf numFmtId="0" fontId="17" fillId="6" borderId="4" xfId="0" applyFont="1" applyFill="1" applyBorder="1"/>
    <xf numFmtId="0" fontId="0" fillId="0" borderId="0" xfId="0" applyFill="1" applyBorder="1" applyAlignment="1">
      <alignment horizontal="center"/>
    </xf>
    <xf numFmtId="0" fontId="28" fillId="6" borderId="22" xfId="0" applyFont="1" applyFill="1" applyBorder="1"/>
    <xf numFmtId="1" fontId="0" fillId="6" borderId="26" xfId="1" applyNumberFormat="1" applyFont="1" applyFill="1" applyBorder="1" applyAlignment="1">
      <alignment horizontal="right"/>
    </xf>
    <xf numFmtId="1" fontId="0" fillId="0" borderId="4" xfId="1" applyNumberFormat="1" applyFont="1" applyFill="1" applyBorder="1" applyAlignment="1">
      <alignment horizontal="right"/>
    </xf>
    <xf numFmtId="0" fontId="7" fillId="0" borderId="9" xfId="0" applyFont="1" applyBorder="1"/>
    <xf numFmtId="0" fontId="7" fillId="0" borderId="10" xfId="0" applyFont="1" applyBorder="1"/>
    <xf numFmtId="0" fontId="7" fillId="0" borderId="14" xfId="0" applyFont="1" applyBorder="1"/>
    <xf numFmtId="0" fontId="7" fillId="0" borderId="15" xfId="0" applyFont="1" applyBorder="1"/>
    <xf numFmtId="0" fontId="22" fillId="0" borderId="9" xfId="0" applyFont="1" applyBorder="1" applyAlignment="1">
      <alignment horizontal="centerContinuous"/>
    </xf>
    <xf numFmtId="0" fontId="22" fillId="0" borderId="14" xfId="0" applyFont="1" applyBorder="1" applyAlignment="1">
      <alignment horizontal="centerContinuous"/>
    </xf>
    <xf numFmtId="0" fontId="33" fillId="0" borderId="8" xfId="0" applyFont="1" applyBorder="1"/>
    <xf numFmtId="0" fontId="13" fillId="0" borderId="11" xfId="0" applyFont="1" applyFill="1" applyBorder="1"/>
    <xf numFmtId="0" fontId="8" fillId="5" borderId="0" xfId="0" applyFont="1" applyFill="1"/>
    <xf numFmtId="0" fontId="0" fillId="0" borderId="0" xfId="0" quotePrefix="1" applyBorder="1"/>
    <xf numFmtId="0" fontId="0" fillId="0" borderId="39" xfId="0" applyBorder="1"/>
    <xf numFmtId="0" fontId="0" fillId="0" borderId="40" xfId="0" applyBorder="1"/>
    <xf numFmtId="0" fontId="43" fillId="5" borderId="1" xfId="0" applyFont="1" applyFill="1" applyBorder="1"/>
    <xf numFmtId="0" fontId="43" fillId="5" borderId="1" xfId="0" applyFont="1" applyFill="1" applyBorder="1" applyAlignment="1">
      <alignment horizontal="left"/>
    </xf>
    <xf numFmtId="0" fontId="43" fillId="5" borderId="41" xfId="0" applyFont="1" applyFill="1" applyBorder="1"/>
    <xf numFmtId="0" fontId="43" fillId="5" borderId="42" xfId="0" applyFont="1" applyFill="1" applyBorder="1"/>
    <xf numFmtId="1" fontId="2" fillId="2" borderId="0" xfId="2" applyNumberFormat="1" applyFont="1" applyFill="1" applyBorder="1" applyAlignment="1">
      <alignment horizontal="center" wrapText="1"/>
    </xf>
    <xf numFmtId="165" fontId="8" fillId="2" borderId="17" xfId="1" applyNumberFormat="1" applyFont="1" applyFill="1" applyBorder="1" applyAlignment="1">
      <alignment horizontal="center"/>
    </xf>
    <xf numFmtId="167" fontId="2" fillId="2" borderId="29" xfId="3" applyNumberFormat="1" applyFont="1" applyFill="1" applyBorder="1" applyAlignment="1">
      <alignment horizontal="center"/>
    </xf>
    <xf numFmtId="167" fontId="2" fillId="2" borderId="29" xfId="0" applyNumberFormat="1" applyFont="1" applyFill="1" applyBorder="1"/>
    <xf numFmtId="167" fontId="2" fillId="0" borderId="29" xfId="0" applyNumberFormat="1" applyFont="1" applyFill="1" applyBorder="1"/>
    <xf numFmtId="0" fontId="0" fillId="2" borderId="29" xfId="0" applyFill="1" applyBorder="1"/>
    <xf numFmtId="167" fontId="2" fillId="2" borderId="1" xfId="3" applyNumberFormat="1" applyFont="1" applyFill="1" applyBorder="1" applyAlignment="1">
      <alignment horizontal="center"/>
    </xf>
    <xf numFmtId="167" fontId="2" fillId="2" borderId="1" xfId="3" applyNumberFormat="1" applyFont="1" applyFill="1" applyBorder="1"/>
    <xf numFmtId="167" fontId="2" fillId="0" borderId="1" xfId="3" applyNumberFormat="1" applyFont="1" applyFill="1" applyBorder="1"/>
    <xf numFmtId="167" fontId="2" fillId="2" borderId="1" xfId="0" applyNumberFormat="1" applyFont="1" applyFill="1" applyBorder="1"/>
    <xf numFmtId="0" fontId="0" fillId="7" borderId="9" xfId="0" applyFill="1" applyBorder="1"/>
    <xf numFmtId="0" fontId="45" fillId="7" borderId="8" xfId="0" applyFont="1" applyFill="1" applyBorder="1"/>
    <xf numFmtId="0" fontId="0" fillId="0" borderId="0" xfId="0" applyBorder="1" applyAlignment="1">
      <alignment vertical="top"/>
    </xf>
    <xf numFmtId="10" fontId="7" fillId="2" borderId="0" xfId="7" applyNumberFormat="1" applyFont="1" applyFill="1" applyBorder="1" applyAlignment="1">
      <alignment horizontal="center"/>
    </xf>
    <xf numFmtId="168" fontId="2" fillId="0" borderId="0" xfId="0" applyNumberFormat="1" applyFont="1" applyFill="1" applyAlignment="1">
      <alignment horizontal="center"/>
    </xf>
    <xf numFmtId="10" fontId="0" fillId="2" borderId="0" xfId="7" applyNumberFormat="1" applyFont="1" applyFill="1" applyAlignment="1">
      <alignment horizontal="center"/>
    </xf>
    <xf numFmtId="10" fontId="0" fillId="0" borderId="0" xfId="7" applyNumberFormat="1" applyFont="1" applyFill="1" applyAlignment="1">
      <alignment horizontal="center"/>
    </xf>
    <xf numFmtId="10" fontId="7" fillId="2" borderId="0" xfId="7" applyNumberFormat="1" applyFont="1" applyFill="1" applyAlignment="1">
      <alignment horizontal="center"/>
    </xf>
    <xf numFmtId="10" fontId="7" fillId="0" borderId="0" xfId="7" applyNumberFormat="1" applyFont="1" applyFill="1" applyAlignment="1">
      <alignment horizontal="center"/>
    </xf>
    <xf numFmtId="210" fontId="7" fillId="2" borderId="0" xfId="1" applyNumberFormat="1" applyFont="1" applyFill="1" applyAlignment="1">
      <alignment horizontal="center"/>
    </xf>
    <xf numFmtId="210" fontId="7" fillId="0" borderId="0" xfId="1" applyNumberFormat="1" applyFont="1" applyFill="1" applyAlignment="1">
      <alignment horizontal="center"/>
    </xf>
    <xf numFmtId="165" fontId="27" fillId="2" borderId="0" xfId="1" applyNumberFormat="1" applyFont="1" applyFill="1" applyAlignment="1">
      <alignment horizontal="center"/>
    </xf>
    <xf numFmtId="167" fontId="2" fillId="0" borderId="1" xfId="3" applyNumberFormat="1" applyFont="1" applyFill="1" applyBorder="1" applyAlignment="1">
      <alignment horizontal="center"/>
    </xf>
    <xf numFmtId="165" fontId="27" fillId="2" borderId="0" xfId="1" applyNumberFormat="1" applyFont="1" applyFill="1"/>
    <xf numFmtId="165" fontId="27" fillId="2" borderId="17" xfId="1" applyNumberFormat="1" applyFont="1" applyFill="1" applyBorder="1"/>
    <xf numFmtId="167" fontId="2" fillId="0" borderId="1" xfId="0" applyNumberFormat="1" applyFont="1" applyFill="1" applyBorder="1"/>
    <xf numFmtId="165" fontId="27" fillId="2" borderId="17" xfId="1" applyNumberFormat="1" applyFont="1" applyFill="1" applyBorder="1" applyAlignment="1">
      <alignment horizontal="center"/>
    </xf>
    <xf numFmtId="165" fontId="8" fillId="0" borderId="0" xfId="1" applyNumberFormat="1" applyFont="1" applyFill="1" applyAlignment="1">
      <alignment horizontal="center"/>
    </xf>
    <xf numFmtId="165" fontId="27" fillId="0" borderId="0" xfId="1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165" fontId="27" fillId="0" borderId="17" xfId="1" applyNumberFormat="1" applyFont="1" applyFill="1" applyBorder="1" applyAlignment="1">
      <alignment horizontal="center"/>
    </xf>
    <xf numFmtId="165" fontId="7" fillId="0" borderId="0" xfId="1" applyNumberFormat="1" applyFont="1" applyFill="1" applyAlignment="1">
      <alignment horizontal="center"/>
    </xf>
    <xf numFmtId="165" fontId="7" fillId="2" borderId="0" xfId="1" applyNumberFormat="1" applyFont="1" applyFill="1" applyAlignment="1">
      <alignment horizontal="center"/>
    </xf>
    <xf numFmtId="0" fontId="8" fillId="0" borderId="0" xfId="0" applyFont="1" applyFill="1"/>
    <xf numFmtId="0" fontId="27" fillId="0" borderId="0" xfId="0" applyFont="1" applyFill="1"/>
    <xf numFmtId="18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75" fontId="7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top"/>
    </xf>
    <xf numFmtId="189" fontId="2" fillId="2" borderId="0" xfId="0" applyNumberFormat="1" applyFont="1" applyFill="1" applyBorder="1" applyAlignment="1">
      <alignment horizontal="right" vertical="top"/>
    </xf>
    <xf numFmtId="175" fontId="7" fillId="0" borderId="0" xfId="0" applyNumberFormat="1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2" fillId="0" borderId="29" xfId="0" applyFont="1" applyBorder="1"/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3" xfId="0" applyBorder="1"/>
    <xf numFmtId="0" fontId="0" fillId="0" borderId="2" xfId="0" applyBorder="1"/>
    <xf numFmtId="0" fontId="0" fillId="0" borderId="28" xfId="0" applyBorder="1"/>
    <xf numFmtId="0" fontId="0" fillId="0" borderId="37" xfId="0" applyBorder="1"/>
    <xf numFmtId="0" fontId="0" fillId="0" borderId="43" xfId="0" applyBorder="1"/>
    <xf numFmtId="167" fontId="2" fillId="2" borderId="36" xfId="3" applyNumberFormat="1" applyFont="1" applyFill="1" applyBorder="1" applyAlignment="1">
      <alignment horizontal="center"/>
    </xf>
    <xf numFmtId="165" fontId="8" fillId="0" borderId="35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67" fontId="2" fillId="0" borderId="1" xfId="3" applyNumberFormat="1" applyFont="1" applyBorder="1"/>
    <xf numFmtId="10" fontId="8" fillId="5" borderId="0" xfId="7" applyNumberFormat="1" applyFont="1" applyFill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167" fontId="2" fillId="2" borderId="0" xfId="3" applyNumberFormat="1" applyFont="1" applyFill="1" applyBorder="1" applyAlignment="1">
      <alignment horizontal="center"/>
    </xf>
    <xf numFmtId="0" fontId="7" fillId="0" borderId="0" xfId="0" applyFont="1" applyBorder="1" applyAlignment="1">
      <alignment vertical="top"/>
    </xf>
    <xf numFmtId="175" fontId="2" fillId="0" borderId="0" xfId="0" applyNumberFormat="1" applyFont="1" applyBorder="1" applyAlignment="1">
      <alignment horizontal="left"/>
    </xf>
    <xf numFmtId="175" fontId="0" fillId="0" borderId="0" xfId="0" applyNumberFormat="1"/>
    <xf numFmtId="175" fontId="0" fillId="0" borderId="0" xfId="0" applyNumberFormat="1" applyBorder="1"/>
    <xf numFmtId="165" fontId="8" fillId="2" borderId="1" xfId="1" applyNumberFormat="1" applyFont="1" applyFill="1" applyBorder="1" applyAlignment="1">
      <alignment horizontal="center"/>
    </xf>
    <xf numFmtId="165" fontId="8" fillId="0" borderId="28" xfId="1" applyNumberFormat="1" applyFont="1" applyFill="1" applyBorder="1" applyAlignment="1">
      <alignment horizontal="center"/>
    </xf>
    <xf numFmtId="165" fontId="0" fillId="0" borderId="1" xfId="0" applyNumberFormat="1" applyBorder="1"/>
    <xf numFmtId="175" fontId="2" fillId="0" borderId="0" xfId="0" applyNumberFormat="1" applyFont="1" applyFill="1" applyBorder="1" applyAlignment="1">
      <alignment horizontal="left" wrapText="1"/>
    </xf>
    <xf numFmtId="165" fontId="2" fillId="0" borderId="0" xfId="0" applyNumberFormat="1" applyFont="1" applyFill="1" applyBorder="1"/>
    <xf numFmtId="165" fontId="27" fillId="2" borderId="1" xfId="1" applyNumberFormat="1" applyFont="1" applyFill="1" applyBorder="1" applyAlignment="1">
      <alignment horizontal="center"/>
    </xf>
    <xf numFmtId="167" fontId="38" fillId="2" borderId="1" xfId="3" applyNumberFormat="1" applyFont="1" applyFill="1" applyBorder="1"/>
    <xf numFmtId="167" fontId="38" fillId="2" borderId="0" xfId="3" applyNumberFormat="1" applyFont="1" applyFill="1" applyBorder="1"/>
    <xf numFmtId="0" fontId="27" fillId="2" borderId="0" xfId="0" applyFont="1" applyFill="1"/>
    <xf numFmtId="167" fontId="38" fillId="2" borderId="1" xfId="3" applyNumberFormat="1" applyFont="1" applyFill="1" applyBorder="1" applyAlignment="1">
      <alignment horizontal="center"/>
    </xf>
    <xf numFmtId="167" fontId="38" fillId="2" borderId="0" xfId="3" applyNumberFormat="1" applyFont="1" applyFill="1" applyBorder="1" applyAlignment="1">
      <alignment horizontal="center"/>
    </xf>
    <xf numFmtId="167" fontId="38" fillId="2" borderId="29" xfId="0" applyNumberFormat="1" applyFont="1" applyFill="1" applyBorder="1"/>
    <xf numFmtId="167" fontId="38" fillId="2" borderId="1" xfId="0" applyNumberFormat="1" applyFont="1" applyFill="1" applyBorder="1"/>
    <xf numFmtId="165" fontId="1" fillId="4" borderId="0" xfId="1" applyNumberFormat="1" applyFill="1"/>
    <xf numFmtId="166" fontId="1" fillId="0" borderId="0" xfId="7" applyNumberFormat="1" applyBorder="1"/>
    <xf numFmtId="1" fontId="2" fillId="0" borderId="23" xfId="4" applyNumberFormat="1" applyFont="1" applyFill="1" applyBorder="1" applyAlignment="1">
      <alignment horizontal="center" wrapText="1"/>
    </xf>
    <xf numFmtId="166" fontId="1" fillId="0" borderId="1" xfId="7" applyNumberFormat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165" fontId="27" fillId="0" borderId="0" xfId="1" applyNumberFormat="1" applyFont="1" applyFill="1" applyBorder="1" applyAlignment="1">
      <alignment horizontal="center"/>
    </xf>
    <xf numFmtId="0" fontId="8" fillId="6" borderId="0" xfId="0" applyFont="1" applyFill="1"/>
    <xf numFmtId="167" fontId="0" fillId="0" borderId="0" xfId="0" applyNumberFormat="1"/>
    <xf numFmtId="165" fontId="0" fillId="0" borderId="25" xfId="0" applyNumberFormat="1" applyBorder="1"/>
    <xf numFmtId="165" fontId="2" fillId="0" borderId="0" xfId="0" applyNumberFormat="1" applyFont="1" applyBorder="1"/>
    <xf numFmtId="167" fontId="38" fillId="0" borderId="1" xfId="3" applyNumberFormat="1" applyFont="1" applyFill="1" applyBorder="1"/>
    <xf numFmtId="167" fontId="2" fillId="0" borderId="29" xfId="0" applyNumberFormat="1" applyFont="1" applyBorder="1"/>
    <xf numFmtId="0" fontId="2" fillId="2" borderId="29" xfId="0" applyFont="1" applyFill="1" applyBorder="1"/>
    <xf numFmtId="165" fontId="42" fillId="2" borderId="29" xfId="0" applyNumberFormat="1" applyFont="1" applyFill="1" applyBorder="1"/>
    <xf numFmtId="165" fontId="2" fillId="0" borderId="29" xfId="0" applyNumberFormat="1" applyFont="1" applyBorder="1"/>
    <xf numFmtId="171" fontId="1" fillId="0" borderId="0" xfId="1" applyNumberFormat="1" applyBorder="1"/>
    <xf numFmtId="8" fontId="0" fillId="0" borderId="0" xfId="0" applyNumberFormat="1"/>
    <xf numFmtId="14" fontId="0" fillId="0" borderId="0" xfId="0" applyNumberFormat="1"/>
    <xf numFmtId="213" fontId="0" fillId="0" borderId="0" xfId="0" applyNumberFormat="1"/>
    <xf numFmtId="167" fontId="7" fillId="2" borderId="1" xfId="3" applyNumberFormat="1" applyFont="1" applyFill="1" applyBorder="1" applyAlignment="1">
      <alignment horizontal="center"/>
    </xf>
    <xf numFmtId="167" fontId="7" fillId="0" borderId="1" xfId="3" applyNumberFormat="1" applyFont="1" applyFill="1" applyBorder="1" applyAlignment="1">
      <alignment horizontal="center"/>
    </xf>
    <xf numFmtId="167" fontId="7" fillId="2" borderId="1" xfId="3" applyNumberFormat="1" applyFont="1" applyFill="1" applyBorder="1"/>
    <xf numFmtId="167" fontId="7" fillId="0" borderId="1" xfId="3" applyNumberFormat="1" applyFont="1" applyFill="1" applyBorder="1"/>
    <xf numFmtId="167" fontId="0" fillId="2" borderId="0" xfId="0" applyNumberFormat="1" applyFill="1"/>
    <xf numFmtId="167" fontId="7" fillId="2" borderId="0" xfId="0" applyNumberFormat="1" applyFont="1" applyFill="1" applyBorder="1"/>
    <xf numFmtId="167" fontId="2" fillId="0" borderId="36" xfId="3" applyNumberFormat="1" applyFont="1" applyFill="1" applyBorder="1"/>
    <xf numFmtId="165" fontId="1" fillId="3" borderId="22" xfId="1" applyNumberFormat="1" applyFont="1" applyFill="1" applyBorder="1" applyAlignment="1">
      <alignment horizontal="center"/>
    </xf>
    <xf numFmtId="165" fontId="1" fillId="3" borderId="23" xfId="1" applyNumberFormat="1" applyFill="1" applyBorder="1" applyAlignment="1">
      <alignment horizontal="center"/>
    </xf>
    <xf numFmtId="165" fontId="1" fillId="3" borderId="23" xfId="1" applyNumberFormat="1" applyFill="1" applyBorder="1"/>
    <xf numFmtId="165" fontId="6" fillId="3" borderId="24" xfId="1" applyNumberFormat="1" applyFont="1" applyFill="1" applyBorder="1" applyAlignment="1">
      <alignment horizontal="center"/>
    </xf>
    <xf numFmtId="165" fontId="1" fillId="3" borderId="24" xfId="1" applyNumberFormat="1" applyFill="1" applyBorder="1"/>
    <xf numFmtId="165" fontId="1" fillId="3" borderId="4" xfId="1" applyNumberFormat="1" applyFill="1" applyBorder="1"/>
    <xf numFmtId="165" fontId="7" fillId="3" borderId="28" xfId="1" applyNumberFormat="1" applyFont="1" applyFill="1" applyBorder="1"/>
    <xf numFmtId="164" fontId="7" fillId="3" borderId="17" xfId="1" applyNumberFormat="1" applyFont="1" applyFill="1" applyBorder="1" applyAlignment="1">
      <alignment horizontal="center"/>
    </xf>
    <xf numFmtId="165" fontId="7" fillId="3" borderId="17" xfId="1" applyNumberFormat="1" applyFont="1" applyFill="1" applyBorder="1" applyAlignment="1">
      <alignment horizontal="center"/>
    </xf>
    <xf numFmtId="10" fontId="7" fillId="3" borderId="17" xfId="7" applyNumberFormat="1" applyFont="1" applyFill="1" applyBorder="1"/>
    <xf numFmtId="167" fontId="2" fillId="3" borderId="1" xfId="3" applyNumberFormat="1" applyFont="1" applyFill="1" applyBorder="1"/>
    <xf numFmtId="167" fontId="2" fillId="3" borderId="3" xfId="3" applyNumberFormat="1" applyFont="1" applyFill="1" applyBorder="1"/>
    <xf numFmtId="0" fontId="33" fillId="0" borderId="44" xfId="0" applyFont="1" applyBorder="1"/>
    <xf numFmtId="0" fontId="13" fillId="0" borderId="45" xfId="0" applyFont="1" applyFill="1" applyBorder="1"/>
    <xf numFmtId="0" fontId="13" fillId="0" borderId="46" xfId="0" applyFont="1" applyFill="1" applyBorder="1"/>
    <xf numFmtId="14" fontId="2" fillId="0" borderId="17" xfId="2" applyNumberFormat="1" applyFont="1" applyBorder="1" applyAlignment="1">
      <alignment horizontal="center" wrapText="1"/>
    </xf>
    <xf numFmtId="166" fontId="46" fillId="5" borderId="0" xfId="7" applyNumberFormat="1" applyFont="1" applyFill="1" applyBorder="1" applyAlignment="1">
      <alignment horizontal="center"/>
    </xf>
    <xf numFmtId="166" fontId="46" fillId="5" borderId="4" xfId="7" applyNumberFormat="1" applyFont="1" applyFill="1" applyBorder="1" applyAlignment="1">
      <alignment horizontal="center"/>
    </xf>
    <xf numFmtId="166" fontId="8" fillId="5" borderId="2" xfId="7" applyNumberFormat="1" applyFont="1" applyFill="1" applyBorder="1" applyAlignment="1">
      <alignment horizontal="center"/>
    </xf>
    <xf numFmtId="10" fontId="8" fillId="5" borderId="1" xfId="7" applyNumberFormat="1" applyFont="1" applyFill="1" applyBorder="1" applyAlignment="1">
      <alignment horizontal="center"/>
    </xf>
    <xf numFmtId="0" fontId="2" fillId="2" borderId="0" xfId="0" applyFont="1" applyFill="1"/>
    <xf numFmtId="167" fontId="38" fillId="0" borderId="29" xfId="0" applyNumberFormat="1" applyFont="1" applyFill="1" applyBorder="1"/>
    <xf numFmtId="167" fontId="38" fillId="0" borderId="37" xfId="0" applyNumberFormat="1" applyFont="1" applyFill="1" applyBorder="1"/>
    <xf numFmtId="167" fontId="38" fillId="0" borderId="43" xfId="0" applyNumberFormat="1" applyFont="1" applyFill="1" applyBorder="1"/>
    <xf numFmtId="167" fontId="2" fillId="0" borderId="2" xfId="0" applyNumberFormat="1" applyFont="1" applyBorder="1"/>
    <xf numFmtId="167" fontId="2" fillId="0" borderId="37" xfId="0" applyNumberFormat="1" applyFont="1" applyBorder="1"/>
    <xf numFmtId="165" fontId="27" fillId="0" borderId="35" xfId="1" applyNumberFormat="1" applyFont="1" applyFill="1" applyBorder="1" applyAlignment="1">
      <alignment horizontal="center"/>
    </xf>
    <xf numFmtId="10" fontId="8" fillId="5" borderId="3" xfId="7" applyNumberFormat="1" applyFont="1" applyFill="1" applyBorder="1" applyAlignment="1">
      <alignment horizontal="center"/>
    </xf>
    <xf numFmtId="166" fontId="8" fillId="5" borderId="1" xfId="7" applyNumberFormat="1" applyFont="1" applyFill="1" applyBorder="1" applyAlignment="1">
      <alignment horizontal="center"/>
    </xf>
    <xf numFmtId="0" fontId="44" fillId="6" borderId="8" xfId="0" applyFont="1" applyFill="1" applyBorder="1" applyAlignment="1">
      <alignment horizontal="center"/>
    </xf>
    <xf numFmtId="0" fontId="44" fillId="6" borderId="9" xfId="0" applyFont="1" applyFill="1" applyBorder="1" applyAlignment="1">
      <alignment horizontal="center"/>
    </xf>
    <xf numFmtId="0" fontId="44" fillId="6" borderId="10" xfId="0" applyFont="1" applyFill="1" applyBorder="1" applyAlignment="1">
      <alignment horizontal="center"/>
    </xf>
    <xf numFmtId="0" fontId="43" fillId="5" borderId="11" xfId="0" applyFont="1" applyFill="1" applyBorder="1" applyAlignment="1">
      <alignment horizontal="center"/>
    </xf>
    <xf numFmtId="0" fontId="43" fillId="5" borderId="4" xfId="0" applyFont="1" applyFill="1" applyBorder="1" applyAlignment="1">
      <alignment horizontal="center"/>
    </xf>
    <xf numFmtId="0" fontId="43" fillId="5" borderId="24" xfId="0" applyFont="1" applyFill="1" applyBorder="1" applyAlignment="1">
      <alignment horizontal="center"/>
    </xf>
    <xf numFmtId="0" fontId="43" fillId="5" borderId="12" xfId="0" applyFont="1" applyFill="1" applyBorder="1" applyAlignment="1">
      <alignment horizontal="center"/>
    </xf>
    <xf numFmtId="0" fontId="28" fillId="6" borderId="8" xfId="0" applyFont="1" applyFill="1" applyBorder="1" applyAlignment="1">
      <alignment horizontal="center"/>
    </xf>
    <xf numFmtId="0" fontId="28" fillId="6" borderId="9" xfId="0" applyFont="1" applyFill="1" applyBorder="1" applyAlignment="1">
      <alignment horizontal="center"/>
    </xf>
    <xf numFmtId="0" fontId="28" fillId="6" borderId="10" xfId="0" applyFont="1" applyFill="1" applyBorder="1" applyAlignment="1">
      <alignment horizontal="center"/>
    </xf>
    <xf numFmtId="165" fontId="19" fillId="3" borderId="8" xfId="1" applyNumberFormat="1" applyFont="1" applyFill="1" applyBorder="1" applyAlignment="1">
      <alignment horizontal="center"/>
    </xf>
    <xf numFmtId="165" fontId="19" fillId="3" borderId="9" xfId="1" applyNumberFormat="1" applyFont="1" applyFill="1" applyBorder="1" applyAlignment="1">
      <alignment horizontal="center"/>
    </xf>
    <xf numFmtId="165" fontId="19" fillId="3" borderId="10" xfId="1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13" fillId="0" borderId="15" xfId="0" applyFont="1" applyFill="1" applyBorder="1" applyAlignment="1">
      <alignment horizontal="left"/>
    </xf>
    <xf numFmtId="165" fontId="6" fillId="3" borderId="23" xfId="1" applyNumberFormat="1" applyFont="1" applyFill="1" applyBorder="1" applyAlignment="1">
      <alignment horizontal="center"/>
    </xf>
    <xf numFmtId="165" fontId="6" fillId="3" borderId="26" xfId="1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5" fontId="6" fillId="3" borderId="9" xfId="1" applyNumberFormat="1" applyFont="1" applyFill="1" applyBorder="1" applyAlignment="1">
      <alignment horizontal="center"/>
    </xf>
    <xf numFmtId="165" fontId="6" fillId="3" borderId="10" xfId="1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9">
    <cellStyle name="Comma" xfId="1" builtinId="3"/>
    <cellStyle name="Comma_Crane SSB DCF08_30_00(6)" xfId="2"/>
    <cellStyle name="Currency" xfId="3" builtinId="4"/>
    <cellStyle name="Normal" xfId="0" builtinId="0"/>
    <cellStyle name="Normal_CONSOLIDATED" xfId="4"/>
    <cellStyle name="Normal_Crane SSB DCF08_30_00(6)" xfId="5"/>
    <cellStyle name="Normal_Project Zen~Full DCF 211299" xfId="6"/>
    <cellStyle name="Percent" xfId="7" builtinId="5"/>
    <cellStyle name="Table Title" xfId="8"/>
  </cellStyles>
  <dxfs count="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#REF!" fmlaRange="$B$50:$B$52" noThreeD="1" sel="1" val="0"/>
</file>

<file path=xl/ctrlProps/ctrlProp2.xml><?xml version="1.0" encoding="utf-8"?>
<formControlPr xmlns="http://schemas.microsoft.com/office/spreadsheetml/2009/9/main" objectType="Drop" dropStyle="combo" dx="22" fmlaLink="#REF!" fmlaRange="$B$50:$B$52" noThreeD="1" sel="1" val="0"/>
</file>

<file path=xl/ctrlProps/ctrlProp3.xml><?xml version="1.0" encoding="utf-8"?>
<formControlPr xmlns="http://schemas.microsoft.com/office/spreadsheetml/2009/9/main" objectType="Drop" dropStyle="combo" dx="22" fmlaLink="'Pipeline Co DCF'!#REF!" fmlaRange="$B$50:$B$52" noThreeD="1" sel="1" val="0"/>
</file>

<file path=xl/ctrlProps/ctrlProp4.xml><?xml version="1.0" encoding="utf-8"?>
<formControlPr xmlns="http://schemas.microsoft.com/office/spreadsheetml/2009/9/main" objectType="Drop" dropStyle="combo" dx="22" fmlaLink="#REF!" fmlaRange="$B$56:$B$58" noThreeD="1" sel="1" val="0"/>
</file>

<file path=xl/ctrlProps/ctrlProp5.xml><?xml version="1.0" encoding="utf-8"?>
<formControlPr xmlns="http://schemas.microsoft.com/office/spreadsheetml/2009/9/main" objectType="Drop" dropStyle="combo" dx="22" fmlaLink="#REF!" fmlaRange="$B$56:$B$58" noThreeD="1" sel="1" val="0"/>
</file>

<file path=xl/ctrlProps/ctrlProp6.xml><?xml version="1.0" encoding="utf-8"?>
<formControlPr xmlns="http://schemas.microsoft.com/office/spreadsheetml/2009/9/main" objectType="Drop" dropStyle="combo" dx="22" fmlaLink="'Pipeline Co DCF'!#REF!" fmlaRange="$B$56:$B$58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41</xdr:row>
      <xdr:rowOff>19050</xdr:rowOff>
    </xdr:from>
    <xdr:to>
      <xdr:col>9</xdr:col>
      <xdr:colOff>200025</xdr:colOff>
      <xdr:row>42</xdr:row>
      <xdr:rowOff>142875</xdr:rowOff>
    </xdr:to>
    <xdr:sp macro="[0]!Consumers" textlink="">
      <xdr:nvSpPr>
        <xdr:cNvPr id="22549" name="Rectangle 21"/>
        <xdr:cNvSpPr>
          <a:spLocks noChangeArrowheads="1"/>
        </xdr:cNvSpPr>
      </xdr:nvSpPr>
      <xdr:spPr bwMode="auto">
        <a:xfrm>
          <a:off x="8143875" y="7229475"/>
          <a:ext cx="149542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9525</xdr:colOff>
      <xdr:row>44</xdr:row>
      <xdr:rowOff>28575</xdr:rowOff>
    </xdr:from>
    <xdr:to>
      <xdr:col>9</xdr:col>
      <xdr:colOff>219075</xdr:colOff>
      <xdr:row>45</xdr:row>
      <xdr:rowOff>142875</xdr:rowOff>
    </xdr:to>
    <xdr:sp macro="[0]!Other" textlink="">
      <xdr:nvSpPr>
        <xdr:cNvPr id="22551" name="Rectangle 23"/>
        <xdr:cNvSpPr>
          <a:spLocks noChangeArrowheads="1"/>
        </xdr:cNvSpPr>
      </xdr:nvSpPr>
      <xdr:spPr bwMode="auto">
        <a:xfrm>
          <a:off x="8134350" y="7724775"/>
          <a:ext cx="152400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9525</xdr:colOff>
      <xdr:row>38</xdr:row>
      <xdr:rowOff>19050</xdr:rowOff>
    </xdr:from>
    <xdr:to>
      <xdr:col>9</xdr:col>
      <xdr:colOff>200025</xdr:colOff>
      <xdr:row>39</xdr:row>
      <xdr:rowOff>133350</xdr:rowOff>
    </xdr:to>
    <xdr:sp macro="[0]!Transmission" textlink="">
      <xdr:nvSpPr>
        <xdr:cNvPr id="22552" name="Rectangle 24"/>
        <xdr:cNvSpPr>
          <a:spLocks noChangeArrowheads="1"/>
        </xdr:cNvSpPr>
      </xdr:nvSpPr>
      <xdr:spPr bwMode="auto">
        <a:xfrm>
          <a:off x="8134350" y="6743700"/>
          <a:ext cx="150495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36</xdr:row>
          <xdr:rowOff>476250</xdr:rowOff>
        </xdr:from>
        <xdr:to>
          <xdr:col>6</xdr:col>
          <xdr:colOff>66675</xdr:colOff>
          <xdr:row>38</xdr:row>
          <xdr:rowOff>38100</xdr:rowOff>
        </xdr:to>
        <xdr:sp macro="" textlink="">
          <xdr:nvSpPr>
            <xdr:cNvPr id="22555" name="Drop Down 27" hidden="1">
              <a:extLst>
                <a:ext uri="{63B3BB69-23CF-44E3-9099-C40C66FF867C}">
                  <a14:compatExt spid="_x0000_s2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40</xdr:row>
          <xdr:rowOff>9525</xdr:rowOff>
        </xdr:from>
        <xdr:to>
          <xdr:col>6</xdr:col>
          <xdr:colOff>47625</xdr:colOff>
          <xdr:row>41</xdr:row>
          <xdr:rowOff>47625</xdr:rowOff>
        </xdr:to>
        <xdr:sp macro="" textlink="">
          <xdr:nvSpPr>
            <xdr:cNvPr id="22558" name="Drop Down 30" hidden="1">
              <a:extLst>
                <a:ext uri="{63B3BB69-23CF-44E3-9099-C40C66FF867C}">
                  <a14:compatExt spid="_x0000_s2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43</xdr:row>
          <xdr:rowOff>9525</xdr:rowOff>
        </xdr:from>
        <xdr:to>
          <xdr:col>6</xdr:col>
          <xdr:colOff>66675</xdr:colOff>
          <xdr:row>44</xdr:row>
          <xdr:rowOff>47625</xdr:rowOff>
        </xdr:to>
        <xdr:sp macro="" textlink="">
          <xdr:nvSpPr>
            <xdr:cNvPr id="22559" name="Drop Down 31" hidden="1">
              <a:extLst>
                <a:ext uri="{63B3BB69-23CF-44E3-9099-C40C66FF867C}">
                  <a14:compatExt spid="_x0000_s2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37</xdr:row>
          <xdr:rowOff>9525</xdr:rowOff>
        </xdr:from>
        <xdr:to>
          <xdr:col>6</xdr:col>
          <xdr:colOff>1219200</xdr:colOff>
          <xdr:row>38</xdr:row>
          <xdr:rowOff>66675</xdr:rowOff>
        </xdr:to>
        <xdr:sp macro="" textlink="">
          <xdr:nvSpPr>
            <xdr:cNvPr id="22560" name="Drop Down 32" hidden="1">
              <a:extLst>
                <a:ext uri="{63B3BB69-23CF-44E3-9099-C40C66FF867C}">
                  <a14:compatExt spid="_x0000_s2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40</xdr:row>
          <xdr:rowOff>9525</xdr:rowOff>
        </xdr:from>
        <xdr:to>
          <xdr:col>6</xdr:col>
          <xdr:colOff>1247775</xdr:colOff>
          <xdr:row>41</xdr:row>
          <xdr:rowOff>76200</xdr:rowOff>
        </xdr:to>
        <xdr:sp macro="" textlink="">
          <xdr:nvSpPr>
            <xdr:cNvPr id="22561" name="Drop Down 33" hidden="1">
              <a:extLst>
                <a:ext uri="{63B3BB69-23CF-44E3-9099-C40C66FF867C}">
                  <a14:compatExt spid="_x0000_s2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9525</xdr:rowOff>
        </xdr:from>
        <xdr:to>
          <xdr:col>6</xdr:col>
          <xdr:colOff>1228725</xdr:colOff>
          <xdr:row>44</xdr:row>
          <xdr:rowOff>66675</xdr:rowOff>
        </xdr:to>
        <xdr:sp macro="" textlink="">
          <xdr:nvSpPr>
            <xdr:cNvPr id="22562" name="Drop Down 34" hidden="1">
              <a:extLst>
                <a:ext uri="{63B3BB69-23CF-44E3-9099-C40C66FF867C}">
                  <a14:compatExt spid="_x0000_s2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83</xdr:row>
      <xdr:rowOff>9525</xdr:rowOff>
    </xdr:from>
    <xdr:to>
      <xdr:col>9</xdr:col>
      <xdr:colOff>457200</xdr:colOff>
      <xdr:row>87</xdr:row>
      <xdr:rowOff>28575</xdr:rowOff>
    </xdr:to>
    <xdr:sp macro="[0]!UnleveredConsolidated" textlink="">
      <xdr:nvSpPr>
        <xdr:cNvPr id="5279" name="Oval 159"/>
        <xdr:cNvSpPr>
          <a:spLocks noChangeArrowheads="1"/>
        </xdr:cNvSpPr>
      </xdr:nvSpPr>
      <xdr:spPr bwMode="auto">
        <a:xfrm>
          <a:off x="8334375" y="14001750"/>
          <a:ext cx="1371600" cy="714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190500</xdr:colOff>
      <xdr:row>1</xdr:row>
      <xdr:rowOff>9525</xdr:rowOff>
    </xdr:from>
    <xdr:to>
      <xdr:col>4</xdr:col>
      <xdr:colOff>552450</xdr:colOff>
      <xdr:row>3</xdr:row>
      <xdr:rowOff>142875</xdr:rowOff>
    </xdr:to>
    <xdr:sp macro="[0]!UnleveredConsolidated" textlink="">
      <xdr:nvSpPr>
        <xdr:cNvPr id="5280" name="Rectangle 160"/>
        <xdr:cNvSpPr>
          <a:spLocks noChangeArrowheads="1"/>
        </xdr:cNvSpPr>
      </xdr:nvSpPr>
      <xdr:spPr bwMode="auto">
        <a:xfrm>
          <a:off x="4533900" y="276225"/>
          <a:ext cx="109537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41</xdr:row>
      <xdr:rowOff>0</xdr:rowOff>
    </xdr:from>
    <xdr:to>
      <xdr:col>5</xdr:col>
      <xdr:colOff>219075</xdr:colOff>
      <xdr:row>44</xdr:row>
      <xdr:rowOff>161925</xdr:rowOff>
    </xdr:to>
    <xdr:sp macro="[0]!Transmission" textlink="">
      <xdr:nvSpPr>
        <xdr:cNvPr id="31756" name="Oval 12"/>
        <xdr:cNvSpPr>
          <a:spLocks noChangeArrowheads="1"/>
        </xdr:cNvSpPr>
      </xdr:nvSpPr>
      <xdr:spPr bwMode="auto">
        <a:xfrm>
          <a:off x="3238500" y="6962775"/>
          <a:ext cx="151447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152400</xdr:colOff>
      <xdr:row>1</xdr:row>
      <xdr:rowOff>0</xdr:rowOff>
    </xdr:from>
    <xdr:to>
      <xdr:col>4</xdr:col>
      <xdr:colOff>371475</xdr:colOff>
      <xdr:row>3</xdr:row>
      <xdr:rowOff>9525</xdr:rowOff>
    </xdr:to>
    <xdr:sp macro="[0]!Transmission" textlink="">
      <xdr:nvSpPr>
        <xdr:cNvPr id="31758" name="Rectangle 14"/>
        <xdr:cNvSpPr>
          <a:spLocks noChangeArrowheads="1"/>
        </xdr:cNvSpPr>
      </xdr:nvSpPr>
      <xdr:spPr bwMode="auto">
        <a:xfrm>
          <a:off x="2743200" y="257175"/>
          <a:ext cx="1190625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39</xdr:row>
      <xdr:rowOff>0</xdr:rowOff>
    </xdr:from>
    <xdr:to>
      <xdr:col>5</xdr:col>
      <xdr:colOff>219075</xdr:colOff>
      <xdr:row>42</xdr:row>
      <xdr:rowOff>161925</xdr:rowOff>
    </xdr:to>
    <xdr:sp macro="[0]!Consumers" textlink="">
      <xdr:nvSpPr>
        <xdr:cNvPr id="43018" name="Oval 10"/>
        <xdr:cNvSpPr>
          <a:spLocks noChangeArrowheads="1"/>
        </xdr:cNvSpPr>
      </xdr:nvSpPr>
      <xdr:spPr bwMode="auto">
        <a:xfrm>
          <a:off x="4733925" y="6753225"/>
          <a:ext cx="151447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152400</xdr:colOff>
      <xdr:row>1</xdr:row>
      <xdr:rowOff>0</xdr:rowOff>
    </xdr:from>
    <xdr:to>
      <xdr:col>4</xdr:col>
      <xdr:colOff>371475</xdr:colOff>
      <xdr:row>3</xdr:row>
      <xdr:rowOff>9525</xdr:rowOff>
    </xdr:to>
    <xdr:sp macro="[0]!Consumers" textlink="">
      <xdr:nvSpPr>
        <xdr:cNvPr id="43019" name="Rectangle 11"/>
        <xdr:cNvSpPr>
          <a:spLocks noChangeArrowheads="1"/>
        </xdr:cNvSpPr>
      </xdr:nvSpPr>
      <xdr:spPr bwMode="auto">
        <a:xfrm>
          <a:off x="4238625" y="257175"/>
          <a:ext cx="1190625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39</xdr:row>
      <xdr:rowOff>0</xdr:rowOff>
    </xdr:from>
    <xdr:to>
      <xdr:col>5</xdr:col>
      <xdr:colOff>219075</xdr:colOff>
      <xdr:row>42</xdr:row>
      <xdr:rowOff>161925</xdr:rowOff>
    </xdr:to>
    <xdr:sp macro="[0]!Other" textlink="">
      <xdr:nvSpPr>
        <xdr:cNvPr id="44042" name="Oval 10"/>
        <xdr:cNvSpPr>
          <a:spLocks noChangeArrowheads="1"/>
        </xdr:cNvSpPr>
      </xdr:nvSpPr>
      <xdr:spPr bwMode="auto">
        <a:xfrm>
          <a:off x="4733925" y="6724650"/>
          <a:ext cx="151447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152400</xdr:colOff>
      <xdr:row>1</xdr:row>
      <xdr:rowOff>0</xdr:rowOff>
    </xdr:from>
    <xdr:to>
      <xdr:col>4</xdr:col>
      <xdr:colOff>371475</xdr:colOff>
      <xdr:row>3</xdr:row>
      <xdr:rowOff>9525</xdr:rowOff>
    </xdr:to>
    <xdr:sp macro="[0]!Other" textlink="">
      <xdr:nvSpPr>
        <xdr:cNvPr id="44043" name="Rectangle 11"/>
        <xdr:cNvSpPr>
          <a:spLocks noChangeArrowheads="1"/>
        </xdr:cNvSpPr>
      </xdr:nvSpPr>
      <xdr:spPr bwMode="auto">
        <a:xfrm>
          <a:off x="4238625" y="228600"/>
          <a:ext cx="1190625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nron%20Ind%20Markets/Excel%20Files/Crane/Active%20Cranes/Final_Quebec_120100_360%20(used%20by%20RAC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C"/>
      <sheetName val="Summary"/>
      <sheetName val="P&amp;L"/>
      <sheetName val="BS"/>
      <sheetName val="CFS"/>
      <sheetName val="DCF_CAN"/>
      <sheetName val="DCF_US"/>
      <sheetName val="Financing Assumptions"/>
      <sheetName val="Volume Assumptions"/>
      <sheetName val="Curves Assumptions"/>
      <sheetName val="Other Assumptions"/>
      <sheetName val="Pricing"/>
      <sheetName val="Fiber Flow"/>
      <sheetName val="Energy"/>
      <sheetName val="Depr"/>
      <sheetName val="Amort"/>
      <sheetName val="Taxes"/>
      <sheetName val="Debt"/>
      <sheetName val="Leduc"/>
      <sheetName val="Ste-Aurelie"/>
      <sheetName val="Appendix"/>
      <sheetName val="Costs"/>
      <sheetName val="Print Controls"/>
      <sheetName val="Quebec - Natural Gas"/>
      <sheetName val=" Quebec - Steam (QUC)"/>
      <sheetName val="Quebec - Bunker Fuel"/>
      <sheetName val="Contingent Liabilities"/>
      <sheetName val="Fiber flow backup"/>
      <sheetName val="LOG"/>
      <sheetName val="RAROC Assumptions"/>
      <sheetName val="RAROC Valuation"/>
      <sheetName val="Price Forecast"/>
      <sheetName val="Fuel Oil"/>
      <sheetName val="LIBOR"/>
      <sheetName val="USInf"/>
      <sheetName val="Canada"/>
      <sheetName val="SENS"/>
      <sheetName val="Sensitivities"/>
      <sheetName val="PrintMacro"/>
    </sheetNames>
    <sheetDataSet>
      <sheetData sheetId="0" refreshError="1"/>
      <sheetData sheetId="1" refreshError="1"/>
      <sheetData sheetId="2" refreshError="1"/>
      <sheetData sheetId="3">
        <row r="6">
          <cell r="B6" t="str">
            <v>(All numbers in Canadian dollars unless noted)</v>
          </cell>
        </row>
        <row r="13">
          <cell r="E13">
            <v>127.40856641696432</v>
          </cell>
          <cell r="F13">
            <v>121.42941878113416</v>
          </cell>
          <cell r="G13">
            <v>92.074595205227013</v>
          </cell>
          <cell r="H13">
            <v>134.94123720598307</v>
          </cell>
          <cell r="I13">
            <v>95.274919492697478</v>
          </cell>
          <cell r="J13">
            <v>105.34133425940466</v>
          </cell>
          <cell r="P13">
            <v>110.42577780070997</v>
          </cell>
          <cell r="Q13">
            <v>116.36033722674765</v>
          </cell>
          <cell r="R13">
            <v>110.09395741419087</v>
          </cell>
          <cell r="S13">
            <v>106.09320721495816</v>
          </cell>
          <cell r="T13">
            <v>101.44120196843167</v>
          </cell>
        </row>
        <row r="28">
          <cell r="P28">
            <v>24.35457894659249</v>
          </cell>
          <cell r="Q28">
            <v>19.134307295275768</v>
          </cell>
        </row>
      </sheetData>
      <sheetData sheetId="4">
        <row r="7">
          <cell r="N7">
            <v>0</v>
          </cell>
          <cell r="O7">
            <v>0</v>
          </cell>
          <cell r="P7">
            <v>2.4596275344540963</v>
          </cell>
          <cell r="Q7">
            <v>8.4784184287345852</v>
          </cell>
          <cell r="R7">
            <v>7.7953400216676201</v>
          </cell>
        </row>
        <row r="11">
          <cell r="P11">
            <v>92.88106332283273</v>
          </cell>
        </row>
        <row r="19">
          <cell r="P19">
            <v>26.239142919295126</v>
          </cell>
        </row>
        <row r="20"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33">
          <cell r="O33">
            <v>48.620080887548887</v>
          </cell>
          <cell r="P33">
            <v>44.830325044147202</v>
          </cell>
          <cell r="Q33">
            <v>40.662517960487591</v>
          </cell>
          <cell r="R33">
            <v>36.504032289751073</v>
          </cell>
          <cell r="S33">
            <v>32.560646369059114</v>
          </cell>
          <cell r="T33">
            <v>27.566887749437079</v>
          </cell>
        </row>
        <row r="35">
          <cell r="O35">
            <v>2.4762000145616527</v>
          </cell>
        </row>
        <row r="36">
          <cell r="P36">
            <v>3.8638210039338445</v>
          </cell>
          <cell r="Q36">
            <v>4.3989509062085084</v>
          </cell>
          <cell r="R36">
            <v>4.7861657360445538</v>
          </cell>
          <cell r="S36">
            <v>5.3110258850140681</v>
          </cell>
          <cell r="T36">
            <v>6.0892183805535396</v>
          </cell>
        </row>
        <row r="39">
          <cell r="P39">
            <v>1.350132877674342</v>
          </cell>
          <cell r="Q39">
            <v>1.8663399476937628</v>
          </cell>
          <cell r="R39">
            <v>1.7843731020559834</v>
          </cell>
          <cell r="S39">
            <v>1.9987324170263245</v>
          </cell>
          <cell r="T39">
            <v>2.0810491100793542</v>
          </cell>
        </row>
      </sheetData>
      <sheetData sheetId="5">
        <row r="23">
          <cell r="O23">
            <v>0</v>
          </cell>
          <cell r="P23">
            <v>23.944677325168882</v>
          </cell>
          <cell r="Q23">
            <v>45.488596026311832</v>
          </cell>
          <cell r="R23">
            <v>36.675276643206544</v>
          </cell>
          <cell r="S23">
            <v>43.534400241894801</v>
          </cell>
        </row>
      </sheetData>
      <sheetData sheetId="6" refreshError="1"/>
      <sheetData sheetId="7">
        <row r="29">
          <cell r="M29">
            <v>5.5</v>
          </cell>
        </row>
        <row r="42">
          <cell r="M42">
            <v>0.13260503149261729</v>
          </cell>
        </row>
        <row r="46">
          <cell r="P46">
            <v>323.77434572853701</v>
          </cell>
        </row>
      </sheetData>
      <sheetData sheetId="8">
        <row r="33">
          <cell r="E33" t="str">
            <v>Debt Cash Sweep</v>
          </cell>
        </row>
      </sheetData>
      <sheetData sheetId="9">
        <row r="38">
          <cell r="P38">
            <v>514.66039999999998</v>
          </cell>
        </row>
      </sheetData>
      <sheetData sheetId="10">
        <row r="13">
          <cell r="N13">
            <v>1.5309983908068301</v>
          </cell>
          <cell r="O13">
            <v>1.5309983908068301</v>
          </cell>
          <cell r="P13">
            <v>1.5208341881554099</v>
          </cell>
          <cell r="Q13">
            <v>1.5131128769179401</v>
          </cell>
          <cell r="R13">
            <v>1.50640524218893</v>
          </cell>
          <cell r="S13">
            <v>1.49842245188088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47"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>
        <row r="5">
          <cell r="AD5" t="str">
            <v>Project Crane</v>
          </cell>
        </row>
        <row r="13">
          <cell r="AE13" t="str">
            <v>Projected Fiscal Year Ending December 31,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22" zoomScale="75" workbookViewId="0"/>
  </sheetViews>
  <sheetFormatPr defaultRowHeight="12.75"/>
  <cols>
    <col min="1" max="5" width="9.140625" style="237"/>
    <col min="6" max="7" width="12" style="237" bestFit="1" customWidth="1"/>
    <col min="8" max="16384" width="9.140625" style="237"/>
  </cols>
  <sheetData>
    <row r="2" spans="1:11">
      <c r="J2" s="238" t="s">
        <v>141</v>
      </c>
      <c r="K2" s="238" t="s">
        <v>142</v>
      </c>
    </row>
    <row r="3" spans="1:11" ht="18">
      <c r="A3" s="239" t="s">
        <v>178</v>
      </c>
      <c r="G3" s="240" t="s">
        <v>137</v>
      </c>
      <c r="H3" s="241" t="s">
        <v>138</v>
      </c>
      <c r="J3" s="237" t="s">
        <v>163</v>
      </c>
    </row>
    <row r="4" spans="1:11">
      <c r="G4" s="240" t="s">
        <v>139</v>
      </c>
      <c r="H4" s="241" t="s">
        <v>140</v>
      </c>
      <c r="J4" s="237" t="s">
        <v>164</v>
      </c>
    </row>
    <row r="9" spans="1:11" ht="15">
      <c r="A9" s="242" t="s">
        <v>177</v>
      </c>
    </row>
    <row r="12" spans="1:11">
      <c r="A12" s="238">
        <v>1</v>
      </c>
      <c r="B12" s="238" t="s">
        <v>48</v>
      </c>
      <c r="C12" s="238"/>
    </row>
    <row r="13" spans="1:11">
      <c r="B13" s="237" t="s">
        <v>170</v>
      </c>
    </row>
    <row r="14" spans="1:11">
      <c r="B14" s="237" t="s">
        <v>179</v>
      </c>
    </row>
    <row r="15" spans="1:11">
      <c r="B15" s="237" t="s">
        <v>180</v>
      </c>
    </row>
    <row r="17" spans="1:4">
      <c r="A17" s="238">
        <v>2</v>
      </c>
      <c r="B17" s="238" t="s">
        <v>166</v>
      </c>
      <c r="C17" s="238"/>
    </row>
    <row r="18" spans="1:4">
      <c r="A18" s="243" t="s">
        <v>144</v>
      </c>
      <c r="B18" s="237" t="s">
        <v>167</v>
      </c>
    </row>
    <row r="19" spans="1:4">
      <c r="A19" s="243" t="s">
        <v>145</v>
      </c>
      <c r="B19" s="237" t="s">
        <v>168</v>
      </c>
    </row>
    <row r="20" spans="1:4">
      <c r="A20" s="243" t="s">
        <v>146</v>
      </c>
      <c r="B20" s="237" t="s">
        <v>169</v>
      </c>
    </row>
    <row r="23" spans="1:4">
      <c r="A23" s="238">
        <v>2</v>
      </c>
      <c r="B23" s="238" t="s">
        <v>143</v>
      </c>
      <c r="C23" s="238"/>
    </row>
    <row r="24" spans="1:4">
      <c r="A24" s="243" t="s">
        <v>144</v>
      </c>
      <c r="B24" s="237" t="s">
        <v>160</v>
      </c>
    </row>
    <row r="25" spans="1:4">
      <c r="A25" s="243"/>
      <c r="B25" s="237" t="s">
        <v>161</v>
      </c>
    </row>
    <row r="26" spans="1:4">
      <c r="A26" s="243" t="s">
        <v>145</v>
      </c>
      <c r="B26" s="237" t="s">
        <v>171</v>
      </c>
    </row>
    <row r="27" spans="1:4">
      <c r="A27" s="243"/>
      <c r="B27" s="237" t="s">
        <v>172</v>
      </c>
    </row>
    <row r="28" spans="1:4">
      <c r="A28" s="243" t="s">
        <v>146</v>
      </c>
      <c r="B28" s="237" t="s">
        <v>147</v>
      </c>
    </row>
    <row r="29" spans="1:4">
      <c r="B29" s="237" t="s">
        <v>148</v>
      </c>
    </row>
    <row r="31" spans="1:4">
      <c r="A31" s="238">
        <v>3</v>
      </c>
      <c r="B31" s="238" t="s">
        <v>149</v>
      </c>
      <c r="C31" s="238"/>
      <c r="D31" s="238"/>
    </row>
    <row r="32" spans="1:4">
      <c r="A32" s="243" t="s">
        <v>144</v>
      </c>
      <c r="B32" s="237" t="s">
        <v>150</v>
      </c>
    </row>
    <row r="33" spans="1:2">
      <c r="A33" s="243"/>
      <c r="B33" s="237" t="s">
        <v>162</v>
      </c>
    </row>
    <row r="34" spans="1:2">
      <c r="A34" s="243" t="s">
        <v>145</v>
      </c>
      <c r="B34" s="237" t="s">
        <v>173</v>
      </c>
    </row>
    <row r="35" spans="1:2">
      <c r="B35" s="237" t="s">
        <v>174</v>
      </c>
    </row>
    <row r="36" spans="1:2">
      <c r="B36" s="237" t="s">
        <v>155</v>
      </c>
    </row>
    <row r="38" spans="1:2">
      <c r="B38" s="237" t="s">
        <v>151</v>
      </c>
    </row>
    <row r="39" spans="1:2">
      <c r="B39" s="237" t="s">
        <v>152</v>
      </c>
    </row>
    <row r="40" spans="1:2">
      <c r="B40" s="237" t="s">
        <v>153</v>
      </c>
    </row>
    <row r="41" spans="1:2">
      <c r="B41" s="237" t="s">
        <v>176</v>
      </c>
    </row>
    <row r="42" spans="1:2">
      <c r="B42" s="237" t="s">
        <v>175</v>
      </c>
    </row>
    <row r="43" spans="1:2">
      <c r="B43" s="237" t="s">
        <v>154</v>
      </c>
    </row>
    <row r="44" spans="1:2">
      <c r="B44" s="237" t="s">
        <v>156</v>
      </c>
    </row>
    <row r="46" spans="1:2">
      <c r="B46" s="237" t="s">
        <v>157</v>
      </c>
    </row>
    <row r="48" spans="1:2">
      <c r="A48" s="243" t="s">
        <v>146</v>
      </c>
      <c r="B48" s="237" t="s">
        <v>159</v>
      </c>
    </row>
    <row r="49" spans="2:2">
      <c r="B49" s="237" t="s">
        <v>158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showGridLines="0" zoomScale="75" workbookViewId="0">
      <selection activeCell="C7" sqref="C7"/>
    </sheetView>
  </sheetViews>
  <sheetFormatPr defaultRowHeight="12.75"/>
  <cols>
    <col min="1" max="1" width="4" customWidth="1"/>
    <col min="2" max="2" width="26.7109375" customWidth="1"/>
    <col min="3" max="3" width="4.7109375" customWidth="1"/>
    <col min="4" max="4" width="25.140625" customWidth="1"/>
    <col min="5" max="5" width="7" customWidth="1"/>
    <col min="6" max="6" width="24.7109375" bestFit="1" customWidth="1"/>
    <col min="7" max="7" width="4.5703125" customWidth="1"/>
    <col min="8" max="8" width="23.28515625" customWidth="1"/>
    <col min="9" max="9" width="4.140625" customWidth="1"/>
    <col min="10" max="10" width="21.28515625" customWidth="1"/>
  </cols>
  <sheetData>
    <row r="1" spans="1:10" ht="21" thickBot="1">
      <c r="A1" s="986" t="str">
        <f>"Project "&amp;Assumptions!D7</f>
        <v>Project Wolverine</v>
      </c>
      <c r="B1" s="987"/>
      <c r="C1" s="987"/>
      <c r="D1" s="987"/>
      <c r="E1" s="987"/>
      <c r="F1" s="987"/>
      <c r="G1" s="987"/>
      <c r="H1" s="987"/>
      <c r="I1" s="987"/>
      <c r="J1" s="988"/>
    </row>
    <row r="2" spans="1:10">
      <c r="A2" s="136"/>
      <c r="B2" s="128"/>
      <c r="C2" s="849"/>
      <c r="D2" s="128"/>
      <c r="E2" s="849"/>
      <c r="F2" s="128"/>
      <c r="G2" s="849"/>
      <c r="H2" s="128"/>
      <c r="I2" s="849"/>
      <c r="J2" s="129"/>
    </row>
    <row r="3" spans="1:10" ht="15.75">
      <c r="A3" s="989" t="s">
        <v>426</v>
      </c>
      <c r="B3" s="990"/>
      <c r="C3" s="991" t="s">
        <v>427</v>
      </c>
      <c r="D3" s="990"/>
      <c r="E3" s="991" t="s">
        <v>427</v>
      </c>
      <c r="F3" s="990"/>
      <c r="G3" s="991" t="s">
        <v>427</v>
      </c>
      <c r="H3" s="990"/>
      <c r="I3" s="991" t="s">
        <v>427</v>
      </c>
      <c r="J3" s="992"/>
    </row>
    <row r="4" spans="1:10" ht="10.5" customHeight="1">
      <c r="A4" s="132"/>
      <c r="B4" s="35"/>
      <c r="C4" s="576"/>
      <c r="D4" s="35"/>
      <c r="E4" s="576"/>
      <c r="F4" s="35"/>
      <c r="G4" s="576"/>
      <c r="H4" s="35"/>
      <c r="I4" s="576"/>
      <c r="J4" s="131"/>
    </row>
    <row r="5" spans="1:10" ht="15.75">
      <c r="A5" s="853"/>
      <c r="B5" s="852" t="s">
        <v>422</v>
      </c>
      <c r="C5" s="851"/>
      <c r="D5" s="851" t="s">
        <v>421</v>
      </c>
      <c r="E5" s="851"/>
      <c r="F5" s="851" t="s">
        <v>423</v>
      </c>
      <c r="G5" s="851"/>
      <c r="H5" s="851"/>
      <c r="I5" s="851"/>
      <c r="J5" s="854"/>
    </row>
    <row r="6" spans="1:10">
      <c r="A6" s="132"/>
      <c r="B6" s="35"/>
      <c r="C6" s="576"/>
      <c r="D6" s="35"/>
      <c r="E6" s="576"/>
      <c r="F6" s="848"/>
      <c r="G6" s="576"/>
      <c r="H6" s="35"/>
      <c r="I6" s="576"/>
      <c r="J6" s="131"/>
    </row>
    <row r="7" spans="1:10">
      <c r="A7" s="525" t="s">
        <v>430</v>
      </c>
      <c r="B7" s="117"/>
      <c r="C7" s="618" t="s">
        <v>430</v>
      </c>
      <c r="D7" s="117"/>
      <c r="E7" s="618" t="s">
        <v>430</v>
      </c>
      <c r="F7" s="117"/>
      <c r="G7" s="618" t="s">
        <v>430</v>
      </c>
      <c r="H7" s="117"/>
      <c r="I7" s="618" t="s">
        <v>430</v>
      </c>
      <c r="J7" s="131"/>
    </row>
    <row r="8" spans="1:10">
      <c r="A8" s="132"/>
      <c r="B8" s="35"/>
      <c r="C8" s="576"/>
      <c r="D8" s="35"/>
      <c r="E8" s="576"/>
      <c r="F8" s="35"/>
      <c r="G8" s="576"/>
      <c r="H8" s="35"/>
      <c r="I8" s="576"/>
      <c r="J8" s="131"/>
    </row>
    <row r="9" spans="1:10">
      <c r="A9" s="132"/>
      <c r="B9" s="35"/>
      <c r="C9" s="576"/>
      <c r="D9" s="35"/>
      <c r="E9" s="576"/>
      <c r="F9" s="35"/>
      <c r="G9" s="576"/>
      <c r="H9" s="35"/>
      <c r="I9" s="576"/>
      <c r="J9" s="131"/>
    </row>
    <row r="10" spans="1:10">
      <c r="A10" s="132"/>
      <c r="B10" s="35"/>
      <c r="C10" s="576"/>
      <c r="D10" s="35"/>
      <c r="E10" s="576"/>
      <c r="F10" s="35"/>
      <c r="G10" s="576"/>
      <c r="H10" s="35"/>
      <c r="I10" s="576"/>
      <c r="J10" s="131"/>
    </row>
    <row r="11" spans="1:10">
      <c r="A11" s="132"/>
      <c r="B11" s="35"/>
      <c r="C11" s="576"/>
      <c r="D11" s="35"/>
      <c r="E11" s="576"/>
      <c r="F11" s="35"/>
      <c r="G11" s="576"/>
      <c r="H11" s="35"/>
      <c r="I11" s="576"/>
      <c r="J11" s="131"/>
    </row>
    <row r="12" spans="1:10">
      <c r="A12" s="132"/>
      <c r="B12" s="35"/>
      <c r="C12" s="576"/>
      <c r="D12" s="848"/>
      <c r="E12" s="576"/>
      <c r="F12" s="35"/>
      <c r="G12" s="576"/>
      <c r="H12" s="35"/>
      <c r="I12" s="576"/>
      <c r="J12" s="131"/>
    </row>
    <row r="13" spans="1:10">
      <c r="A13" s="132"/>
      <c r="B13" s="35"/>
      <c r="C13" s="576"/>
      <c r="D13" s="848"/>
      <c r="E13" s="576"/>
      <c r="F13" s="35"/>
      <c r="G13" s="576"/>
      <c r="H13" s="35"/>
      <c r="I13" s="576"/>
      <c r="J13" s="131"/>
    </row>
    <row r="14" spans="1:10">
      <c r="A14" s="132"/>
      <c r="B14" s="35"/>
      <c r="C14" s="576"/>
      <c r="D14" s="848"/>
      <c r="E14" s="576"/>
      <c r="F14" s="35"/>
      <c r="G14" s="576"/>
      <c r="H14" s="35"/>
      <c r="I14" s="576"/>
      <c r="J14" s="131"/>
    </row>
    <row r="15" spans="1:10">
      <c r="A15" s="132"/>
      <c r="B15" s="35"/>
      <c r="C15" s="576"/>
      <c r="D15" s="848"/>
      <c r="E15" s="576"/>
      <c r="F15" s="35"/>
      <c r="G15" s="576"/>
      <c r="H15" s="35"/>
      <c r="I15" s="576"/>
      <c r="J15" s="131"/>
    </row>
    <row r="16" spans="1:10">
      <c r="A16" s="132"/>
      <c r="B16" s="35"/>
      <c r="C16" s="576"/>
      <c r="D16" s="35"/>
      <c r="E16" s="576"/>
      <c r="F16" s="35"/>
      <c r="G16" s="576"/>
      <c r="H16" s="35"/>
      <c r="I16" s="576"/>
      <c r="J16" s="131"/>
    </row>
    <row r="17" spans="1:10">
      <c r="A17" s="132"/>
      <c r="B17" s="35"/>
      <c r="C17" s="576"/>
      <c r="D17" s="35"/>
      <c r="E17" s="576"/>
      <c r="F17" s="35"/>
      <c r="G17" s="576"/>
      <c r="H17" s="35"/>
      <c r="I17" s="576"/>
      <c r="J17" s="131"/>
    </row>
    <row r="18" spans="1:10">
      <c r="A18" s="132"/>
      <c r="B18" s="35"/>
      <c r="C18" s="576"/>
      <c r="D18" s="35"/>
      <c r="E18" s="576"/>
      <c r="F18" s="35"/>
      <c r="G18" s="576"/>
      <c r="H18" s="35"/>
      <c r="I18" s="576"/>
      <c r="J18" s="131"/>
    </row>
    <row r="19" spans="1:10">
      <c r="A19" s="132"/>
      <c r="B19" s="35"/>
      <c r="C19" s="576"/>
      <c r="D19" s="35"/>
      <c r="E19" s="576"/>
      <c r="F19" s="35"/>
      <c r="G19" s="576"/>
      <c r="H19" s="35"/>
      <c r="I19" s="576"/>
      <c r="J19" s="131"/>
    </row>
    <row r="20" spans="1:10">
      <c r="A20" s="132"/>
      <c r="B20" s="35"/>
      <c r="C20" s="576"/>
      <c r="D20" s="35"/>
      <c r="E20" s="576"/>
      <c r="F20" s="35"/>
      <c r="G20" s="576"/>
      <c r="H20" s="35"/>
      <c r="I20" s="576"/>
      <c r="J20" s="131"/>
    </row>
    <row r="21" spans="1:10" ht="13.5" thickBot="1">
      <c r="A21" s="133"/>
      <c r="B21" s="134"/>
      <c r="C21" s="850"/>
      <c r="D21" s="134"/>
      <c r="E21" s="850"/>
      <c r="F21" s="134"/>
      <c r="G21" s="850"/>
      <c r="H21" s="134"/>
      <c r="I21" s="850"/>
      <c r="J21" s="135"/>
    </row>
  </sheetData>
  <mergeCells count="6">
    <mergeCell ref="A1:J1"/>
    <mergeCell ref="A3:B3"/>
    <mergeCell ref="C3:D3"/>
    <mergeCell ref="E3:F3"/>
    <mergeCell ref="G3:H3"/>
    <mergeCell ref="I3:J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D31" sqref="D31"/>
    </sheetView>
  </sheetViews>
  <sheetFormatPr defaultRowHeight="12.75"/>
  <cols>
    <col min="2" max="2" width="16.5703125" bestFit="1" customWidth="1"/>
  </cols>
  <sheetData>
    <row r="1" spans="1:8" ht="18.75" thickBot="1">
      <c r="A1" s="179" t="str">
        <f>Assumptions!A1</f>
        <v>Project Wolverine</v>
      </c>
      <c r="D1" s="228" t="s">
        <v>136</v>
      </c>
    </row>
    <row r="2" spans="1:8" ht="15.75">
      <c r="B2" s="188" t="s">
        <v>129</v>
      </c>
      <c r="D2" s="222" t="e">
        <f>IF(CLoop&lt;&gt;0, "Warning Flag: Check Unlev. Consolid sheet and run Macro","")</f>
        <v>#REF!</v>
      </c>
      <c r="E2" s="223"/>
      <c r="F2" s="223"/>
      <c r="G2" s="223"/>
      <c r="H2" s="224"/>
    </row>
    <row r="3" spans="1:8" ht="18.75" thickBot="1">
      <c r="A3" s="179"/>
      <c r="D3" s="225" t="str">
        <f>IF('Unlev. Consolid'!K87="","","Warning Flag: Check Unlev.Consolid sheet and separate Asset sheets")</f>
        <v/>
      </c>
      <c r="E3" s="226"/>
      <c r="F3" s="226"/>
      <c r="G3" s="226"/>
      <c r="H3" s="227"/>
    </row>
    <row r="5" spans="1:8">
      <c r="A5" s="9" t="s">
        <v>122</v>
      </c>
    </row>
    <row r="6" spans="1:8" ht="13.5" thickBot="1"/>
    <row r="7" spans="1:8">
      <c r="B7" s="185" t="s">
        <v>124</v>
      </c>
      <c r="C7" s="186"/>
      <c r="D7" s="183">
        <f>E7-0.025</f>
        <v>0.1</v>
      </c>
      <c r="E7" s="183">
        <f>ConsDRate</f>
        <v>0.125</v>
      </c>
      <c r="F7" s="184">
        <f>E7+0.025</f>
        <v>0.15</v>
      </c>
    </row>
    <row r="8" spans="1:8">
      <c r="B8" s="205" t="s">
        <v>125</v>
      </c>
      <c r="C8" s="206"/>
      <c r="D8" s="207" t="e">
        <f>'Unlev. Consolid'!N86</f>
        <v>#REF!</v>
      </c>
      <c r="E8" s="207" t="e">
        <f>'Unlev. Consolid'!O86</f>
        <v>#REF!</v>
      </c>
      <c r="F8" s="208" t="e">
        <f>'Unlev. Consolid'!P86</f>
        <v>#REF!</v>
      </c>
    </row>
    <row r="9" spans="1:8" ht="13.5" thickBot="1">
      <c r="B9" s="182" t="s">
        <v>165</v>
      </c>
      <c r="C9" s="209">
        <f>'Unlev. Consolid'!$L$89</f>
        <v>0</v>
      </c>
      <c r="D9" s="147"/>
      <c r="E9" s="147"/>
      <c r="F9" s="210"/>
    </row>
    <row r="11" spans="1:8">
      <c r="A11" s="9" t="s">
        <v>126</v>
      </c>
    </row>
    <row r="13" spans="1:8">
      <c r="B13" s="7" t="s">
        <v>127</v>
      </c>
      <c r="D13" s="187">
        <f>Assumptions!D31</f>
        <v>0.5</v>
      </c>
    </row>
    <row r="14" spans="1:8" ht="13.5" thickBot="1"/>
    <row r="15" spans="1:8">
      <c r="B15" s="185" t="s">
        <v>124</v>
      </c>
      <c r="C15" s="181"/>
      <c r="D15" s="183">
        <f>E15-0.025</f>
        <v>0.1</v>
      </c>
      <c r="E15" s="183">
        <f>ConsDRate</f>
        <v>0.125</v>
      </c>
      <c r="F15" s="184">
        <f>E15+0.025</f>
        <v>0.15</v>
      </c>
    </row>
    <row r="16" spans="1:8">
      <c r="B16" s="205" t="s">
        <v>128</v>
      </c>
      <c r="C16" s="206"/>
      <c r="D16" s="207" t="e">
        <f>'Lev. Consolid'!F7</f>
        <v>#REF!</v>
      </c>
      <c r="E16" s="207" t="e">
        <f>'Lev. Consolid'!G7</f>
        <v>#REF!</v>
      </c>
      <c r="F16" s="208" t="e">
        <f>'Lev. Consolid'!H7</f>
        <v>#REF!</v>
      </c>
    </row>
    <row r="17" spans="2:6" ht="13.5" thickBot="1">
      <c r="B17" s="182" t="s">
        <v>81</v>
      </c>
      <c r="C17" s="211" t="e">
        <f>'Lev. Consolid'!$G$9</f>
        <v>#VALUE!</v>
      </c>
      <c r="D17" s="147"/>
      <c r="E17" s="147"/>
      <c r="F17" s="210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K58"/>
  <sheetViews>
    <sheetView showGridLines="0" zoomScale="75" zoomScaleNormal="100" workbookViewId="0">
      <selection activeCell="F50" sqref="F50"/>
    </sheetView>
  </sheetViews>
  <sheetFormatPr defaultRowHeight="12.75"/>
  <cols>
    <col min="1" max="1" width="2.85546875" customWidth="1"/>
    <col min="2" max="2" width="22.85546875" bestFit="1" customWidth="1"/>
    <col min="3" max="3" width="14.85546875" customWidth="1"/>
    <col min="4" max="4" width="15.5703125" bestFit="1" customWidth="1"/>
    <col min="5" max="5" width="13.140625" customWidth="1"/>
    <col min="6" max="6" width="22.7109375" customWidth="1"/>
    <col min="7" max="7" width="19" customWidth="1"/>
    <col min="8" max="8" width="10.85546875" customWidth="1"/>
    <col min="9" max="9" width="19.7109375" customWidth="1"/>
    <col min="10" max="10" width="13.7109375" customWidth="1"/>
  </cols>
  <sheetData>
    <row r="1" spans="1:11" ht="20.25">
      <c r="A1" s="845" t="str">
        <f>"Project "&amp;D7</f>
        <v>Project Wolverine</v>
      </c>
      <c r="B1" s="128"/>
      <c r="C1" s="128"/>
      <c r="D1" s="129"/>
      <c r="F1" s="202">
        <f ca="1">NOW()</f>
        <v>41887.357061574075</v>
      </c>
    </row>
    <row r="2" spans="1:11" ht="16.5" thickBot="1">
      <c r="A2" s="559" t="s">
        <v>431</v>
      </c>
      <c r="B2" s="134"/>
      <c r="C2" s="134"/>
      <c r="D2" s="135"/>
      <c r="F2" s="202"/>
    </row>
    <row r="3" spans="1:11" ht="13.5" thickBot="1">
      <c r="D3" s="44"/>
    </row>
    <row r="4" spans="1:11" ht="16.5" thickBot="1">
      <c r="A4" s="829" t="s">
        <v>425</v>
      </c>
      <c r="B4" s="828"/>
      <c r="C4" s="832"/>
      <c r="D4" s="833"/>
      <c r="F4" s="540" t="s">
        <v>181</v>
      </c>
      <c r="G4" s="542"/>
    </row>
    <row r="5" spans="1:11">
      <c r="A5" s="576"/>
      <c r="B5" s="35"/>
      <c r="C5" s="35"/>
      <c r="D5" s="265"/>
      <c r="F5" s="136"/>
      <c r="G5" s="129"/>
    </row>
    <row r="6" spans="1:11">
      <c r="A6" s="823" t="s">
        <v>46</v>
      </c>
      <c r="B6" s="496"/>
      <c r="C6" s="496"/>
      <c r="D6" s="834"/>
      <c r="F6" s="130" t="str">
        <f>IF(D15&gt;10,"Add More Years in workseets","")</f>
        <v/>
      </c>
      <c r="G6" s="235"/>
    </row>
    <row r="7" spans="1:11" ht="13.5" thickBot="1">
      <c r="A7" s="574"/>
      <c r="B7" s="575" t="s">
        <v>39</v>
      </c>
      <c r="C7" s="575"/>
      <c r="D7" s="578" t="s">
        <v>407</v>
      </c>
      <c r="F7" s="133"/>
      <c r="G7" s="135"/>
      <c r="H7" s="125"/>
    </row>
    <row r="8" spans="1:11">
      <c r="A8" s="576"/>
      <c r="B8" s="35" t="s">
        <v>57</v>
      </c>
      <c r="C8" s="35"/>
      <c r="D8" s="579" t="s">
        <v>120</v>
      </c>
      <c r="H8" s="126"/>
    </row>
    <row r="9" spans="1:11" ht="15.75">
      <c r="A9" s="576"/>
      <c r="B9" s="35" t="s">
        <v>71</v>
      </c>
      <c r="C9" s="35"/>
      <c r="D9" s="579" t="s">
        <v>65</v>
      </c>
      <c r="F9" s="829" t="s">
        <v>424</v>
      </c>
      <c r="G9" s="830"/>
      <c r="H9" s="830"/>
      <c r="I9" s="830"/>
      <c r="J9" s="831"/>
      <c r="K9" s="628"/>
    </row>
    <row r="10" spans="1:11">
      <c r="A10" s="576"/>
      <c r="B10" s="35" t="s">
        <v>73</v>
      </c>
      <c r="C10" s="35"/>
      <c r="D10" s="580">
        <v>1</v>
      </c>
      <c r="F10" s="576"/>
      <c r="G10" s="35"/>
      <c r="H10" s="822"/>
      <c r="I10" s="35"/>
      <c r="J10" s="265"/>
      <c r="K10" s="45"/>
    </row>
    <row r="11" spans="1:11">
      <c r="A11" s="576"/>
      <c r="B11" s="35" t="s">
        <v>74</v>
      </c>
      <c r="C11" s="35"/>
      <c r="D11" s="580">
        <v>0</v>
      </c>
      <c r="F11" s="823" t="s">
        <v>306</v>
      </c>
      <c r="G11" s="495"/>
      <c r="H11" s="824"/>
      <c r="I11" s="495" t="s">
        <v>327</v>
      </c>
      <c r="J11" s="825"/>
      <c r="K11" s="45"/>
    </row>
    <row r="12" spans="1:11">
      <c r="A12" s="576"/>
      <c r="B12" s="35" t="s">
        <v>55</v>
      </c>
      <c r="C12" s="35"/>
      <c r="D12" s="579" t="s">
        <v>65</v>
      </c>
      <c r="F12" s="574" t="s">
        <v>187</v>
      </c>
      <c r="G12" s="583">
        <v>132000</v>
      </c>
      <c r="H12" s="824"/>
      <c r="I12" s="627" t="s">
        <v>330</v>
      </c>
      <c r="J12" s="596"/>
      <c r="K12" s="45"/>
    </row>
    <row r="13" spans="1:11">
      <c r="A13" s="576"/>
      <c r="B13" s="35" t="s">
        <v>72</v>
      </c>
      <c r="C13" s="35"/>
      <c r="D13" s="580">
        <f>1-D10</f>
        <v>0</v>
      </c>
      <c r="F13" s="576" t="s">
        <v>188</v>
      </c>
      <c r="G13" s="821">
        <v>23.125</v>
      </c>
      <c r="H13" s="826"/>
      <c r="I13" s="576" t="s">
        <v>328</v>
      </c>
      <c r="J13" s="629">
        <v>731246</v>
      </c>
      <c r="K13" s="45"/>
    </row>
    <row r="14" spans="1:11">
      <c r="A14" s="576"/>
      <c r="B14" s="35" t="s">
        <v>42</v>
      </c>
      <c r="C14" s="35"/>
      <c r="D14" s="579">
        <v>2002</v>
      </c>
      <c r="F14" s="577" t="s">
        <v>186</v>
      </c>
      <c r="G14" s="584">
        <f>G12*G13</f>
        <v>3052500</v>
      </c>
      <c r="H14" s="45"/>
      <c r="I14" s="576" t="s">
        <v>329</v>
      </c>
      <c r="J14" s="629">
        <v>243006</v>
      </c>
      <c r="K14" s="35"/>
    </row>
    <row r="15" spans="1:11">
      <c r="A15" s="576"/>
      <c r="B15" s="35" t="s">
        <v>69</v>
      </c>
      <c r="C15" s="35"/>
      <c r="D15" s="579">
        <v>10</v>
      </c>
      <c r="F15" s="576"/>
      <c r="G15" s="35"/>
      <c r="H15" s="105"/>
      <c r="I15" s="576" t="s">
        <v>331</v>
      </c>
      <c r="J15" s="621">
        <v>62741</v>
      </c>
    </row>
    <row r="16" spans="1:11">
      <c r="A16" s="576"/>
      <c r="B16" s="35" t="s">
        <v>49</v>
      </c>
      <c r="C16" s="35"/>
      <c r="D16" s="626">
        <v>880000</v>
      </c>
      <c r="F16" s="823" t="s">
        <v>314</v>
      </c>
      <c r="G16" s="495"/>
      <c r="H16" s="35"/>
      <c r="I16" s="630" t="s">
        <v>249</v>
      </c>
      <c r="J16" s="617">
        <f>J13-J14-J15</f>
        <v>425499</v>
      </c>
    </row>
    <row r="17" spans="1:10">
      <c r="A17" s="576"/>
      <c r="B17" s="35" t="s">
        <v>52</v>
      </c>
      <c r="C17" s="35"/>
      <c r="D17" s="581">
        <v>28.3</v>
      </c>
      <c r="F17" s="574" t="s">
        <v>315</v>
      </c>
      <c r="G17" s="614">
        <f>'Unlev. Consolid'!G42</f>
        <v>0</v>
      </c>
      <c r="H17" s="35"/>
      <c r="I17" s="576" t="s">
        <v>332</v>
      </c>
      <c r="J17" s="631">
        <v>0.11</v>
      </c>
    </row>
    <row r="18" spans="1:10">
      <c r="A18" s="577"/>
      <c r="B18" s="355" t="s">
        <v>79</v>
      </c>
      <c r="C18" s="355"/>
      <c r="D18" s="582" t="s">
        <v>80</v>
      </c>
      <c r="F18" s="576" t="s">
        <v>19</v>
      </c>
      <c r="G18" s="616">
        <v>15</v>
      </c>
      <c r="H18" s="35"/>
      <c r="I18" s="622" t="s">
        <v>333</v>
      </c>
      <c r="J18" s="632">
        <f>J16*J17</f>
        <v>46804.89</v>
      </c>
    </row>
    <row r="19" spans="1:10">
      <c r="A19" s="576"/>
      <c r="B19" s="835"/>
      <c r="C19" s="835"/>
      <c r="D19" s="265"/>
      <c r="F19" s="618" t="s">
        <v>316</v>
      </c>
      <c r="G19" s="620">
        <f>G17*G18</f>
        <v>0</v>
      </c>
      <c r="H19" s="35"/>
      <c r="I19" s="45"/>
      <c r="J19" s="827"/>
    </row>
    <row r="20" spans="1:10">
      <c r="A20" s="823" t="s">
        <v>47</v>
      </c>
      <c r="B20" s="496"/>
      <c r="C20" s="496"/>
      <c r="D20" s="834"/>
      <c r="F20" s="576" t="s">
        <v>317</v>
      </c>
      <c r="G20" s="615">
        <f>'Unlev. Consolid'!G23</f>
        <v>275409</v>
      </c>
      <c r="H20" s="35"/>
      <c r="I20" s="45"/>
      <c r="J20" s="62"/>
    </row>
    <row r="21" spans="1:10">
      <c r="A21" s="574"/>
      <c r="B21" s="575" t="s">
        <v>44</v>
      </c>
      <c r="C21" s="575"/>
      <c r="D21" s="589">
        <v>0.38500000000000001</v>
      </c>
      <c r="F21" s="576" t="s">
        <v>19</v>
      </c>
      <c r="G21" s="616">
        <v>10</v>
      </c>
      <c r="H21" s="35"/>
      <c r="I21" s="45"/>
      <c r="J21" s="62"/>
    </row>
    <row r="22" spans="1:10">
      <c r="A22" s="576"/>
      <c r="B22" s="35" t="s">
        <v>45</v>
      </c>
      <c r="C22" s="35"/>
      <c r="D22" s="590">
        <v>40</v>
      </c>
      <c r="F22" s="618" t="s">
        <v>316</v>
      </c>
      <c r="G22" s="619">
        <f>G20*G21</f>
        <v>2754090</v>
      </c>
      <c r="H22" s="35"/>
      <c r="I22" s="347"/>
      <c r="J22" s="62"/>
    </row>
    <row r="23" spans="1:10">
      <c r="A23" s="576"/>
      <c r="B23" s="35" t="s">
        <v>67</v>
      </c>
      <c r="C23" s="35"/>
      <c r="D23" s="591">
        <v>0.125</v>
      </c>
      <c r="E23" s="101" t="e">
        <f>IF(CLoop=0,"","Run Consolidated Macro")</f>
        <v>#REF!</v>
      </c>
      <c r="F23" s="633" t="s">
        <v>318</v>
      </c>
      <c r="G23" s="634">
        <f>CPurPrice</f>
        <v>12590.948376440256</v>
      </c>
      <c r="H23" s="35"/>
      <c r="I23" s="35"/>
      <c r="J23" s="265"/>
    </row>
    <row r="24" spans="1:10">
      <c r="A24" s="576"/>
      <c r="B24" s="35" t="s">
        <v>68</v>
      </c>
      <c r="C24" s="35"/>
      <c r="D24" s="591">
        <v>0</v>
      </c>
      <c r="E24" s="50"/>
      <c r="F24" s="576"/>
      <c r="G24" s="35"/>
      <c r="H24" s="35"/>
      <c r="I24" s="35"/>
      <c r="J24" s="265"/>
    </row>
    <row r="25" spans="1:10">
      <c r="A25" s="576"/>
      <c r="B25" s="35" t="s">
        <v>75</v>
      </c>
      <c r="C25" s="35"/>
      <c r="D25" s="592">
        <v>0</v>
      </c>
      <c r="E25" s="50"/>
      <c r="F25" s="576"/>
      <c r="G25" s="35"/>
      <c r="H25" s="35"/>
      <c r="I25" s="35"/>
      <c r="J25" s="265"/>
    </row>
    <row r="26" spans="1:10">
      <c r="A26" s="576"/>
      <c r="B26" s="35" t="s">
        <v>76</v>
      </c>
      <c r="C26" s="35"/>
      <c r="D26" s="592">
        <v>7.6999999999999999E-2</v>
      </c>
      <c r="E26" s="50"/>
      <c r="F26" s="576"/>
      <c r="G26" s="35"/>
      <c r="H26" s="35"/>
      <c r="I26" s="35"/>
      <c r="J26" s="265"/>
    </row>
    <row r="27" spans="1:10">
      <c r="A27" s="576"/>
      <c r="B27" s="35" t="s">
        <v>35</v>
      </c>
      <c r="C27" s="35"/>
      <c r="D27" s="592">
        <v>7.0000000000000007E-2</v>
      </c>
      <c r="E27" s="50"/>
      <c r="F27" s="576"/>
      <c r="G27" s="35"/>
      <c r="H27" s="35"/>
      <c r="I27" s="35"/>
      <c r="J27" s="265"/>
    </row>
    <row r="28" spans="1:10">
      <c r="A28" s="577"/>
      <c r="B28" s="355" t="s">
        <v>77</v>
      </c>
      <c r="C28" s="355"/>
      <c r="D28" s="593">
        <v>0.12</v>
      </c>
      <c r="E28" s="50"/>
      <c r="F28" s="577"/>
      <c r="G28" s="355"/>
      <c r="H28" s="355"/>
      <c r="I28" s="355"/>
      <c r="J28" s="266"/>
    </row>
    <row r="29" spans="1:10">
      <c r="A29" s="576"/>
      <c r="B29" s="35"/>
      <c r="C29" s="35"/>
      <c r="D29" s="838"/>
      <c r="E29" s="50"/>
    </row>
    <row r="30" spans="1:10">
      <c r="A30" s="836" t="s">
        <v>50</v>
      </c>
      <c r="B30" s="828"/>
      <c r="C30" s="828"/>
      <c r="D30" s="837"/>
      <c r="E30" s="50"/>
    </row>
    <row r="31" spans="1:10">
      <c r="A31" s="574"/>
      <c r="B31" s="575" t="s">
        <v>117</v>
      </c>
      <c r="C31" s="575"/>
      <c r="D31" s="586">
        <v>0.5</v>
      </c>
      <c r="E31" s="50"/>
    </row>
    <row r="32" spans="1:10">
      <c r="A32" s="576"/>
      <c r="B32" s="35" t="s">
        <v>53</v>
      </c>
      <c r="C32" s="35"/>
      <c r="D32" s="587">
        <f>'Fin Stats and Ratios'!G15</f>
        <v>7.4999999999999997E-2</v>
      </c>
      <c r="E32" s="50"/>
    </row>
    <row r="33" spans="1:10">
      <c r="A33" s="577"/>
      <c r="B33" s="355" t="s">
        <v>54</v>
      </c>
      <c r="C33" s="355"/>
      <c r="D33" s="588">
        <f>D15</f>
        <v>10</v>
      </c>
      <c r="E33" s="50"/>
    </row>
    <row r="34" spans="1:10">
      <c r="E34" s="50"/>
    </row>
    <row r="36" spans="1:10">
      <c r="A36" s="465" t="s">
        <v>43</v>
      </c>
      <c r="B36" s="477"/>
      <c r="C36" s="477"/>
      <c r="D36" s="477"/>
      <c r="E36" s="477"/>
      <c r="F36" s="477"/>
      <c r="G36" s="477"/>
      <c r="H36" s="477"/>
      <c r="I36" s="477"/>
      <c r="J36" s="477"/>
    </row>
    <row r="37" spans="1:10" ht="38.25">
      <c r="A37" s="574"/>
      <c r="B37" s="575"/>
      <c r="C37" s="594" t="s">
        <v>82</v>
      </c>
      <c r="D37" s="594" t="s">
        <v>56</v>
      </c>
      <c r="E37" s="594" t="s">
        <v>51</v>
      </c>
      <c r="F37" s="594" t="s">
        <v>40</v>
      </c>
      <c r="G37" s="594" t="s">
        <v>41</v>
      </c>
      <c r="H37" s="594" t="s">
        <v>62</v>
      </c>
      <c r="I37" s="595" t="s">
        <v>66</v>
      </c>
      <c r="J37" s="596"/>
    </row>
    <row r="38" spans="1:10">
      <c r="A38" s="576"/>
      <c r="B38" s="35" t="str">
        <f>'Pipeline Co DCF'!A2</f>
        <v>Panhandle Eastern</v>
      </c>
      <c r="C38" s="597">
        <v>1</v>
      </c>
      <c r="D38" s="598" t="str">
        <f>$D$8</f>
        <v>ETS</v>
      </c>
      <c r="E38" s="598">
        <v>12</v>
      </c>
      <c r="F38" s="598"/>
      <c r="G38" s="598">
        <v>1</v>
      </c>
      <c r="H38" s="599">
        <v>0.125</v>
      </c>
      <c r="I38" s="106" t="str">
        <f>IF(Asset3Loop=1,"Run Macro!","Okay")</f>
        <v>Run Macro!</v>
      </c>
      <c r="J38" s="265"/>
    </row>
    <row r="39" spans="1:10">
      <c r="A39" s="576"/>
      <c r="B39" s="56" t="s">
        <v>83</v>
      </c>
      <c r="C39" s="600">
        <v>1</v>
      </c>
      <c r="D39" s="35"/>
      <c r="E39" s="35"/>
      <c r="F39" s="35"/>
      <c r="G39" s="35"/>
      <c r="H39" s="35"/>
      <c r="I39" s="268"/>
      <c r="J39" s="265"/>
    </row>
    <row r="40" spans="1:10">
      <c r="A40" s="576"/>
      <c r="B40" s="35"/>
      <c r="C40" s="35"/>
      <c r="D40" s="35"/>
      <c r="E40" s="35"/>
      <c r="F40" s="35"/>
      <c r="G40" s="35"/>
      <c r="H40" s="35"/>
      <c r="I40" s="268"/>
      <c r="J40" s="265"/>
    </row>
    <row r="41" spans="1:10">
      <c r="A41" s="576"/>
      <c r="B41" s="35" t="str">
        <f>'Consumers DCF'!A2</f>
        <v>Consumers Energy</v>
      </c>
      <c r="C41" s="597">
        <v>1</v>
      </c>
      <c r="D41" s="598" t="str">
        <f>$D$8</f>
        <v>ETS</v>
      </c>
      <c r="E41" s="598">
        <v>12</v>
      </c>
      <c r="F41" s="598"/>
      <c r="G41" s="598">
        <v>1</v>
      </c>
      <c r="H41" s="599">
        <v>0.125</v>
      </c>
      <c r="I41" s="106" t="str">
        <f>IF(Asset2Loop=1,"Run Macro!","Okay")</f>
        <v>Run Macro!</v>
      </c>
      <c r="J41" s="265"/>
    </row>
    <row r="42" spans="1:10">
      <c r="A42" s="576"/>
      <c r="B42" s="56" t="s">
        <v>83</v>
      </c>
      <c r="C42" s="600">
        <v>1</v>
      </c>
      <c r="D42" s="35"/>
      <c r="E42" s="35"/>
      <c r="F42" s="35"/>
      <c r="G42" s="35"/>
      <c r="H42" s="35"/>
      <c r="I42" s="268"/>
      <c r="J42" s="265"/>
    </row>
    <row r="43" spans="1:10">
      <c r="A43" s="576"/>
      <c r="B43" s="35"/>
      <c r="C43" s="35"/>
      <c r="D43" s="35"/>
      <c r="E43" s="35"/>
      <c r="F43" s="35"/>
      <c r="G43" s="35"/>
      <c r="H43" s="35"/>
      <c r="I43" s="268"/>
      <c r="J43" s="265"/>
    </row>
    <row r="44" spans="1:10">
      <c r="A44" s="576"/>
      <c r="B44" s="35" t="str">
        <f>'Corp DCF'!A2</f>
        <v>Other</v>
      </c>
      <c r="C44" s="597">
        <v>1</v>
      </c>
      <c r="D44" s="598" t="str">
        <f>$D$8</f>
        <v>ETS</v>
      </c>
      <c r="E44" s="598">
        <v>12</v>
      </c>
      <c r="F44" s="598"/>
      <c r="G44" s="598">
        <v>1</v>
      </c>
      <c r="H44" s="599">
        <v>0.125</v>
      </c>
      <c r="I44" s="107" t="str">
        <f>IF(Asset3Loop=1,"Run Macro!","Okay")</f>
        <v>Run Macro!</v>
      </c>
      <c r="J44" s="265"/>
    </row>
    <row r="45" spans="1:10">
      <c r="A45" s="576"/>
      <c r="B45" s="56" t="s">
        <v>83</v>
      </c>
      <c r="C45" s="600">
        <v>1</v>
      </c>
      <c r="D45" s="35"/>
      <c r="E45" s="35"/>
      <c r="F45" s="35"/>
      <c r="G45" s="35"/>
      <c r="H45" s="35"/>
      <c r="I45" s="268"/>
      <c r="J45" s="265"/>
    </row>
    <row r="46" spans="1:10">
      <c r="A46" s="576"/>
      <c r="B46" s="35"/>
      <c r="C46" s="35"/>
      <c r="D46" s="35"/>
      <c r="E46" s="35"/>
      <c r="F46" s="35"/>
      <c r="G46" s="35"/>
      <c r="H46" s="35"/>
      <c r="I46" s="268"/>
      <c r="J46" s="265"/>
    </row>
    <row r="47" spans="1:10">
      <c r="A47" s="576"/>
      <c r="B47" s="35"/>
      <c r="C47" s="35"/>
      <c r="D47" s="35"/>
      <c r="E47" s="35"/>
      <c r="F47" s="35"/>
      <c r="G47" s="35"/>
      <c r="H47" s="35"/>
      <c r="I47" s="35"/>
      <c r="J47" s="265"/>
    </row>
    <row r="48" spans="1:10" ht="15">
      <c r="A48" s="601" t="s">
        <v>133</v>
      </c>
      <c r="B48" s="35"/>
      <c r="C48" s="35"/>
      <c r="D48" s="35"/>
      <c r="E48" s="35"/>
      <c r="F48" s="35"/>
      <c r="G48" s="35"/>
      <c r="H48" s="35"/>
      <c r="I48" s="35"/>
      <c r="J48" s="265"/>
    </row>
    <row r="49" spans="1:10">
      <c r="A49" s="576"/>
      <c r="B49" s="574"/>
      <c r="C49" s="603" t="s">
        <v>135</v>
      </c>
      <c r="D49" s="603"/>
      <c r="E49" s="604"/>
      <c r="F49" s="35"/>
      <c r="G49" s="35"/>
      <c r="H49" s="35"/>
      <c r="I49" s="35"/>
      <c r="J49" s="265"/>
    </row>
    <row r="50" spans="1:10">
      <c r="A50" s="576"/>
      <c r="B50" s="605" t="s">
        <v>189</v>
      </c>
      <c r="C50" s="259"/>
      <c r="D50" s="229"/>
      <c r="E50" s="606"/>
      <c r="F50" s="318"/>
      <c r="G50" s="35"/>
      <c r="H50" s="35"/>
      <c r="I50" s="35"/>
      <c r="J50" s="265"/>
    </row>
    <row r="51" spans="1:10">
      <c r="A51" s="576"/>
      <c r="B51" s="607" t="s">
        <v>182</v>
      </c>
      <c r="C51" s="602" t="s">
        <v>184</v>
      </c>
      <c r="D51" s="602"/>
      <c r="E51" s="608"/>
      <c r="F51" s="318"/>
      <c r="G51" s="35"/>
      <c r="H51" s="35"/>
      <c r="I51" s="35"/>
      <c r="J51" s="265"/>
    </row>
    <row r="52" spans="1:10" ht="13.5" thickBot="1">
      <c r="A52" s="576"/>
      <c r="B52" s="201" t="s">
        <v>121</v>
      </c>
      <c r="C52" s="230" t="s">
        <v>185</v>
      </c>
      <c r="D52" s="230"/>
      <c r="E52" s="231"/>
      <c r="F52" s="318"/>
      <c r="G52" s="35"/>
      <c r="H52" s="35"/>
      <c r="I52" s="35"/>
      <c r="J52" s="265"/>
    </row>
    <row r="53" spans="1:10">
      <c r="A53" s="576"/>
      <c r="B53" s="35"/>
      <c r="C53" s="35"/>
      <c r="D53" s="35"/>
      <c r="E53" s="35"/>
      <c r="F53" s="35"/>
      <c r="G53" s="35"/>
      <c r="H53" s="35"/>
      <c r="I53" s="35"/>
      <c r="J53" s="265"/>
    </row>
    <row r="54" spans="1:10" ht="15">
      <c r="A54" s="601" t="s">
        <v>134</v>
      </c>
      <c r="B54" s="35"/>
      <c r="C54" s="35"/>
      <c r="D54" s="35"/>
      <c r="E54" s="35"/>
      <c r="F54" s="35"/>
      <c r="G54" s="35"/>
      <c r="H54" s="35"/>
      <c r="I54" s="35"/>
      <c r="J54" s="265"/>
    </row>
    <row r="55" spans="1:10">
      <c r="A55" s="576"/>
      <c r="B55" s="574"/>
      <c r="C55" s="603" t="s">
        <v>135</v>
      </c>
      <c r="D55" s="603"/>
      <c r="E55" s="604"/>
      <c r="F55" s="35"/>
      <c r="G55" s="35"/>
      <c r="H55" s="35"/>
      <c r="I55" s="35"/>
      <c r="J55" s="265"/>
    </row>
    <row r="56" spans="1:10">
      <c r="A56" s="576"/>
      <c r="B56" s="605" t="s">
        <v>189</v>
      </c>
      <c r="C56" s="259"/>
      <c r="D56" s="229"/>
      <c r="E56" s="606"/>
      <c r="F56" s="318"/>
      <c r="G56" s="35"/>
      <c r="H56" s="35"/>
      <c r="I56" s="35"/>
      <c r="J56" s="265"/>
    </row>
    <row r="57" spans="1:10">
      <c r="A57" s="576"/>
      <c r="B57" s="605" t="s">
        <v>182</v>
      </c>
      <c r="C57" s="229" t="s">
        <v>185</v>
      </c>
      <c r="D57" s="229"/>
      <c r="E57" s="606"/>
      <c r="F57" s="318"/>
      <c r="G57" s="35"/>
      <c r="H57" s="35"/>
      <c r="I57" s="35"/>
      <c r="J57" s="265"/>
    </row>
    <row r="58" spans="1:10">
      <c r="A58" s="577"/>
      <c r="B58" s="607" t="s">
        <v>121</v>
      </c>
      <c r="C58" s="602" t="s">
        <v>184</v>
      </c>
      <c r="D58" s="602"/>
      <c r="E58" s="608"/>
      <c r="F58" s="491"/>
      <c r="G58" s="355"/>
      <c r="H58" s="355"/>
      <c r="I58" s="355"/>
      <c r="J58" s="266"/>
    </row>
  </sheetData>
  <phoneticPr fontId="0" type="noConversion"/>
  <pageMargins left="0.17" right="0.17" top="1" bottom="1" header="0.5" footer="0.5"/>
  <pageSetup scale="89" orientation="landscape" horizontalDpi="4294967292" r:id="rId1"/>
  <headerFooter alignWithMargins="0">
    <oddFooter>&amp;R&amp;F
&amp;A
&amp;D, &amp;T</oddFooter>
  </headerFooter>
  <rowBreaks count="1" manualBreakCount="1">
    <brk id="41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55" r:id="rId4" name="Drop Down 27">
              <controlPr defaultSize="0" autoLine="0" autoPict="0">
                <anchor moveWithCells="1">
                  <from>
                    <xdr:col>5</xdr:col>
                    <xdr:colOff>19050</xdr:colOff>
                    <xdr:row>36</xdr:row>
                    <xdr:rowOff>476250</xdr:rowOff>
                  </from>
                  <to>
                    <xdr:col>6</xdr:col>
                    <xdr:colOff>66675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5" name="Drop Down 30">
              <controlPr defaultSize="0" autoLine="0" autoPict="0">
                <anchor moveWithCells="1">
                  <from>
                    <xdr:col>5</xdr:col>
                    <xdr:colOff>28575</xdr:colOff>
                    <xdr:row>40</xdr:row>
                    <xdr:rowOff>9525</xdr:rowOff>
                  </from>
                  <to>
                    <xdr:col>6</xdr:col>
                    <xdr:colOff>47625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6" name="Drop Down 31">
              <controlPr defaultSize="0" autoLine="0" autoPict="0">
                <anchor moveWithCells="1">
                  <from>
                    <xdr:col>5</xdr:col>
                    <xdr:colOff>47625</xdr:colOff>
                    <xdr:row>43</xdr:row>
                    <xdr:rowOff>9525</xdr:rowOff>
                  </from>
                  <to>
                    <xdr:col>6</xdr:col>
                    <xdr:colOff>66675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7" name="Drop Down 32">
              <controlPr defaultSize="0" autoLine="0" autoPict="0">
                <anchor moveWithCells="1">
                  <from>
                    <xdr:col>6</xdr:col>
                    <xdr:colOff>104775</xdr:colOff>
                    <xdr:row>37</xdr:row>
                    <xdr:rowOff>9525</xdr:rowOff>
                  </from>
                  <to>
                    <xdr:col>6</xdr:col>
                    <xdr:colOff>1219200</xdr:colOff>
                    <xdr:row>38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8" name="Drop Down 33">
              <controlPr defaultSize="0" autoLine="0" autoPict="0">
                <anchor moveWithCells="1">
                  <from>
                    <xdr:col>6</xdr:col>
                    <xdr:colOff>85725</xdr:colOff>
                    <xdr:row>40</xdr:row>
                    <xdr:rowOff>9525</xdr:rowOff>
                  </from>
                  <to>
                    <xdr:col>6</xdr:col>
                    <xdr:colOff>1247775</xdr:colOff>
                    <xdr:row>41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9" name="Drop Down 34">
              <controlPr defaultSize="0" autoLine="0" autoPict="0">
                <anchor moveWithCells="1">
                  <from>
                    <xdr:col>6</xdr:col>
                    <xdr:colOff>76200</xdr:colOff>
                    <xdr:row>43</xdr:row>
                    <xdr:rowOff>9525</xdr:rowOff>
                  </from>
                  <to>
                    <xdr:col>6</xdr:col>
                    <xdr:colOff>1228725</xdr:colOff>
                    <xdr:row>44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M57"/>
  <sheetViews>
    <sheetView showGridLines="0" zoomScale="75" workbookViewId="0">
      <selection activeCell="A5" sqref="A5"/>
    </sheetView>
  </sheetViews>
  <sheetFormatPr defaultRowHeight="12.75"/>
  <cols>
    <col min="2" max="2" width="10.28515625" customWidth="1"/>
    <col min="3" max="3" width="9.85546875" customWidth="1"/>
    <col min="5" max="5" width="15.42578125" customWidth="1"/>
    <col min="8" max="8" width="10.28515625" customWidth="1"/>
    <col min="9" max="9" width="14.140625" customWidth="1"/>
    <col min="10" max="10" width="16" customWidth="1"/>
    <col min="11" max="11" width="10.7109375" customWidth="1"/>
    <col min="12" max="12" width="14.28515625" bestFit="1" customWidth="1"/>
  </cols>
  <sheetData>
    <row r="1" spans="1:13" ht="20.25">
      <c r="A1" s="569" t="str">
        <f>"Project "&amp;Assumptions!D7</f>
        <v>Project Wolverine</v>
      </c>
      <c r="B1" s="839"/>
      <c r="C1" s="839"/>
      <c r="D1" s="839"/>
      <c r="E1" s="840"/>
      <c r="F1" s="23"/>
      <c r="G1" s="23"/>
      <c r="H1" s="23"/>
      <c r="I1" s="23"/>
      <c r="J1" s="23"/>
      <c r="K1" s="23"/>
      <c r="L1" s="23"/>
      <c r="M1" s="23"/>
    </row>
    <row r="2" spans="1:13" ht="16.5" thickBot="1">
      <c r="A2" s="571" t="s">
        <v>251</v>
      </c>
      <c r="B2" s="841"/>
      <c r="C2" s="841"/>
      <c r="D2" s="841"/>
      <c r="E2" s="842"/>
      <c r="F2" s="23"/>
      <c r="G2" s="23"/>
      <c r="H2" s="23"/>
      <c r="I2" s="23"/>
      <c r="J2" s="23"/>
      <c r="K2" s="23"/>
      <c r="L2" s="23"/>
      <c r="M2" s="23"/>
    </row>
    <row r="3" spans="1:13" ht="15.75">
      <c r="A3" s="351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>
      <c r="A4" s="465" t="s">
        <v>288</v>
      </c>
      <c r="B4" s="515"/>
      <c r="C4" s="515"/>
      <c r="D4" s="515"/>
      <c r="E4" s="521" t="s">
        <v>285</v>
      </c>
      <c r="F4" s="23"/>
      <c r="L4" s="23"/>
      <c r="M4" s="23"/>
    </row>
    <row r="5" spans="1:13" ht="13.5" customHeight="1">
      <c r="A5" s="297" t="str">
        <f>'Pipeline Co DCF'!A2</f>
        <v>Panhandle Eastern</v>
      </c>
      <c r="C5" s="518">
        <f>Assumptions!C38</f>
        <v>1</v>
      </c>
      <c r="D5" s="298"/>
      <c r="E5" s="517">
        <f>IF(C5=1,Asset3PurPrice,0)</f>
        <v>2875629.9945915965</v>
      </c>
      <c r="F5" s="23"/>
      <c r="L5" s="23"/>
      <c r="M5" s="23"/>
    </row>
    <row r="6" spans="1:13" ht="13.5" customHeight="1">
      <c r="A6" s="290" t="str">
        <f>'Consumers DCF'!A2</f>
        <v>Consumers Energy</v>
      </c>
      <c r="C6" s="519">
        <f>Assumptions!C41</f>
        <v>1</v>
      </c>
      <c r="D6" s="268"/>
      <c r="E6" s="341">
        <f>IF(C6=1,Asset1PurPrice,0)</f>
        <v>27999.048234899619</v>
      </c>
      <c r="F6" s="23"/>
      <c r="L6" s="23"/>
      <c r="M6" s="23"/>
    </row>
    <row r="7" spans="1:13">
      <c r="A7" s="516" t="str">
        <f>'Corp DCF'!A2</f>
        <v>Other</v>
      </c>
      <c r="B7" s="355"/>
      <c r="C7" s="520">
        <f>Assumptions!C44</f>
        <v>1</v>
      </c>
      <c r="D7" s="304"/>
      <c r="E7" s="342">
        <f>IF(C7=1,Asset2PurPrice,0)</f>
        <v>1940.6590555006883</v>
      </c>
      <c r="F7" s="269"/>
      <c r="L7" s="23"/>
      <c r="M7" s="23"/>
    </row>
    <row r="8" spans="1:13">
      <c r="A8" s="267"/>
      <c r="B8" s="23"/>
      <c r="C8" s="268"/>
      <c r="D8" s="268"/>
      <c r="E8" s="268"/>
      <c r="F8" s="269"/>
      <c r="G8" s="23"/>
      <c r="H8" s="23"/>
      <c r="I8" s="23"/>
      <c r="J8" s="23"/>
      <c r="K8" s="23"/>
      <c r="L8" s="23"/>
      <c r="M8" s="23"/>
    </row>
    <row r="9" spans="1:13">
      <c r="A9" s="271" t="s">
        <v>191</v>
      </c>
      <c r="B9" s="272"/>
      <c r="C9" s="272"/>
      <c r="D9" s="272"/>
      <c r="E9" s="344" t="s">
        <v>192</v>
      </c>
      <c r="G9" s="271" t="s">
        <v>193</v>
      </c>
      <c r="H9" s="272"/>
      <c r="I9" s="274"/>
      <c r="J9" s="273"/>
      <c r="K9" s="344" t="s">
        <v>192</v>
      </c>
      <c r="M9" s="23"/>
    </row>
    <row r="10" spans="1:13">
      <c r="A10" s="279" t="s">
        <v>195</v>
      </c>
      <c r="B10" s="281"/>
      <c r="C10" s="281"/>
      <c r="D10" s="340">
        <f>1-D11</f>
        <v>0.5</v>
      </c>
      <c r="E10" s="341">
        <f>D10*K10</f>
        <v>1452784.8509409984</v>
      </c>
      <c r="G10" s="275" t="s">
        <v>194</v>
      </c>
      <c r="H10" s="276"/>
      <c r="I10" s="277"/>
      <c r="J10" s="278"/>
      <c r="K10" s="339">
        <f>SUM(E5:E7)</f>
        <v>2905569.7018819968</v>
      </c>
      <c r="M10" s="23"/>
    </row>
    <row r="11" spans="1:13">
      <c r="A11" s="279" t="s">
        <v>196</v>
      </c>
      <c r="B11" s="281"/>
      <c r="C11" s="281"/>
      <c r="D11" s="340">
        <f>Assumptions!D31</f>
        <v>0.5</v>
      </c>
      <c r="E11" s="342">
        <f>D11*K10</f>
        <v>1452784.8509409984</v>
      </c>
      <c r="G11" s="279" t="s">
        <v>197</v>
      </c>
      <c r="H11" s="280"/>
      <c r="I11" s="282"/>
      <c r="J11" s="332"/>
      <c r="K11" s="345">
        <v>0</v>
      </c>
      <c r="M11" s="23"/>
    </row>
    <row r="12" spans="1:13">
      <c r="A12" s="343" t="s">
        <v>249</v>
      </c>
      <c r="B12" s="283"/>
      <c r="C12" s="283"/>
      <c r="D12" s="283"/>
      <c r="E12" s="342">
        <f>SUM(E10:E11)</f>
        <v>2905569.7018819968</v>
      </c>
      <c r="G12" s="284"/>
      <c r="H12" s="283"/>
      <c r="I12" s="283"/>
      <c r="J12" s="285"/>
      <c r="K12" s="342">
        <f>SUM(K10:K11)</f>
        <v>2905569.7018819968</v>
      </c>
      <c r="M12" s="23"/>
    </row>
    <row r="13" spans="1:13">
      <c r="G13" s="23"/>
      <c r="M13" s="23"/>
    </row>
    <row r="14" spans="1:13" ht="24">
      <c r="A14" s="359" t="s">
        <v>220</v>
      </c>
      <c r="B14" s="360"/>
      <c r="C14" s="361"/>
      <c r="D14" s="361"/>
      <c r="E14" s="362" t="s">
        <v>221</v>
      </c>
      <c r="F14" s="362" t="s">
        <v>250</v>
      </c>
      <c r="G14" s="362" t="s">
        <v>53</v>
      </c>
      <c r="H14" s="362" t="s">
        <v>222</v>
      </c>
      <c r="I14" s="362" t="s">
        <v>223</v>
      </c>
      <c r="J14" s="363" t="s">
        <v>224</v>
      </c>
      <c r="M14" s="23"/>
    </row>
    <row r="15" spans="1:13">
      <c r="A15" s="279"/>
      <c r="B15" s="268"/>
      <c r="C15" s="307"/>
      <c r="D15" s="308" t="s">
        <v>225</v>
      </c>
      <c r="E15" s="349">
        <v>0.5</v>
      </c>
      <c r="F15" s="461">
        <v>10</v>
      </c>
      <c r="G15" s="309">
        <f>Scenarios!B45</f>
        <v>7.4999999999999997E-2</v>
      </c>
      <c r="H15" s="335">
        <v>1</v>
      </c>
      <c r="I15" s="310">
        <v>2</v>
      </c>
      <c r="J15" s="440">
        <v>1</v>
      </c>
      <c r="M15" s="23"/>
    </row>
    <row r="16" spans="1:13">
      <c r="A16" s="279"/>
      <c r="B16" s="268"/>
      <c r="C16" s="307"/>
      <c r="D16" s="308" t="s">
        <v>226</v>
      </c>
      <c r="E16" s="349">
        <v>0</v>
      </c>
      <c r="F16" s="461">
        <v>8</v>
      </c>
      <c r="G16" s="309">
        <f>6.82%+3.5%</f>
        <v>0.1032</v>
      </c>
      <c r="H16" s="335">
        <v>1</v>
      </c>
      <c r="I16" s="310">
        <v>2</v>
      </c>
      <c r="J16" s="440">
        <v>0.2</v>
      </c>
      <c r="M16" s="23"/>
    </row>
    <row r="17" spans="1:13">
      <c r="A17" s="279"/>
      <c r="B17" s="268"/>
      <c r="C17" s="307"/>
      <c r="D17" s="308" t="s">
        <v>227</v>
      </c>
      <c r="E17" s="350">
        <f>D11-E15-E16</f>
        <v>0</v>
      </c>
      <c r="F17" s="461">
        <v>7</v>
      </c>
      <c r="G17" s="309">
        <f>5.8%+5.2%</f>
        <v>0.11</v>
      </c>
      <c r="H17" s="335">
        <v>0</v>
      </c>
      <c r="I17" s="310">
        <v>1</v>
      </c>
      <c r="J17" s="440">
        <v>0</v>
      </c>
      <c r="M17" s="23"/>
    </row>
    <row r="18" spans="1:13">
      <c r="A18" s="279"/>
      <c r="B18" s="268"/>
      <c r="C18" s="307"/>
      <c r="D18" s="308" t="s">
        <v>252</v>
      </c>
      <c r="E18" s="350" t="s">
        <v>253</v>
      </c>
      <c r="F18" s="461" t="s">
        <v>253</v>
      </c>
      <c r="G18" s="309">
        <v>9.5000000000000001E-2</v>
      </c>
      <c r="H18" s="335">
        <v>1</v>
      </c>
      <c r="I18" s="310" t="s">
        <v>253</v>
      </c>
      <c r="J18" s="440" t="s">
        <v>253</v>
      </c>
      <c r="M18" s="23"/>
    </row>
    <row r="19" spans="1:13">
      <c r="A19" s="279"/>
      <c r="B19" s="308"/>
      <c r="C19" s="307"/>
      <c r="D19" s="307" t="s">
        <v>228</v>
      </c>
      <c r="E19" s="349">
        <v>0.5</v>
      </c>
      <c r="F19" s="336"/>
      <c r="G19" s="336"/>
      <c r="H19" s="336"/>
      <c r="I19" s="357"/>
      <c r="J19" s="364"/>
      <c r="M19" s="23"/>
    </row>
    <row r="20" spans="1:13">
      <c r="A20" s="284"/>
      <c r="B20" s="312"/>
      <c r="C20" s="313"/>
      <c r="D20" s="313" t="s">
        <v>229</v>
      </c>
      <c r="E20" s="365">
        <v>0.5</v>
      </c>
      <c r="F20" s="371" t="s">
        <v>230</v>
      </c>
      <c r="G20" s="338"/>
      <c r="H20" s="338"/>
      <c r="I20" s="355"/>
      <c r="J20" s="366"/>
      <c r="M20" s="23"/>
    </row>
    <row r="21" spans="1:13">
      <c r="M21" s="23"/>
    </row>
    <row r="22" spans="1:13">
      <c r="A22" s="465" t="s">
        <v>279</v>
      </c>
      <c r="B22" s="442"/>
      <c r="C22" s="442"/>
      <c r="D22" s="442"/>
      <c r="E22" s="442"/>
      <c r="M22" s="23"/>
    </row>
    <row r="23" spans="1:13">
      <c r="A23" s="297" t="s">
        <v>216</v>
      </c>
      <c r="B23" s="298"/>
      <c r="C23" s="298"/>
      <c r="D23" s="298"/>
      <c r="E23" s="299">
        <f>([5]BS!P11-[5]BS!P7-[5]BS!P19)/2/'[5]Curves Assumptions'!O13</f>
        <v>20.960927605959043</v>
      </c>
      <c r="M23" s="23"/>
    </row>
    <row r="24" spans="1:13">
      <c r="A24" s="290" t="s">
        <v>217</v>
      </c>
      <c r="B24" s="268"/>
      <c r="C24" s="268"/>
      <c r="D24" s="268"/>
      <c r="E24" s="300">
        <v>0</v>
      </c>
      <c r="M24" s="23"/>
    </row>
    <row r="25" spans="1:13">
      <c r="A25" s="301" t="s">
        <v>218</v>
      </c>
      <c r="B25" s="268"/>
      <c r="C25" s="268"/>
      <c r="D25" s="268"/>
      <c r="E25" s="302" t="e">
        <f>IF(#REF!&gt;1-E20," Warning: Reset FCF toggle","OK")</f>
        <v>#REF!</v>
      </c>
      <c r="M25" s="23"/>
    </row>
    <row r="26" spans="1:13">
      <c r="A26" s="301" t="str">
        <f>IF(SUM([5]BS!P20:T20)=0,"Note: No revolver is being drawn", "Warning: Revolver is being drawn")</f>
        <v>Note: No revolver is being drawn</v>
      </c>
      <c r="B26" s="268"/>
      <c r="C26" s="69"/>
      <c r="D26" s="268"/>
      <c r="E26" s="302"/>
      <c r="M26" s="23"/>
    </row>
    <row r="27" spans="1:13">
      <c r="A27" s="303" t="s">
        <v>219</v>
      </c>
      <c r="B27" s="304"/>
      <c r="C27" s="304"/>
      <c r="D27" s="304"/>
      <c r="E27" s="305">
        <f>-PV(L37,5,0,[5]DCF_US!P46)/E10</f>
        <v>1.1957728783714832E-4</v>
      </c>
      <c r="F27" s="336"/>
      <c r="G27" s="336"/>
      <c r="H27" s="336"/>
      <c r="I27" s="337"/>
      <c r="J27" s="337"/>
      <c r="M27" s="23"/>
    </row>
    <row r="28" spans="1:13">
      <c r="M28" s="23"/>
    </row>
    <row r="29" spans="1:13">
      <c r="A29" s="271" t="s">
        <v>198</v>
      </c>
      <c r="B29" s="272"/>
      <c r="C29" s="272"/>
      <c r="D29" s="272"/>
      <c r="E29" s="272"/>
      <c r="F29" s="272"/>
      <c r="G29" s="23"/>
      <c r="H29" s="271" t="s">
        <v>199</v>
      </c>
      <c r="I29" s="272"/>
      <c r="J29" s="272"/>
      <c r="K29" s="273"/>
      <c r="L29" s="273" t="s">
        <v>192</v>
      </c>
      <c r="M29" s="23"/>
    </row>
    <row r="30" spans="1:13">
      <c r="A30" s="279" t="s">
        <v>200</v>
      </c>
      <c r="B30" s="280"/>
      <c r="C30" s="280"/>
      <c r="D30" s="280"/>
      <c r="E30" s="280"/>
      <c r="F30" s="330">
        <v>2.6</v>
      </c>
      <c r="G30" s="270"/>
      <c r="H30" s="275" t="s">
        <v>201</v>
      </c>
      <c r="I30" s="276"/>
      <c r="J30" s="276"/>
      <c r="K30" s="286"/>
      <c r="L30" s="287">
        <f>E12/'[5]Volume Assumptions'!$P$38*1000</f>
        <v>5645605.7273534099</v>
      </c>
      <c r="M30" s="23"/>
    </row>
    <row r="31" spans="1:13">
      <c r="A31" s="279" t="s">
        <v>202</v>
      </c>
      <c r="B31" s="280"/>
      <c r="C31" s="280"/>
      <c r="D31" s="280"/>
      <c r="E31" s="280"/>
      <c r="F31" s="331">
        <v>3</v>
      </c>
      <c r="G31" s="23"/>
      <c r="H31" s="279" t="s">
        <v>203</v>
      </c>
      <c r="I31" s="280"/>
      <c r="J31" s="280"/>
      <c r="K31" s="288"/>
      <c r="L31" s="289">
        <f>E12/('[5]P&amp;L'!$J$13/'[5]Curves Assumptions'!O13)</f>
        <v>42228.651926926512</v>
      </c>
      <c r="M31" s="23"/>
    </row>
    <row r="32" spans="1:13">
      <c r="A32" s="279" t="s">
        <v>205</v>
      </c>
      <c r="B32" s="280"/>
      <c r="C32" s="280"/>
      <c r="D32" s="280"/>
      <c r="E32" s="280"/>
      <c r="F32" s="291">
        <f>MIN([5]BS!P36:T36)</f>
        <v>3.8638210039338445</v>
      </c>
      <c r="G32" s="23"/>
      <c r="H32" s="279" t="s">
        <v>204</v>
      </c>
      <c r="I32" s="280"/>
      <c r="J32" s="280"/>
      <c r="K32" s="288"/>
      <c r="L32" s="289">
        <f>E12/('[5]P&amp;L'!$P$13/'[5]Curves Assumptions'!P13)</f>
        <v>40016.831456379856</v>
      </c>
      <c r="M32" s="306"/>
    </row>
    <row r="33" spans="1:13">
      <c r="A33" s="279" t="s">
        <v>207</v>
      </c>
      <c r="B33" s="280"/>
      <c r="C33" s="280"/>
      <c r="D33" s="280"/>
      <c r="E33" s="280"/>
      <c r="F33" s="292" t="str">
        <f>IF(MAX([5]Debt!P47:T47)&gt;E23,"Default","OK")</f>
        <v>OK</v>
      </c>
      <c r="G33" s="23"/>
      <c r="H33" s="279" t="s">
        <v>206</v>
      </c>
      <c r="I33" s="268"/>
      <c r="J33" s="268"/>
      <c r="K33" s="288"/>
      <c r="L33" s="289" t="e">
        <f>(K10+#REF!-#REF!)/(AVERAGE('[5]P&amp;L'!E13:I13)/'[5]Curves Assumptions'!O13)</f>
        <v>#REF!</v>
      </c>
      <c r="M33" s="306"/>
    </row>
    <row r="34" spans="1:13">
      <c r="A34" s="279" t="s">
        <v>209</v>
      </c>
      <c r="B34" s="280"/>
      <c r="C34" s="280"/>
      <c r="D34" s="280"/>
      <c r="E34" s="280"/>
      <c r="F34" s="291">
        <f>MAX([5]BS!O33:T33)</f>
        <v>48.620080887548887</v>
      </c>
      <c r="G34" s="23"/>
      <c r="H34" s="279" t="s">
        <v>208</v>
      </c>
      <c r="I34" s="268"/>
      <c r="J34" s="268"/>
      <c r="K34" s="288"/>
      <c r="L34" s="289">
        <f>E12/(AVERAGE('[5]P&amp;L'!P13:T13)/'[5]Curves Assumptions'!O13)</f>
        <v>40855.10845229718</v>
      </c>
      <c r="M34" s="311"/>
    </row>
    <row r="35" spans="1:13">
      <c r="A35" s="279" t="s">
        <v>211</v>
      </c>
      <c r="B35" s="280"/>
      <c r="C35" s="280"/>
      <c r="D35" s="280"/>
      <c r="E35" s="280"/>
      <c r="F35" s="291">
        <f>[5]BS!O33</f>
        <v>48.620080887548887</v>
      </c>
      <c r="G35" s="23"/>
      <c r="H35" s="279" t="s">
        <v>210</v>
      </c>
      <c r="I35" s="280"/>
      <c r="J35" s="280"/>
      <c r="K35" s="288"/>
      <c r="L35" s="289">
        <f>E10/('[5]P&amp;L'!$P$28/'[5]Curves Assumptions'!P13)</f>
        <v>90719.896007664734</v>
      </c>
      <c r="M35" s="311"/>
    </row>
    <row r="36" spans="1:13">
      <c r="A36" s="279" t="s">
        <v>213</v>
      </c>
      <c r="B36" s="280"/>
      <c r="C36" s="280"/>
      <c r="D36" s="280"/>
      <c r="E36" s="280"/>
      <c r="F36" s="291">
        <f>[5]BS!O35</f>
        <v>2.4762000145616527</v>
      </c>
      <c r="G36" s="23"/>
      <c r="H36" s="279" t="s">
        <v>212</v>
      </c>
      <c r="I36" s="280"/>
      <c r="J36" s="280"/>
      <c r="K36" s="288"/>
      <c r="L36" s="289">
        <f>E$10/('[5]P&amp;L'!Q28/'[5]Curves Assumptions'!Q13)</f>
        <v>114884.08916129793</v>
      </c>
      <c r="M36" s="311"/>
    </row>
    <row r="37" spans="1:13">
      <c r="A37" s="279" t="s">
        <v>214</v>
      </c>
      <c r="B37" s="280"/>
      <c r="C37" s="280"/>
      <c r="D37" s="280"/>
      <c r="E37" s="280"/>
      <c r="F37" s="291">
        <f>MIN([5]BS!P39:T39)</f>
        <v>1.350132877674342</v>
      </c>
      <c r="G37" s="23"/>
      <c r="H37" s="293" t="str">
        <f>"IRR ("&amp;[5]DCF_US!M29&amp;" Exit)"</f>
        <v>IRR (5.5 Exit)</v>
      </c>
      <c r="I37" s="283"/>
      <c r="J37" s="283"/>
      <c r="K37" s="294"/>
      <c r="L37" s="295">
        <f>[5]DCF_US!M42</f>
        <v>0.13260503149261729</v>
      </c>
      <c r="M37" s="311"/>
    </row>
    <row r="38" spans="1:13">
      <c r="A38" s="284" t="s">
        <v>215</v>
      </c>
      <c r="B38" s="283"/>
      <c r="C38" s="283"/>
      <c r="D38" s="283"/>
      <c r="E38" s="283"/>
      <c r="F38" s="296">
        <f>[5]BS!P39</f>
        <v>1.350132877674342</v>
      </c>
      <c r="G38" s="23"/>
      <c r="M38" s="311"/>
    </row>
    <row r="39" spans="1:13">
      <c r="A39" s="368"/>
      <c r="B39" s="308"/>
      <c r="C39" s="369"/>
      <c r="D39" s="369"/>
      <c r="E39" s="370"/>
      <c r="L39" s="367"/>
      <c r="M39" s="311"/>
    </row>
    <row r="40" spans="1:13">
      <c r="M40" s="311"/>
    </row>
    <row r="41" spans="1:13">
      <c r="M41" s="268"/>
    </row>
    <row r="42" spans="1:13">
      <c r="M42" s="23"/>
    </row>
    <row r="43" spans="1:13">
      <c r="M43" s="23"/>
    </row>
    <row r="44" spans="1:13">
      <c r="M44" s="23"/>
    </row>
    <row r="45" spans="1:13">
      <c r="M45" s="23"/>
    </row>
    <row r="46" spans="1:13">
      <c r="M46" s="23"/>
    </row>
    <row r="47" spans="1:13">
      <c r="M47" s="23"/>
    </row>
    <row r="48" spans="1:13">
      <c r="M48" s="23"/>
    </row>
    <row r="49" spans="1:13">
      <c r="M49" s="23"/>
    </row>
    <row r="50" spans="1:13">
      <c r="M50" s="23"/>
    </row>
    <row r="51" spans="1:13">
      <c r="A51" s="23"/>
      <c r="B51" s="311"/>
      <c r="C51" s="311"/>
      <c r="D51" s="83"/>
      <c r="E51" s="346"/>
      <c r="F51" s="346"/>
      <c r="G51" s="346"/>
      <c r="H51" s="346"/>
      <c r="I51" s="311"/>
      <c r="J51" s="311"/>
      <c r="K51" s="346"/>
      <c r="L51" s="270"/>
      <c r="M51" s="23"/>
    </row>
    <row r="52" spans="1:13">
      <c r="A52" s="23"/>
      <c r="B52" s="311"/>
      <c r="C52" s="311"/>
      <c r="D52" s="311"/>
      <c r="E52" s="311"/>
      <c r="F52" s="347"/>
      <c r="G52" s="347"/>
      <c r="H52" s="347"/>
      <c r="I52" s="347"/>
      <c r="J52" s="347"/>
      <c r="K52" s="346"/>
      <c r="L52" s="270"/>
      <c r="M52" s="23"/>
    </row>
    <row r="53" spans="1:13">
      <c r="A53" s="23"/>
      <c r="B53" s="311"/>
      <c r="C53" s="311"/>
      <c r="D53" s="346"/>
      <c r="E53" s="346"/>
      <c r="F53" s="348"/>
      <c r="G53" s="348"/>
      <c r="H53" s="348"/>
      <c r="I53" s="348"/>
      <c r="J53" s="348"/>
      <c r="K53" s="346"/>
      <c r="L53" s="270"/>
      <c r="M53" s="23"/>
    </row>
    <row r="54" spans="1:13">
      <c r="A54" s="23"/>
      <c r="B54" s="311"/>
      <c r="C54" s="311"/>
      <c r="D54" s="311"/>
      <c r="E54" s="311"/>
      <c r="F54" s="348"/>
      <c r="G54" s="348"/>
      <c r="H54" s="348"/>
      <c r="I54" s="348"/>
      <c r="J54" s="348"/>
      <c r="K54" s="346"/>
      <c r="L54" s="270"/>
      <c r="M54" s="23"/>
    </row>
    <row r="55" spans="1:13">
      <c r="A55" s="270"/>
      <c r="B55" s="346"/>
      <c r="C55" s="346"/>
      <c r="D55" s="346"/>
      <c r="E55" s="346"/>
      <c r="F55" s="346"/>
      <c r="G55" s="346"/>
      <c r="H55" s="346"/>
      <c r="I55" s="346"/>
      <c r="J55" s="346"/>
      <c r="K55" s="346"/>
      <c r="L55" s="270"/>
      <c r="M55" s="23"/>
    </row>
    <row r="56" spans="1:13">
      <c r="A56" s="270"/>
      <c r="B56" s="346"/>
      <c r="C56" s="346"/>
      <c r="D56" s="346"/>
      <c r="E56" s="346"/>
      <c r="F56" s="346"/>
      <c r="G56" s="346"/>
      <c r="H56" s="346"/>
      <c r="I56" s="346"/>
      <c r="J56" s="346"/>
      <c r="K56" s="346"/>
      <c r="L56" s="270"/>
      <c r="M56" s="23"/>
    </row>
    <row r="57" spans="1:13">
      <c r="B57" s="45"/>
      <c r="C57" s="45"/>
      <c r="D57" s="45"/>
      <c r="E57" s="45"/>
      <c r="F57" s="45"/>
      <c r="G57" s="45"/>
      <c r="H57" s="45"/>
      <c r="I57" s="45"/>
      <c r="J57" s="45"/>
      <c r="K57" s="4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P103"/>
  <sheetViews>
    <sheetView showGridLines="0" topLeftCell="A2" zoomScale="75" workbookViewId="0">
      <selection activeCell="E68" sqref="E68"/>
    </sheetView>
  </sheetViews>
  <sheetFormatPr defaultRowHeight="12.75" outlineLevelRow="1"/>
  <cols>
    <col min="1" max="1" width="14.140625" customWidth="1"/>
    <col min="3" max="3" width="9.5703125" customWidth="1"/>
    <col min="4" max="4" width="12.5703125" customWidth="1"/>
    <col min="5" max="5" width="13.42578125" customWidth="1"/>
    <col min="6" max="6" width="14.140625" customWidth="1"/>
    <col min="7" max="7" width="11.7109375" customWidth="1"/>
    <col min="8" max="8" width="11.85546875" customWidth="1"/>
    <col min="9" max="9" width="12.5703125" customWidth="1"/>
    <col min="10" max="11" width="11.42578125" customWidth="1"/>
    <col min="12" max="12" width="12.140625" customWidth="1"/>
    <col min="13" max="13" width="11" customWidth="1"/>
    <col min="14" max="14" width="11.42578125" customWidth="1"/>
  </cols>
  <sheetData>
    <row r="1" spans="1:42" ht="20.25">
      <c r="A1" s="569" t="str">
        <f>"Project "&amp;Assumptions!D7</f>
        <v>Project Wolverine</v>
      </c>
      <c r="B1" s="843"/>
      <c r="C1" s="843"/>
      <c r="D1" s="570"/>
      <c r="E1" s="314"/>
      <c r="F1" s="314"/>
      <c r="G1" s="314"/>
      <c r="H1" s="314"/>
      <c r="I1" s="314"/>
      <c r="J1" s="314"/>
      <c r="K1" s="314"/>
      <c r="L1" s="314"/>
      <c r="P1" s="314"/>
      <c r="Q1" s="200"/>
      <c r="R1" s="200" t="s">
        <v>231</v>
      </c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</row>
    <row r="2" spans="1:42" ht="16.5" thickBot="1">
      <c r="A2" s="571" t="s">
        <v>232</v>
      </c>
      <c r="B2" s="844"/>
      <c r="C2" s="844"/>
      <c r="D2" s="572"/>
      <c r="E2" s="314"/>
      <c r="F2" s="315"/>
      <c r="G2" s="314"/>
      <c r="H2" s="314"/>
      <c r="I2" s="314"/>
      <c r="J2" s="314"/>
      <c r="K2" s="314"/>
      <c r="L2" s="314"/>
      <c r="P2" s="314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</row>
    <row r="3" spans="1:42">
      <c r="A3" s="375"/>
      <c r="B3" s="304"/>
      <c r="C3" s="304"/>
      <c r="D3" s="376"/>
      <c r="E3" s="376"/>
      <c r="F3" s="304"/>
      <c r="G3" s="304"/>
      <c r="H3" s="304"/>
      <c r="I3" s="304"/>
      <c r="J3" s="268"/>
      <c r="K3" s="268"/>
      <c r="L3" s="268"/>
      <c r="M3" s="268"/>
      <c r="N3" s="268"/>
      <c r="O3" s="268"/>
      <c r="P3" s="317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8"/>
      <c r="AN3" s="318"/>
      <c r="AO3" s="318"/>
      <c r="AP3" s="318"/>
    </row>
    <row r="4" spans="1:42">
      <c r="A4" s="427" t="s">
        <v>262</v>
      </c>
      <c r="B4" s="428"/>
      <c r="C4" s="428"/>
      <c r="D4" s="428"/>
      <c r="E4" s="428"/>
      <c r="F4" s="428"/>
      <c r="G4" s="428"/>
      <c r="H4" s="442"/>
      <c r="I4" s="428"/>
      <c r="J4" s="429"/>
      <c r="K4" s="334"/>
      <c r="L4" s="268"/>
      <c r="M4" s="268"/>
      <c r="N4" s="268"/>
      <c r="O4" s="268"/>
      <c r="P4" s="334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20"/>
      <c r="AD4" s="320"/>
      <c r="AE4" s="320"/>
      <c r="AF4" s="320"/>
      <c r="AG4" s="320"/>
      <c r="AH4" s="320"/>
      <c r="AI4" s="320"/>
      <c r="AJ4" s="320"/>
      <c r="AK4" s="320"/>
      <c r="AL4" s="320"/>
      <c r="AM4" s="320"/>
      <c r="AN4" s="320"/>
      <c r="AO4" s="320"/>
      <c r="AP4" s="320"/>
    </row>
    <row r="5" spans="1:42">
      <c r="A5" s="430"/>
      <c r="B5" s="307"/>
      <c r="C5" s="307"/>
      <c r="D5" s="307"/>
      <c r="E5" s="373" t="s">
        <v>255</v>
      </c>
      <c r="F5" s="373" t="s">
        <v>260</v>
      </c>
      <c r="G5" s="373" t="s">
        <v>233</v>
      </c>
      <c r="I5" s="373" t="s">
        <v>258</v>
      </c>
      <c r="J5" s="431"/>
      <c r="K5" s="373"/>
      <c r="L5" s="268"/>
      <c r="M5" s="268"/>
      <c r="N5" s="268"/>
      <c r="O5" s="268"/>
      <c r="P5" s="336"/>
      <c r="Q5" s="377"/>
      <c r="R5" s="377"/>
      <c r="S5" s="377"/>
      <c r="T5" s="377"/>
      <c r="U5" s="377"/>
      <c r="V5" s="377"/>
      <c r="W5" s="377"/>
      <c r="X5" s="377"/>
      <c r="Y5" s="377"/>
      <c r="Z5" s="377"/>
      <c r="AA5" s="377"/>
      <c r="AB5" s="377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</row>
    <row r="6" spans="1:42">
      <c r="A6" s="430"/>
      <c r="B6" s="307"/>
      <c r="C6" s="307"/>
      <c r="D6" s="307"/>
      <c r="E6" s="373" t="s">
        <v>254</v>
      </c>
      <c r="F6" s="373" t="s">
        <v>261</v>
      </c>
      <c r="G6" s="373" t="s">
        <v>235</v>
      </c>
      <c r="H6" s="441" t="s">
        <v>250</v>
      </c>
      <c r="I6" s="373" t="s">
        <v>257</v>
      </c>
      <c r="J6" s="431" t="s">
        <v>259</v>
      </c>
      <c r="K6" s="373"/>
      <c r="L6" s="268"/>
      <c r="M6" s="268"/>
      <c r="N6" s="268"/>
      <c r="O6" s="268"/>
      <c r="P6" s="336"/>
      <c r="Q6" s="377"/>
      <c r="R6" s="377"/>
      <c r="S6" s="377"/>
      <c r="T6" s="377"/>
      <c r="U6" s="377"/>
      <c r="V6" s="377"/>
      <c r="W6" s="377"/>
      <c r="X6" s="377"/>
      <c r="Y6" s="377"/>
      <c r="Z6" s="377"/>
      <c r="AA6" s="377"/>
      <c r="AB6" s="377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</row>
    <row r="7" spans="1:42">
      <c r="A7" s="432" t="s">
        <v>236</v>
      </c>
      <c r="B7" s="414"/>
      <c r="C7" s="414"/>
      <c r="D7" s="414"/>
      <c r="E7" s="433">
        <f>'Fin Stats and Ratios'!E15</f>
        <v>0.5</v>
      </c>
      <c r="F7" s="434">
        <f>E7*'Fin Stats and Ratios'!E12</f>
        <v>1452784.8509409984</v>
      </c>
      <c r="G7" s="433">
        <f>'Fin Stats and Ratios'!G15</f>
        <v>7.4999999999999997E-2</v>
      </c>
      <c r="H7" s="443">
        <f>'Fin Stats and Ratios'!F15</f>
        <v>10</v>
      </c>
      <c r="I7" s="107" t="str">
        <f>IF('Fin Stats and Ratios'!I15=1,"No Amort",IF('Fin Stats and Ratios'!I15=2,"Partial Amort",IF('Fin Stats and Ratios'!I15=3,"Mortgage","N/A")))</f>
        <v>Partial Amort</v>
      </c>
      <c r="J7" s="435">
        <f>'Fin Stats and Ratios'!J15</f>
        <v>1</v>
      </c>
      <c r="K7" s="268"/>
      <c r="L7" s="268"/>
      <c r="M7" s="268"/>
      <c r="N7" s="268"/>
      <c r="O7" s="268"/>
      <c r="P7" s="379"/>
      <c r="Q7" s="378"/>
      <c r="R7" s="378"/>
      <c r="S7" s="378"/>
      <c r="T7" s="378"/>
      <c r="U7" s="378"/>
      <c r="V7" s="378"/>
      <c r="W7" s="378"/>
      <c r="X7" s="378"/>
      <c r="Y7" s="378"/>
      <c r="Z7" s="378"/>
      <c r="AA7" s="378"/>
      <c r="AB7" s="378"/>
      <c r="AC7" s="323"/>
      <c r="AD7" s="323"/>
      <c r="AE7" s="323"/>
      <c r="AF7" s="323"/>
      <c r="AG7" s="323"/>
      <c r="AH7" s="323"/>
      <c r="AI7" s="323"/>
      <c r="AJ7" s="323"/>
      <c r="AK7" s="323"/>
      <c r="AL7" s="323"/>
      <c r="AM7" s="323"/>
      <c r="AN7" s="323"/>
      <c r="AO7" s="323"/>
      <c r="AP7" s="323"/>
    </row>
    <row r="8" spans="1:42">
      <c r="A8" s="432" t="s">
        <v>226</v>
      </c>
      <c r="B8" s="280"/>
      <c r="C8" s="280"/>
      <c r="D8" s="280"/>
      <c r="E8" s="433">
        <f>'Fin Stats and Ratios'!E16</f>
        <v>0</v>
      </c>
      <c r="F8" s="434">
        <f>E8*'Fin Stats and Ratios'!E11</f>
        <v>0</v>
      </c>
      <c r="G8" s="433">
        <f>'Fin Stats and Ratios'!G16</f>
        <v>0.1032</v>
      </c>
      <c r="H8" s="443">
        <f>'Fin Stats and Ratios'!F16</f>
        <v>8</v>
      </c>
      <c r="I8" s="107" t="str">
        <f>IF('Fin Stats and Ratios'!I16=1,"No Amort",IF('Fin Stats and Ratios'!I16=2,"Partial Amort",IF('Fin Stats and Ratios'!I16=3,"Mortgage","N/A")))</f>
        <v>Partial Amort</v>
      </c>
      <c r="J8" s="435">
        <f>IF(I8="Mortgage","100%",'Fin Stats and Ratios'!J16)</f>
        <v>0.2</v>
      </c>
      <c r="K8" s="268"/>
      <c r="L8" s="268"/>
      <c r="M8" s="268"/>
      <c r="N8" s="268"/>
      <c r="O8" s="268"/>
      <c r="P8" s="379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322"/>
      <c r="AD8" s="322"/>
      <c r="AE8" s="322"/>
      <c r="AF8" s="322"/>
      <c r="AG8" s="322"/>
      <c r="AH8" s="322"/>
      <c r="AI8" s="322"/>
      <c r="AJ8" s="322"/>
      <c r="AK8" s="322"/>
      <c r="AL8" s="322"/>
      <c r="AM8" s="322"/>
      <c r="AN8" s="322"/>
      <c r="AO8" s="322"/>
      <c r="AP8" s="322"/>
    </row>
    <row r="9" spans="1:42">
      <c r="A9" s="432" t="s">
        <v>280</v>
      </c>
      <c r="B9" s="280"/>
      <c r="C9" s="280"/>
      <c r="D9" s="280"/>
      <c r="E9" s="433">
        <f>'Fin Stats and Ratios'!E17</f>
        <v>0</v>
      </c>
      <c r="F9" s="434">
        <f>Debt!E9*'Fin Stats and Ratios'!E11</f>
        <v>0</v>
      </c>
      <c r="G9" s="433">
        <f>'Fin Stats and Ratios'!G17</f>
        <v>0.11</v>
      </c>
      <c r="H9" s="443">
        <f>'Fin Stats and Ratios'!F17</f>
        <v>7</v>
      </c>
      <c r="I9" s="107" t="str">
        <f>IF('Fin Stats and Ratios'!I17=1,"No Amort",IF('Fin Stats and Ratios'!I17=2,"Partial Amort",IF('Fin Stats and Ratios'!I17=3,"Mortgage","N/A")))</f>
        <v>No Amort</v>
      </c>
      <c r="J9" s="435">
        <f>'Fin Stats and Ratios'!J17</f>
        <v>0</v>
      </c>
      <c r="K9" s="268"/>
      <c r="L9" s="268"/>
      <c r="M9" s="268"/>
      <c r="N9" s="268"/>
      <c r="O9" s="268"/>
      <c r="P9" s="379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322"/>
      <c r="AD9" s="322"/>
      <c r="AE9" s="322"/>
      <c r="AF9" s="322"/>
      <c r="AG9" s="322"/>
      <c r="AH9" s="322"/>
      <c r="AI9" s="322"/>
      <c r="AJ9" s="322"/>
      <c r="AK9" s="322"/>
      <c r="AL9" s="322"/>
      <c r="AM9" s="322"/>
      <c r="AN9" s="322"/>
      <c r="AO9" s="322"/>
      <c r="AP9" s="322"/>
    </row>
    <row r="10" spans="1:42">
      <c r="A10" s="436" t="s">
        <v>238</v>
      </c>
      <c r="B10" s="381"/>
      <c r="C10" s="381"/>
      <c r="D10" s="381"/>
      <c r="E10" s="382">
        <v>0</v>
      </c>
      <c r="F10" s="304"/>
      <c r="G10" s="382">
        <f>'Fin Stats and Ratios'!G18</f>
        <v>9.5000000000000001E-2</v>
      </c>
      <c r="H10" s="354" t="str">
        <f>'Fin Stats and Ratios'!F18</f>
        <v>N/A</v>
      </c>
      <c r="I10" s="383" t="str">
        <f>IF('Fin Stats and Ratios'!I18=1,"No Amort",IF('Fin Stats and Ratios'!I18=2,"Partial Amort",IF('Fin Stats and Ratios'!I18=3,"Mortgage","N/A")))</f>
        <v>N/A</v>
      </c>
      <c r="J10" s="437" t="str">
        <f>'Fin Stats and Ratios'!J18</f>
        <v>N/A</v>
      </c>
      <c r="K10" s="268"/>
      <c r="L10" s="268"/>
      <c r="M10" s="268"/>
      <c r="N10" s="268"/>
      <c r="O10" s="268"/>
      <c r="P10" s="384"/>
      <c r="Q10" s="385"/>
      <c r="R10" s="385"/>
      <c r="S10" s="385"/>
      <c r="T10" s="385"/>
      <c r="U10" s="385"/>
      <c r="V10" s="385"/>
      <c r="W10" s="385"/>
      <c r="X10" s="385"/>
      <c r="Y10" s="385"/>
      <c r="Z10" s="385"/>
      <c r="AA10" s="385"/>
      <c r="AB10" s="385"/>
      <c r="AC10" s="326"/>
      <c r="AD10" s="326"/>
      <c r="AE10" s="326"/>
      <c r="AF10" s="326"/>
      <c r="AG10" s="326"/>
      <c r="AH10" s="326"/>
      <c r="AI10" s="326"/>
      <c r="AJ10" s="326"/>
      <c r="AK10" s="326"/>
      <c r="AL10" s="326"/>
      <c r="AM10" s="326"/>
      <c r="AN10" s="326"/>
      <c r="AO10" s="326"/>
      <c r="AP10" s="326"/>
    </row>
    <row r="11" spans="1:42">
      <c r="A11" s="438" t="s">
        <v>256</v>
      </c>
      <c r="B11" s="386"/>
      <c r="C11" s="386"/>
      <c r="D11" s="386"/>
      <c r="E11" s="387">
        <f>SUM(E7:E10)</f>
        <v>0.5</v>
      </c>
      <c r="F11" s="424">
        <f>SUM(F7:F10)</f>
        <v>1452784.8509409984</v>
      </c>
      <c r="G11" s="425"/>
      <c r="H11" s="34"/>
      <c r="I11" s="426"/>
      <c r="J11" s="439"/>
      <c r="K11" s="389"/>
      <c r="L11" s="268"/>
      <c r="M11" s="268"/>
      <c r="N11" s="268"/>
      <c r="O11" s="268"/>
      <c r="P11" s="389"/>
      <c r="Q11" s="385"/>
      <c r="R11" s="385"/>
      <c r="S11" s="385"/>
      <c r="T11" s="385"/>
      <c r="U11" s="385"/>
      <c r="V11" s="385"/>
      <c r="W11" s="385"/>
      <c r="X11" s="385"/>
      <c r="Y11" s="385"/>
      <c r="Z11" s="385"/>
      <c r="AA11" s="385"/>
      <c r="AB11" s="385"/>
      <c r="AC11" s="326"/>
      <c r="AD11" s="326"/>
      <c r="AE11" s="326"/>
      <c r="AF11" s="326"/>
      <c r="AG11" s="326"/>
      <c r="AH11" s="326"/>
      <c r="AI11" s="326"/>
      <c r="AJ11" s="326"/>
      <c r="AK11" s="326"/>
      <c r="AL11" s="326"/>
      <c r="AM11" s="326"/>
      <c r="AN11" s="326"/>
      <c r="AO11" s="326"/>
      <c r="AP11" s="326"/>
    </row>
    <row r="12" spans="1:42">
      <c r="A12" s="389"/>
      <c r="B12" s="389"/>
      <c r="C12" s="389"/>
      <c r="D12" s="389"/>
      <c r="E12" s="390"/>
      <c r="F12" s="374"/>
      <c r="G12" s="388"/>
      <c r="H12" s="389"/>
      <c r="I12" s="389"/>
      <c r="J12" s="268"/>
      <c r="K12" s="389"/>
      <c r="L12" s="268"/>
      <c r="M12" s="268"/>
      <c r="N12" s="268"/>
      <c r="O12" s="268"/>
      <c r="P12" s="389"/>
      <c r="Q12" s="385"/>
      <c r="R12" s="385"/>
      <c r="S12" s="385"/>
      <c r="T12" s="385"/>
      <c r="U12" s="385"/>
      <c r="V12" s="385"/>
      <c r="W12" s="385"/>
      <c r="X12" s="385"/>
      <c r="Y12" s="385"/>
      <c r="Z12" s="385"/>
      <c r="AA12" s="385"/>
      <c r="AB12" s="385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</row>
    <row r="13" spans="1:42">
      <c r="A13" s="389"/>
      <c r="B13" s="389"/>
      <c r="C13" s="389"/>
      <c r="D13" s="389"/>
      <c r="E13" s="372" t="s">
        <v>263</v>
      </c>
      <c r="F13" s="391"/>
      <c r="G13" s="386"/>
      <c r="H13" s="386"/>
      <c r="I13" s="304"/>
      <c r="J13" s="386"/>
      <c r="K13" s="304"/>
      <c r="L13" s="304"/>
      <c r="M13" s="304"/>
      <c r="N13" s="304"/>
      <c r="O13" s="389"/>
      <c r="Q13" s="385"/>
      <c r="R13" s="385"/>
      <c r="S13" s="385"/>
      <c r="T13" s="385"/>
      <c r="U13" s="385"/>
      <c r="V13" s="385"/>
      <c r="W13" s="385"/>
      <c r="X13" s="385"/>
      <c r="Y13" s="385"/>
      <c r="Z13" s="385"/>
      <c r="AA13" s="385"/>
      <c r="AB13" s="385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P13" s="326"/>
    </row>
    <row r="14" spans="1:42">
      <c r="A14" s="389"/>
      <c r="B14" s="389"/>
      <c r="C14" s="389"/>
      <c r="D14" s="389"/>
      <c r="E14" s="316">
        <v>2001</v>
      </c>
      <c r="F14" s="352">
        <v>2002</v>
      </c>
      <c r="G14" s="352">
        <v>2003</v>
      </c>
      <c r="H14" s="352">
        <v>2004</v>
      </c>
      <c r="I14" s="352">
        <v>2005</v>
      </c>
      <c r="J14" s="352">
        <v>2006</v>
      </c>
      <c r="K14" s="356">
        <v>2007</v>
      </c>
      <c r="L14" s="356">
        <v>2008</v>
      </c>
      <c r="M14" s="356">
        <v>2009</v>
      </c>
      <c r="N14" s="356">
        <v>2010</v>
      </c>
      <c r="O14" s="392"/>
      <c r="Q14" s="385"/>
      <c r="R14" s="385"/>
      <c r="S14" s="385"/>
      <c r="T14" s="385"/>
      <c r="U14" s="385"/>
      <c r="V14" s="385"/>
      <c r="W14" s="385"/>
      <c r="X14" s="385"/>
      <c r="Y14" s="385"/>
      <c r="Z14" s="385"/>
      <c r="AA14" s="385"/>
      <c r="AB14" s="385"/>
      <c r="AC14" s="326"/>
      <c r="AD14" s="326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</row>
    <row r="15" spans="1:42">
      <c r="A15" s="389"/>
      <c r="B15" s="389"/>
      <c r="C15" s="389"/>
      <c r="D15" s="411" t="s">
        <v>273</v>
      </c>
      <c r="E15" s="316">
        <v>1</v>
      </c>
      <c r="F15" s="352">
        <v>2</v>
      </c>
      <c r="G15" s="352">
        <v>3</v>
      </c>
      <c r="H15" s="352">
        <v>4</v>
      </c>
      <c r="I15" s="352">
        <v>5</v>
      </c>
      <c r="J15" s="352">
        <v>6</v>
      </c>
      <c r="K15" s="352">
        <v>7</v>
      </c>
      <c r="L15" s="352">
        <v>8</v>
      </c>
      <c r="M15" s="352">
        <v>9</v>
      </c>
      <c r="N15" s="352">
        <v>10</v>
      </c>
      <c r="O15" s="392"/>
      <c r="Q15" s="385"/>
      <c r="R15" s="385"/>
      <c r="S15" s="385"/>
      <c r="T15" s="385"/>
      <c r="U15" s="385"/>
      <c r="V15" s="385"/>
      <c r="W15" s="385"/>
      <c r="X15" s="385"/>
      <c r="Y15" s="385"/>
      <c r="Z15" s="385"/>
      <c r="AA15" s="385"/>
      <c r="AB15" s="385"/>
      <c r="AC15" s="326"/>
      <c r="AD15" s="326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</row>
    <row r="16" spans="1:42" hidden="1" outlineLevel="1">
      <c r="A16" s="474" t="str">
        <f>+A10</f>
        <v>Revolver/New Financing (US$)</v>
      </c>
      <c r="B16" s="475"/>
      <c r="C16" s="475"/>
      <c r="D16" s="475"/>
      <c r="E16" s="476"/>
      <c r="F16" s="476"/>
      <c r="G16" s="476"/>
      <c r="H16" s="476"/>
      <c r="I16" s="476"/>
      <c r="J16" s="476"/>
      <c r="K16" s="477"/>
      <c r="L16" s="477"/>
      <c r="M16" s="477"/>
      <c r="N16" s="477"/>
      <c r="O16" s="479"/>
      <c r="Q16" s="385"/>
      <c r="R16" s="385"/>
      <c r="S16" s="385"/>
      <c r="T16" s="385"/>
      <c r="U16" s="385"/>
      <c r="V16" s="385"/>
      <c r="W16" s="385"/>
      <c r="X16" s="385"/>
      <c r="Y16" s="385"/>
      <c r="Z16" s="385"/>
      <c r="AA16" s="385"/>
      <c r="AB16" s="385"/>
      <c r="AC16" s="326"/>
      <c r="AD16" s="326"/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</row>
    <row r="17" spans="1:42" hidden="1" outlineLevel="1">
      <c r="A17" s="393" t="s">
        <v>234</v>
      </c>
      <c r="B17" s="394"/>
      <c r="C17" s="394"/>
      <c r="D17" s="394"/>
      <c r="E17" s="395"/>
      <c r="F17" s="396" t="e">
        <f>#REF!</f>
        <v>#REF!</v>
      </c>
      <c r="G17" s="396" t="e">
        <f>F20</f>
        <v>#REF!</v>
      </c>
      <c r="H17" s="396" t="e">
        <f>G20</f>
        <v>#REF!</v>
      </c>
      <c r="I17" s="396" t="e">
        <f>H20</f>
        <v>#REF!</v>
      </c>
      <c r="J17" s="396" t="e">
        <f>I20</f>
        <v>#REF!</v>
      </c>
      <c r="K17" s="23"/>
      <c r="L17" s="23"/>
      <c r="M17" s="23"/>
      <c r="N17" s="23"/>
      <c r="O17" s="396"/>
      <c r="Q17" s="397"/>
      <c r="R17" s="385"/>
      <c r="S17" s="385"/>
      <c r="T17" s="385"/>
      <c r="U17" s="385"/>
      <c r="V17" s="385"/>
      <c r="W17" s="385"/>
      <c r="X17" s="385"/>
      <c r="Y17" s="385"/>
      <c r="Z17" s="385"/>
      <c r="AA17" s="385"/>
      <c r="AB17" s="385"/>
      <c r="AC17" s="326"/>
      <c r="AD17" s="326"/>
      <c r="AE17" s="326"/>
      <c r="AF17" s="326"/>
      <c r="AG17" s="326"/>
      <c r="AH17" s="326"/>
      <c r="AI17" s="326"/>
      <c r="AJ17" s="326"/>
      <c r="AK17" s="326"/>
      <c r="AL17" s="326"/>
      <c r="AM17" s="326"/>
      <c r="AN17" s="326"/>
      <c r="AO17" s="326"/>
      <c r="AP17" s="326"/>
    </row>
    <row r="18" spans="1:42" hidden="1" outlineLevel="1">
      <c r="A18" s="398" t="s">
        <v>242</v>
      </c>
      <c r="B18" s="394"/>
      <c r="C18" s="394"/>
      <c r="D18" s="394"/>
      <c r="E18" s="395"/>
      <c r="F18" s="396" t="e">
        <f>IF(((([5]CFS!O23+[5]BS!N7)/'[5]Curves Assumptions'!O13)-#REF!-#REF!-#REF!)&lt;0,-((([5]CFS!O23+[5]BS!N7)/'[5]Curves Assumptions'!O13)-#REF!-#REF!-#REF!),0)</f>
        <v>#REF!</v>
      </c>
      <c r="G18" s="396" t="e">
        <f>IF(((([5]CFS!P23+[5]BS!O7)/'[5]Curves Assumptions'!P13)-#REF!-#REF!-#REF!)&lt;0,-((([5]CFS!P23+[5]BS!O7)/'[5]Curves Assumptions'!P13)-#REF!-#REF!-#REF!),0)</f>
        <v>#REF!</v>
      </c>
      <c r="H18" s="396" t="e">
        <f>IF(((([5]CFS!Q23+[5]BS!P7)/'[5]Curves Assumptions'!Q13)-#REF!-#REF!-#REF!)&lt;0,-((([5]CFS!Q23+[5]BS!P7)/'[5]Curves Assumptions'!Q13)-#REF!-#REF!-#REF!),0)</f>
        <v>#REF!</v>
      </c>
      <c r="I18" s="396" t="e">
        <f>IF(((([5]CFS!R23+[5]BS!Q7)/'[5]Curves Assumptions'!R13)-#REF!-#REF!-#REF!)&lt;0,-((([5]CFS!R23+[5]BS!Q7)/'[5]Curves Assumptions'!R13)-#REF!-#REF!-#REF!),0)</f>
        <v>#REF!</v>
      </c>
      <c r="J18" s="396" t="e">
        <f>IF(((([5]CFS!S23+[5]BS!R7)/'[5]Curves Assumptions'!S13)-#REF!-#REF!-#REF!)&lt;0,-((([5]CFS!S23+[5]BS!R7)/'[5]Curves Assumptions'!S13)-#REF!-#REF!-#REF!),0)</f>
        <v>#REF!</v>
      </c>
      <c r="K18" s="23"/>
      <c r="L18" s="23"/>
      <c r="M18" s="23"/>
      <c r="N18" s="23"/>
      <c r="O18" s="396"/>
      <c r="Q18" s="385"/>
      <c r="R18" s="385"/>
      <c r="S18" s="385"/>
      <c r="T18" s="385"/>
      <c r="U18" s="385"/>
      <c r="V18" s="385"/>
      <c r="W18" s="385"/>
      <c r="X18" s="385"/>
      <c r="Y18" s="385"/>
      <c r="Z18" s="385"/>
      <c r="AA18" s="385"/>
      <c r="AB18" s="385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</row>
    <row r="19" spans="1:42" hidden="1" outlineLevel="1">
      <c r="A19" s="398" t="s">
        <v>243</v>
      </c>
      <c r="B19" s="389"/>
      <c r="C19" s="389"/>
      <c r="D19" s="389"/>
      <c r="E19" s="399"/>
      <c r="F19" s="400" t="e">
        <f>-IF(F17&gt;0,IF((([5]CFS!O23/'[5]Curves Assumptions'!O13)+F25+F32+F39+([5]BS!N7/'[5]Curves Assumptions'!N13))&lt;0,0,IF((([5]CFS!O23/'[5]Curves Assumptions'!O13)+F25+F32+F39+([5]BS!N7/'[5]Curves Assumptions'!N13))&gt;F17,F17,(([5]CFS!O23/'[5]Curves Assumptions'!O13)+F25+F32+F39+([5]BS!N7/'[5]Curves Assumptions'!N13)))),0)</f>
        <v>#REF!</v>
      </c>
      <c r="G19" s="400" t="e">
        <f>-IF(G17&gt;0,IF((([5]CFS!P23/'[5]Curves Assumptions'!P13)+G25+G32+G39+([5]BS!O7/'[5]Curves Assumptions'!O13))&lt;0,0,IF((([5]CFS!P23/'[5]Curves Assumptions'!P13)+G25+G32+G39+([5]BS!O7/'[5]Curves Assumptions'!O13))&gt;G17,G17,(([5]CFS!P23/'[5]Curves Assumptions'!P13)+G25+G32+G39+([5]BS!O7/'[5]Curves Assumptions'!O13)))),0)</f>
        <v>#REF!</v>
      </c>
      <c r="H19" s="400" t="e">
        <f>-IF(H17&gt;0,IF((([5]CFS!Q23/'[5]Curves Assumptions'!Q13)+H25+H32+H39+([5]BS!P7/'[5]Curves Assumptions'!P13))&lt;0,0,IF((([5]CFS!Q23/'[5]Curves Assumptions'!Q13)+H25+H32+H39+([5]BS!P7/'[5]Curves Assumptions'!P13))&gt;H17,H17,(([5]CFS!Q23/'[5]Curves Assumptions'!Q13)+H25+H32+H39+([5]BS!P7/'[5]Curves Assumptions'!P13)))),0)</f>
        <v>#REF!</v>
      </c>
      <c r="I19" s="400" t="e">
        <f>-IF(I17&gt;0,IF((([5]CFS!R23/'[5]Curves Assumptions'!R13)+I25+I32+I39+([5]BS!Q7/'[5]Curves Assumptions'!Q13))&lt;0,0,IF((([5]CFS!R23/'[5]Curves Assumptions'!R13)+I25+I32+I39+([5]BS!Q7/'[5]Curves Assumptions'!Q13))&gt;I17,I17,(([5]CFS!R23/'[5]Curves Assumptions'!R13)+I25+I32+I39+([5]BS!Q7/'[5]Curves Assumptions'!Q13)))),0)</f>
        <v>#REF!</v>
      </c>
      <c r="J19" s="400" t="e">
        <f>-IF(J17&gt;0,IF((([5]CFS!S23/'[5]Curves Assumptions'!S13)+J25+J32+J39+([5]BS!R7/'[5]Curves Assumptions'!R13))&lt;0,0,IF((([5]CFS!S23/'[5]Curves Assumptions'!S13)+J25+J32+J39+([5]BS!R7/'[5]Curves Assumptions'!R13))&gt;J17,J17,(([5]CFS!S23/'[5]Curves Assumptions'!S13)+J25+J32+J39+([5]BS!R7/'[5]Curves Assumptions'!R13)))),0)</f>
        <v>#REF!</v>
      </c>
      <c r="K19" s="23"/>
      <c r="L19" s="23"/>
      <c r="M19" s="23"/>
      <c r="N19" s="23"/>
      <c r="O19" s="400"/>
      <c r="Q19" s="401"/>
      <c r="R19" s="385"/>
      <c r="S19" s="385"/>
      <c r="T19" s="385"/>
      <c r="U19" s="385"/>
      <c r="V19" s="385"/>
      <c r="W19" s="385"/>
      <c r="X19" s="385"/>
      <c r="Y19" s="385"/>
      <c r="Z19" s="385"/>
      <c r="AA19" s="385"/>
      <c r="AB19" s="385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</row>
    <row r="20" spans="1:42" hidden="1" outlineLevel="1">
      <c r="A20" s="389" t="s">
        <v>241</v>
      </c>
      <c r="B20" s="389"/>
      <c r="C20" s="389"/>
      <c r="D20" s="389"/>
      <c r="E20" s="402">
        <f>+E10</f>
        <v>0</v>
      </c>
      <c r="F20" s="403" t="e">
        <f>SUM(F17:F19)</f>
        <v>#REF!</v>
      </c>
      <c r="G20" s="403" t="e">
        <f>SUM(G17:G19)</f>
        <v>#REF!</v>
      </c>
      <c r="H20" s="403" t="e">
        <f>SUM(H17:H19)</f>
        <v>#REF!</v>
      </c>
      <c r="I20" s="403" t="e">
        <f>SUM(I17:I19)</f>
        <v>#REF!</v>
      </c>
      <c r="J20" s="403" t="e">
        <f>SUM(J17:J19)</f>
        <v>#REF!</v>
      </c>
      <c r="K20" s="23"/>
      <c r="L20" s="23"/>
      <c r="M20" s="23"/>
      <c r="N20" s="23"/>
      <c r="O20" s="404"/>
      <c r="Q20" s="385"/>
      <c r="R20" s="385"/>
      <c r="S20" s="385"/>
      <c r="T20" s="385"/>
      <c r="U20" s="385"/>
      <c r="V20" s="385"/>
      <c r="W20" s="385"/>
      <c r="X20" s="385"/>
      <c r="Y20" s="385"/>
      <c r="Z20" s="385"/>
      <c r="AA20" s="385"/>
      <c r="AB20" s="385"/>
      <c r="AC20" s="326"/>
      <c r="AD20" s="326"/>
      <c r="AE20" s="326"/>
      <c r="AF20" s="326"/>
      <c r="AG20" s="326"/>
      <c r="AH20" s="326"/>
      <c r="AI20" s="326"/>
      <c r="AJ20" s="326"/>
      <c r="AK20" s="326"/>
      <c r="AL20" s="326"/>
      <c r="AM20" s="326"/>
      <c r="AN20" s="326"/>
      <c r="AO20" s="326"/>
      <c r="AP20" s="326"/>
    </row>
    <row r="21" spans="1:42" hidden="1" outlineLevel="1">
      <c r="A21" s="405" t="s">
        <v>244</v>
      </c>
      <c r="B21" s="405"/>
      <c r="C21" s="405"/>
      <c r="D21" s="405"/>
      <c r="E21" s="406"/>
      <c r="F21" s="407" t="e">
        <f>+#REF!</f>
        <v>#REF!</v>
      </c>
      <c r="G21" s="407" t="e">
        <f>+#REF!</f>
        <v>#REF!</v>
      </c>
      <c r="H21" s="407" t="e">
        <f>+#REF!</f>
        <v>#REF!</v>
      </c>
      <c r="I21" s="407" t="e">
        <f>+#REF!</f>
        <v>#REF!</v>
      </c>
      <c r="J21" s="407" t="e">
        <f>+#REF!</f>
        <v>#REF!</v>
      </c>
      <c r="K21" s="23"/>
      <c r="L21" s="23"/>
      <c r="M21" s="23"/>
      <c r="N21" s="23"/>
      <c r="O21" s="408"/>
      <c r="Q21" s="385"/>
      <c r="R21" s="385"/>
      <c r="S21" s="385"/>
      <c r="T21" s="385"/>
      <c r="U21" s="385"/>
      <c r="V21" s="385"/>
      <c r="W21" s="385"/>
      <c r="X21" s="385"/>
      <c r="Y21" s="385"/>
      <c r="Z21" s="385"/>
      <c r="AA21" s="385"/>
      <c r="AB21" s="385"/>
      <c r="AC21" s="326"/>
      <c r="AD21" s="326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6"/>
      <c r="AP21" s="326"/>
    </row>
    <row r="22" spans="1:42" collapsed="1">
      <c r="A22" s="409"/>
      <c r="B22" s="409"/>
      <c r="C22" s="409"/>
      <c r="D22" s="409"/>
      <c r="E22" s="410"/>
      <c r="F22" s="408"/>
      <c r="G22" s="408"/>
      <c r="H22" s="408"/>
      <c r="I22" s="408"/>
      <c r="J22" s="408"/>
      <c r="K22" s="23"/>
      <c r="L22" s="23"/>
      <c r="M22" s="23"/>
      <c r="N22" s="23"/>
      <c r="O22" s="408"/>
      <c r="Q22" s="385"/>
      <c r="R22" s="385"/>
      <c r="S22" s="385"/>
      <c r="T22" s="385"/>
      <c r="U22" s="385"/>
      <c r="V22" s="385"/>
      <c r="W22" s="385"/>
      <c r="X22" s="385"/>
      <c r="Y22" s="385"/>
      <c r="Z22" s="385"/>
      <c r="AA22" s="385"/>
      <c r="AB22" s="385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P22" s="326"/>
    </row>
    <row r="23" spans="1:42">
      <c r="A23" s="474" t="str">
        <f>+A7</f>
        <v>Senior Tranche A (US$)</v>
      </c>
      <c r="B23" s="475"/>
      <c r="C23" s="475"/>
      <c r="D23" s="475"/>
      <c r="E23" s="476"/>
      <c r="F23" s="476"/>
      <c r="G23" s="476"/>
      <c r="H23" s="476"/>
      <c r="I23" s="476"/>
      <c r="J23" s="476"/>
      <c r="K23" s="478"/>
      <c r="L23" s="478"/>
      <c r="M23" s="478"/>
      <c r="N23" s="478"/>
      <c r="O23" s="392"/>
      <c r="Q23" s="385"/>
      <c r="R23" s="385"/>
      <c r="S23" s="385"/>
      <c r="T23" s="385"/>
      <c r="U23" s="385"/>
      <c r="V23" s="385"/>
      <c r="W23" s="385"/>
      <c r="X23" s="385"/>
      <c r="Y23" s="385"/>
      <c r="Z23" s="385"/>
      <c r="AA23" s="385"/>
      <c r="AB23" s="385"/>
      <c r="AC23" s="326"/>
      <c r="AD23" s="326"/>
      <c r="AE23" s="326"/>
      <c r="AF23" s="326"/>
      <c r="AG23" s="326"/>
      <c r="AH23" s="326"/>
      <c r="AI23" s="326"/>
      <c r="AJ23" s="326"/>
      <c r="AK23" s="326"/>
      <c r="AL23" s="326"/>
      <c r="AM23" s="326"/>
      <c r="AN23" s="326"/>
      <c r="AO23" s="326"/>
      <c r="AP23" s="326"/>
    </row>
    <row r="24" spans="1:42">
      <c r="A24" s="393" t="s">
        <v>234</v>
      </c>
      <c r="B24" s="394"/>
      <c r="C24" s="394"/>
      <c r="D24" s="394"/>
      <c r="E24" s="464">
        <f>F7</f>
        <v>1452784.8509409984</v>
      </c>
      <c r="F24" s="464">
        <f>E27</f>
        <v>1307506.3658468986</v>
      </c>
      <c r="G24" s="464">
        <f t="shared" ref="G24:N24" si="0">F27</f>
        <v>1162227.8807527989</v>
      </c>
      <c r="H24" s="464">
        <f t="shared" si="0"/>
        <v>1016949.3956586991</v>
      </c>
      <c r="I24" s="464">
        <f t="shared" si="0"/>
        <v>871670.91056459933</v>
      </c>
      <c r="J24" s="464">
        <f t="shared" si="0"/>
        <v>726392.42547049955</v>
      </c>
      <c r="K24" s="464">
        <f t="shared" si="0"/>
        <v>581113.94037639978</v>
      </c>
      <c r="L24" s="464">
        <f t="shared" si="0"/>
        <v>435835.45528229995</v>
      </c>
      <c r="M24" s="464">
        <f t="shared" si="0"/>
        <v>290556.97018820012</v>
      </c>
      <c r="N24" s="464">
        <f t="shared" si="0"/>
        <v>145278.4850941003</v>
      </c>
      <c r="O24" s="393"/>
      <c r="Q24" s="385"/>
      <c r="R24" s="385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24"/>
      <c r="AD24" s="324"/>
      <c r="AE24" s="324"/>
      <c r="AF24" s="324"/>
      <c r="AG24" s="324"/>
      <c r="AH24" s="324"/>
      <c r="AI24" s="324"/>
      <c r="AJ24" s="324"/>
      <c r="AK24" s="326"/>
      <c r="AL24" s="326"/>
      <c r="AM24" s="326"/>
      <c r="AN24" s="326"/>
      <c r="AO24" s="326"/>
      <c r="AP24" s="326"/>
    </row>
    <row r="25" spans="1:42">
      <c r="A25" s="398" t="s">
        <v>239</v>
      </c>
      <c r="B25" s="398"/>
      <c r="C25" s="398"/>
      <c r="D25" s="398"/>
      <c r="E25" s="464">
        <f>IF('Fin Stats and Ratios'!$I$15=1,Debt!E59,IF('Fin Stats and Ratios'!$I$15=2,E68,IF('Fin Stats and Ratios'!$I$15=3,Debt!E84-Debt!E85,"Enter Type of Amort")))</f>
        <v>145278.48509409983</v>
      </c>
      <c r="F25" s="464">
        <f>IF('Fin Stats and Ratios'!$I$15=1,Debt!F59,IF('Fin Stats and Ratios'!$I$15=2,F68,IF('Fin Stats and Ratios'!$I$15=3,Debt!F84-Debt!F85,"Enter Type of Amort")))</f>
        <v>145278.48509409983</v>
      </c>
      <c r="G25" s="464">
        <f>IF('Fin Stats and Ratios'!$I$15=1,Debt!G59,IF('Fin Stats and Ratios'!$I$15=2,G68,IF('Fin Stats and Ratios'!$I$15=3,Debt!G84-Debt!G85,"Enter Type of Amort")))</f>
        <v>145278.48509409983</v>
      </c>
      <c r="H25" s="464">
        <f>IF('Fin Stats and Ratios'!$I$15=1,Debt!H59,IF('Fin Stats and Ratios'!$I$15=2,H68,IF('Fin Stats and Ratios'!$I$15=3,Debt!H84-Debt!H85,"Enter Type of Amort")))</f>
        <v>145278.48509409983</v>
      </c>
      <c r="I25" s="464">
        <f>IF('Fin Stats and Ratios'!$I$15=1,Debt!I59,IF('Fin Stats and Ratios'!$I$15=2,I68,IF('Fin Stats and Ratios'!$I$15=3,Debt!I84-Debt!I85,"Enter Type of Amort")))</f>
        <v>145278.48509409983</v>
      </c>
      <c r="J25" s="464">
        <f>IF('Fin Stats and Ratios'!$I$15=1,Debt!J59,IF('Fin Stats and Ratios'!$I$15=2,J68,IF('Fin Stats and Ratios'!$I$15=3,Debt!J84-Debt!J85,"Enter Type of Amort")))</f>
        <v>145278.48509409983</v>
      </c>
      <c r="K25" s="464">
        <f>IF('Fin Stats and Ratios'!$I$15=1,Debt!K59,IF('Fin Stats and Ratios'!$I$15=2,K68,IF('Fin Stats and Ratios'!$I$15=3,Debt!K84-Debt!K85,"Enter Type of Amort")))</f>
        <v>145278.48509409983</v>
      </c>
      <c r="L25" s="464">
        <f>IF('Fin Stats and Ratios'!$I$15=1,Debt!L59,IF('Fin Stats and Ratios'!$I$15=2,L68,IF('Fin Stats and Ratios'!$I$15=3,Debt!L84-Debt!L85,"Enter Type of Amort")))</f>
        <v>145278.48509409983</v>
      </c>
      <c r="M25" s="464">
        <f>IF('Fin Stats and Ratios'!$I$15=1,Debt!M59,IF('Fin Stats and Ratios'!$I$15=2,M68,IF('Fin Stats and Ratios'!$I$15=3,Debt!M84-Debt!M85,"Enter Type of Amort")))</f>
        <v>145278.48509409983</v>
      </c>
      <c r="N25" s="464">
        <f>IF('Fin Stats and Ratios'!$I$15=1,Debt!N59,IF('Fin Stats and Ratios'!$I$15=2,N68,IF('Fin Stats and Ratios'!$I$15=3,Debt!N84-Debt!N85,"Enter Type of Amort")))</f>
        <v>145278.48509409983</v>
      </c>
      <c r="O25" s="381"/>
      <c r="Q25" s="385"/>
      <c r="R25" s="385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24"/>
      <c r="AD25" s="324"/>
      <c r="AE25" s="326"/>
      <c r="AF25" s="324"/>
      <c r="AG25" s="324"/>
      <c r="AH25" s="324"/>
      <c r="AI25" s="324"/>
      <c r="AJ25" s="324"/>
      <c r="AK25" s="326"/>
      <c r="AL25" s="326"/>
      <c r="AM25" s="326"/>
      <c r="AN25" s="326"/>
      <c r="AO25" s="326"/>
      <c r="AP25" s="326"/>
    </row>
    <row r="26" spans="1:42">
      <c r="A26" s="398" t="s">
        <v>240</v>
      </c>
      <c r="B26" s="398"/>
      <c r="C26" s="398"/>
      <c r="D26" s="398"/>
      <c r="E26" s="464">
        <v>0</v>
      </c>
      <c r="F26" s="464">
        <v>0</v>
      </c>
      <c r="G26" s="464">
        <v>0</v>
      </c>
      <c r="H26" s="464">
        <v>0</v>
      </c>
      <c r="I26" s="464">
        <v>0</v>
      </c>
      <c r="J26" s="464">
        <v>0</v>
      </c>
      <c r="K26" s="464">
        <v>0</v>
      </c>
      <c r="L26" s="464">
        <v>0</v>
      </c>
      <c r="M26" s="464">
        <v>0</v>
      </c>
      <c r="N26" s="464">
        <v>0</v>
      </c>
      <c r="O26" s="381"/>
      <c r="Q26" s="385"/>
      <c r="R26" s="385"/>
      <c r="S26" s="385"/>
      <c r="T26" s="385"/>
      <c r="U26" s="385"/>
      <c r="V26" s="385"/>
      <c r="W26" s="385"/>
      <c r="X26" s="385"/>
      <c r="Y26" s="385"/>
      <c r="Z26" s="385"/>
      <c r="AA26" s="385"/>
      <c r="AB26" s="385"/>
      <c r="AC26" s="326"/>
      <c r="AD26" s="326"/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</row>
    <row r="27" spans="1:42">
      <c r="A27" s="426" t="s">
        <v>241</v>
      </c>
      <c r="B27" s="426"/>
      <c r="C27" s="426"/>
      <c r="D27" s="426"/>
      <c r="E27" s="473">
        <f>E24-E25-E26</f>
        <v>1307506.3658468986</v>
      </c>
      <c r="F27" s="473">
        <f t="shared" ref="F27:N27" si="1">F24-F25-F26</f>
        <v>1162227.8807527989</v>
      </c>
      <c r="G27" s="473">
        <f t="shared" si="1"/>
        <v>1016949.3956586991</v>
      </c>
      <c r="H27" s="473">
        <f t="shared" si="1"/>
        <v>871670.91056459933</v>
      </c>
      <c r="I27" s="473">
        <f t="shared" si="1"/>
        <v>726392.42547049955</v>
      </c>
      <c r="J27" s="473">
        <f t="shared" si="1"/>
        <v>581113.94037639978</v>
      </c>
      <c r="K27" s="473">
        <f t="shared" si="1"/>
        <v>435835.45528229995</v>
      </c>
      <c r="L27" s="473">
        <f t="shared" si="1"/>
        <v>290556.97018820012</v>
      </c>
      <c r="M27" s="473">
        <f t="shared" si="1"/>
        <v>145278.4850941003</v>
      </c>
      <c r="N27" s="473">
        <f t="shared" si="1"/>
        <v>4.6566128730773926E-10</v>
      </c>
      <c r="O27" s="411"/>
      <c r="Q27" s="385"/>
      <c r="R27" s="385"/>
      <c r="S27" s="385"/>
      <c r="T27" s="385"/>
      <c r="U27" s="385"/>
      <c r="V27" s="385"/>
      <c r="W27" s="385"/>
      <c r="X27" s="385"/>
      <c r="Y27" s="385"/>
      <c r="Z27" s="385"/>
      <c r="AA27" s="385"/>
      <c r="AB27" s="385"/>
      <c r="AC27" s="326"/>
      <c r="AD27" s="326"/>
      <c r="AE27" s="326"/>
      <c r="AF27" s="326"/>
      <c r="AG27" s="326"/>
      <c r="AH27" s="326"/>
      <c r="AI27" s="326"/>
      <c r="AJ27" s="326"/>
      <c r="AK27" s="326"/>
      <c r="AL27" s="326"/>
      <c r="AM27" s="326"/>
      <c r="AN27" s="326"/>
      <c r="AO27" s="326"/>
      <c r="AP27" s="326"/>
    </row>
    <row r="28" spans="1:42" ht="13.5" thickBot="1">
      <c r="A28" s="471" t="s">
        <v>244</v>
      </c>
      <c r="B28" s="471"/>
      <c r="C28" s="471"/>
      <c r="D28" s="471"/>
      <c r="E28" s="472">
        <f>E24*$G$7</f>
        <v>108958.86382057487</v>
      </c>
      <c r="F28" s="472">
        <f t="shared" ref="F28:N28" si="2">F24*$G$7</f>
        <v>98062.977438517395</v>
      </c>
      <c r="G28" s="472">
        <f t="shared" si="2"/>
        <v>87167.091056459918</v>
      </c>
      <c r="H28" s="472">
        <f t="shared" si="2"/>
        <v>76271.204674402426</v>
      </c>
      <c r="I28" s="472">
        <f t="shared" si="2"/>
        <v>65375.318292344949</v>
      </c>
      <c r="J28" s="472">
        <f t="shared" si="2"/>
        <v>54479.431910287465</v>
      </c>
      <c r="K28" s="472">
        <f t="shared" si="2"/>
        <v>43583.545528229981</v>
      </c>
      <c r="L28" s="472">
        <f t="shared" si="2"/>
        <v>32687.659146172497</v>
      </c>
      <c r="M28" s="472">
        <f t="shared" si="2"/>
        <v>21791.772764115009</v>
      </c>
      <c r="N28" s="472">
        <f t="shared" si="2"/>
        <v>10895.886382057522</v>
      </c>
      <c r="O28" s="412"/>
      <c r="Q28" s="385"/>
      <c r="R28" s="385"/>
      <c r="S28" s="385"/>
      <c r="T28" s="385"/>
      <c r="U28" s="385"/>
      <c r="V28" s="385"/>
      <c r="W28" s="385"/>
      <c r="X28" s="385"/>
      <c r="Y28" s="385"/>
      <c r="Z28" s="385"/>
      <c r="AA28" s="385"/>
      <c r="AB28" s="385"/>
      <c r="AC28" s="326"/>
      <c r="AD28" s="505"/>
      <c r="AE28" s="505"/>
      <c r="AF28" s="505"/>
      <c r="AG28" s="505"/>
      <c r="AH28" s="505"/>
      <c r="AI28" s="505"/>
      <c r="AJ28" s="505"/>
      <c r="AK28" s="505"/>
      <c r="AL28" s="326"/>
      <c r="AM28" s="326"/>
      <c r="AN28" s="326"/>
      <c r="AO28" s="326"/>
      <c r="AP28" s="326"/>
    </row>
    <row r="29" spans="1:42" ht="13.5" thickTop="1">
      <c r="A29" s="409"/>
      <c r="B29" s="409"/>
      <c r="C29" s="409"/>
      <c r="D29" s="409"/>
      <c r="E29" s="410"/>
      <c r="F29" s="412"/>
      <c r="G29" s="412"/>
      <c r="H29" s="412"/>
      <c r="I29" s="412"/>
      <c r="J29" s="412"/>
      <c r="K29" s="23"/>
      <c r="L29" s="23"/>
      <c r="M29" s="23"/>
      <c r="N29" s="23"/>
      <c r="O29" s="412"/>
      <c r="Q29" s="385"/>
      <c r="R29" s="385"/>
      <c r="S29" s="385"/>
      <c r="T29" s="385"/>
      <c r="U29" s="385"/>
      <c r="V29" s="385"/>
      <c r="W29" s="385"/>
      <c r="X29" s="385"/>
      <c r="Y29" s="385"/>
      <c r="Z29" s="385"/>
      <c r="AA29" s="385"/>
      <c r="AB29" s="385"/>
      <c r="AC29" s="326"/>
      <c r="AD29" s="505"/>
      <c r="AE29" s="505"/>
      <c r="AF29" s="505"/>
      <c r="AG29" s="505"/>
      <c r="AH29" s="505"/>
      <c r="AI29" s="505"/>
      <c r="AJ29" s="505"/>
      <c r="AK29" s="505"/>
      <c r="AL29" s="326"/>
      <c r="AM29" s="326"/>
      <c r="AN29" s="326"/>
      <c r="AO29" s="326"/>
      <c r="AP29" s="326"/>
    </row>
    <row r="30" spans="1:42">
      <c r="A30" s="474" t="str">
        <f>+A8</f>
        <v>Senior Tranche B (US$)</v>
      </c>
      <c r="B30" s="475"/>
      <c r="C30" s="475"/>
      <c r="D30" s="475"/>
      <c r="E30" s="476"/>
      <c r="F30" s="476"/>
      <c r="G30" s="476"/>
      <c r="H30" s="476"/>
      <c r="I30" s="476"/>
      <c r="J30" s="476"/>
      <c r="K30" s="478"/>
      <c r="L30" s="478"/>
      <c r="M30" s="478"/>
      <c r="N30" s="478"/>
      <c r="O30" s="392"/>
      <c r="Q30" s="385"/>
      <c r="R30" s="385"/>
      <c r="S30" s="385"/>
      <c r="T30" s="385"/>
      <c r="U30" s="385"/>
      <c r="V30" s="385"/>
      <c r="W30" s="385"/>
      <c r="X30" s="385"/>
      <c r="Y30" s="385"/>
      <c r="Z30" s="385"/>
      <c r="AA30" s="385"/>
      <c r="AB30" s="385"/>
      <c r="AC30" s="326"/>
      <c r="AD30" s="505"/>
      <c r="AE30" s="505"/>
      <c r="AF30" s="505"/>
      <c r="AG30" s="505"/>
      <c r="AH30" s="505"/>
      <c r="AI30" s="505"/>
      <c r="AJ30" s="505"/>
      <c r="AK30" s="505"/>
      <c r="AL30" s="326"/>
      <c r="AM30" s="326"/>
      <c r="AN30" s="326"/>
      <c r="AO30" s="326"/>
      <c r="AP30" s="326"/>
    </row>
    <row r="31" spans="1:42">
      <c r="A31" s="393" t="s">
        <v>234</v>
      </c>
      <c r="B31" s="394"/>
      <c r="C31" s="394"/>
      <c r="D31" s="394"/>
      <c r="E31" s="466">
        <f>F8</f>
        <v>0</v>
      </c>
      <c r="F31" s="466">
        <f>E34</f>
        <v>0</v>
      </c>
      <c r="G31" s="466">
        <f t="shared" ref="G31:N31" si="3">F34</f>
        <v>0</v>
      </c>
      <c r="H31" s="466">
        <f t="shared" si="3"/>
        <v>0</v>
      </c>
      <c r="I31" s="466">
        <f t="shared" si="3"/>
        <v>0</v>
      </c>
      <c r="J31" s="466">
        <f t="shared" si="3"/>
        <v>0</v>
      </c>
      <c r="K31" s="466">
        <f t="shared" si="3"/>
        <v>0</v>
      </c>
      <c r="L31" s="466">
        <f t="shared" si="3"/>
        <v>0</v>
      </c>
      <c r="M31" s="466">
        <f t="shared" si="3"/>
        <v>0</v>
      </c>
      <c r="N31" s="466">
        <f t="shared" si="3"/>
        <v>0</v>
      </c>
      <c r="O31" s="393"/>
      <c r="Q31" s="381"/>
      <c r="R31" s="381"/>
      <c r="S31" s="385"/>
      <c r="T31" s="385"/>
      <c r="U31" s="385"/>
      <c r="V31" s="385"/>
      <c r="W31" s="385"/>
      <c r="X31" s="385"/>
      <c r="Y31" s="385"/>
      <c r="Z31" s="385"/>
      <c r="AA31" s="385"/>
      <c r="AB31" s="385"/>
      <c r="AC31" s="326"/>
      <c r="AD31" s="505"/>
      <c r="AE31" s="505"/>
      <c r="AF31" s="505"/>
      <c r="AG31" s="505"/>
      <c r="AH31" s="505"/>
      <c r="AI31" s="505"/>
      <c r="AJ31" s="505"/>
      <c r="AK31" s="505"/>
      <c r="AL31" s="324"/>
      <c r="AM31" s="324"/>
      <c r="AN31" s="324"/>
      <c r="AO31" s="324"/>
      <c r="AP31" s="324"/>
    </row>
    <row r="32" spans="1:42">
      <c r="A32" s="398" t="s">
        <v>239</v>
      </c>
      <c r="B32" s="398"/>
      <c r="C32" s="398"/>
      <c r="D32" s="398"/>
      <c r="E32" s="464">
        <f>IF('Fin Stats and Ratios'!$I$16=1,Debt!E60,IF('Fin Stats and Ratios'!$I$16=2,E72,IF('Fin Stats and Ratios'!$I$16=3,Debt!E89-Debt!E90,"Enter Type of Amort")))</f>
        <v>0</v>
      </c>
      <c r="F32" s="464">
        <f>IF('Fin Stats and Ratios'!$I$16=1,Debt!F60,IF('Fin Stats and Ratios'!$I$16=2,F72,IF('Fin Stats and Ratios'!$I$16=3,Debt!F89-Debt!F90,"Enter Type of Amort")))</f>
        <v>0</v>
      </c>
      <c r="G32" s="464">
        <f>IF('Fin Stats and Ratios'!$I$16=1,Debt!G60,IF('Fin Stats and Ratios'!$I$16=2,G72,IF('Fin Stats and Ratios'!$I$16=3,Debt!G89-Debt!G90,"Enter Type of Amort")))</f>
        <v>0</v>
      </c>
      <c r="H32" s="464">
        <f>IF('Fin Stats and Ratios'!$I$16=1,Debt!H60,IF('Fin Stats and Ratios'!$I$16=2,H72,IF('Fin Stats and Ratios'!$I$16=3,Debt!H89-Debt!H90,"Enter Type of Amort")))</f>
        <v>0</v>
      </c>
      <c r="I32" s="464">
        <f>IF('Fin Stats and Ratios'!$I$16=1,Debt!I60,IF('Fin Stats and Ratios'!$I$16=2,I72,IF('Fin Stats and Ratios'!$I$16=3,Debt!I89-Debt!I90,"Enter Type of Amort")))</f>
        <v>0</v>
      </c>
      <c r="J32" s="464">
        <f>IF('Fin Stats and Ratios'!$I$16=1,Debt!J60,IF('Fin Stats and Ratios'!$I$16=2,J72,IF('Fin Stats and Ratios'!$I$16=3,Debt!J89-Debt!J90,"Enter Type of Amort")))</f>
        <v>0</v>
      </c>
      <c r="K32" s="464">
        <f>IF('Fin Stats and Ratios'!$I$16=1,Debt!K60,IF('Fin Stats and Ratios'!$I$16=2,K72,IF('Fin Stats and Ratios'!$I$16=3,Debt!K89-Debt!K90,"Enter Type of Amort")))</f>
        <v>0</v>
      </c>
      <c r="L32" s="464">
        <f>IF('Fin Stats and Ratios'!$I$16=1,Debt!L60,IF('Fin Stats and Ratios'!$I$16=2,L72,IF('Fin Stats and Ratios'!$I$16=3,Debt!L89-Debt!L90,"Enter Type of Amort")))</f>
        <v>0</v>
      </c>
      <c r="M32" s="464">
        <f>IF('Fin Stats and Ratios'!$I$16=1,Debt!M60,IF('Fin Stats and Ratios'!$I$16=2,M72,IF('Fin Stats and Ratios'!$I$16=3,Debt!M89-Debt!M90,"Enter Type of Amort")))</f>
        <v>0</v>
      </c>
      <c r="N32" s="464">
        <f>IF('Fin Stats and Ratios'!$I$16=1,Debt!N60,IF('Fin Stats and Ratios'!$I$16=2,N72,IF('Fin Stats and Ratios'!$I$16=3,Debt!N89-Debt!N90,"Enter Type of Amort")))</f>
        <v>0</v>
      </c>
      <c r="O32" s="381"/>
      <c r="Q32" s="381"/>
      <c r="R32" s="381"/>
      <c r="S32" s="385"/>
      <c r="T32" s="385"/>
      <c r="U32" s="385"/>
      <c r="V32" s="385"/>
      <c r="W32" s="385"/>
      <c r="X32" s="385"/>
      <c r="Y32" s="385"/>
      <c r="Z32" s="385"/>
      <c r="AA32" s="385"/>
      <c r="AB32" s="385"/>
      <c r="AC32" s="326"/>
      <c r="AD32" s="505"/>
      <c r="AE32" s="506"/>
      <c r="AF32" s="505"/>
      <c r="AG32" s="505"/>
      <c r="AH32" s="505"/>
      <c r="AI32" s="505"/>
      <c r="AJ32" s="505"/>
      <c r="AK32" s="505"/>
      <c r="AL32" s="324"/>
      <c r="AM32" s="324"/>
      <c r="AN32" s="324"/>
      <c r="AO32" s="324"/>
      <c r="AP32" s="324"/>
    </row>
    <row r="33" spans="1:42">
      <c r="A33" s="500" t="s">
        <v>240</v>
      </c>
      <c r="B33" s="500"/>
      <c r="C33" s="500"/>
      <c r="D33" s="500"/>
      <c r="E33" s="467">
        <v>0</v>
      </c>
      <c r="F33" s="467">
        <v>0</v>
      </c>
      <c r="G33" s="467">
        <v>0</v>
      </c>
      <c r="H33" s="467">
        <v>0</v>
      </c>
      <c r="I33" s="467">
        <v>0</v>
      </c>
      <c r="J33" s="467">
        <v>0</v>
      </c>
      <c r="K33" s="467">
        <v>0</v>
      </c>
      <c r="L33" s="467">
        <v>0</v>
      </c>
      <c r="M33" s="467">
        <v>0</v>
      </c>
      <c r="N33" s="467">
        <v>0</v>
      </c>
      <c r="O33" s="381"/>
      <c r="Q33" s="381"/>
      <c r="R33" s="381"/>
      <c r="S33" s="381"/>
      <c r="T33" s="381"/>
      <c r="U33" s="381"/>
      <c r="V33" s="381"/>
      <c r="W33" s="381"/>
      <c r="X33" s="381"/>
      <c r="Y33" s="381"/>
      <c r="Z33" s="381"/>
      <c r="AA33" s="381"/>
      <c r="AB33" s="381"/>
      <c r="AC33" s="324"/>
      <c r="AD33" s="505"/>
      <c r="AE33" s="505"/>
      <c r="AF33" s="505"/>
      <c r="AG33" s="505"/>
      <c r="AH33" s="505"/>
      <c r="AI33" s="505"/>
      <c r="AJ33" s="505"/>
      <c r="AK33" s="505"/>
      <c r="AL33" s="324"/>
      <c r="AM33" s="324"/>
      <c r="AN33" s="324"/>
      <c r="AO33" s="324"/>
      <c r="AP33" s="324"/>
    </row>
    <row r="34" spans="1:42">
      <c r="A34" s="389" t="s">
        <v>241</v>
      </c>
      <c r="B34" s="389"/>
      <c r="C34" s="389"/>
      <c r="D34" s="389"/>
      <c r="E34" s="736">
        <f>E31-E32-E33</f>
        <v>0</v>
      </c>
      <c r="F34" s="736">
        <f t="shared" ref="F34:N34" si="4">F31-F32-F33</f>
        <v>0</v>
      </c>
      <c r="G34" s="736">
        <f t="shared" si="4"/>
        <v>0</v>
      </c>
      <c r="H34" s="736">
        <f t="shared" si="4"/>
        <v>0</v>
      </c>
      <c r="I34" s="736">
        <f t="shared" si="4"/>
        <v>0</v>
      </c>
      <c r="J34" s="736">
        <f t="shared" si="4"/>
        <v>0</v>
      </c>
      <c r="K34" s="736">
        <f t="shared" si="4"/>
        <v>0</v>
      </c>
      <c r="L34" s="736">
        <f t="shared" si="4"/>
        <v>0</v>
      </c>
      <c r="M34" s="736">
        <f t="shared" si="4"/>
        <v>0</v>
      </c>
      <c r="N34" s="736">
        <f t="shared" si="4"/>
        <v>0</v>
      </c>
      <c r="O34" s="411"/>
      <c r="Q34" s="381"/>
      <c r="R34" s="381"/>
      <c r="S34" s="381"/>
      <c r="T34" s="381"/>
      <c r="U34" s="381"/>
      <c r="V34" s="381"/>
      <c r="W34" s="381"/>
      <c r="X34" s="381"/>
      <c r="Y34" s="381"/>
      <c r="Z34" s="381"/>
      <c r="AA34" s="381"/>
      <c r="AB34" s="381"/>
      <c r="AC34" s="324"/>
      <c r="AD34" s="505"/>
      <c r="AE34" s="505"/>
      <c r="AF34" s="505"/>
      <c r="AG34" s="505"/>
      <c r="AH34" s="505"/>
      <c r="AI34" s="505"/>
      <c r="AJ34" s="505"/>
      <c r="AK34" s="505"/>
      <c r="AL34" s="324"/>
      <c r="AM34" s="324"/>
      <c r="AN34" s="324"/>
      <c r="AO34" s="324"/>
      <c r="AP34" s="324"/>
    </row>
    <row r="35" spans="1:42" ht="13.5" thickBot="1">
      <c r="A35" s="463" t="s">
        <v>244</v>
      </c>
      <c r="B35" s="463"/>
      <c r="C35" s="463"/>
      <c r="D35" s="463"/>
      <c r="E35" s="468">
        <f>E31*$G$8</f>
        <v>0</v>
      </c>
      <c r="F35" s="468">
        <f t="shared" ref="F35:N35" si="5">F31*$G$8</f>
        <v>0</v>
      </c>
      <c r="G35" s="468">
        <f t="shared" si="5"/>
        <v>0</v>
      </c>
      <c r="H35" s="468">
        <f t="shared" si="5"/>
        <v>0</v>
      </c>
      <c r="I35" s="468">
        <f t="shared" si="5"/>
        <v>0</v>
      </c>
      <c r="J35" s="468">
        <f t="shared" si="5"/>
        <v>0</v>
      </c>
      <c r="K35" s="468">
        <f t="shared" si="5"/>
        <v>0</v>
      </c>
      <c r="L35" s="468">
        <f t="shared" si="5"/>
        <v>0</v>
      </c>
      <c r="M35" s="468">
        <f t="shared" si="5"/>
        <v>0</v>
      </c>
      <c r="N35" s="468">
        <f t="shared" si="5"/>
        <v>0</v>
      </c>
      <c r="O35" s="412"/>
      <c r="Q35" s="381"/>
      <c r="R35" s="381"/>
      <c r="S35" s="381"/>
      <c r="T35" s="381"/>
      <c r="U35" s="381"/>
      <c r="V35" s="381"/>
      <c r="W35" s="381"/>
      <c r="X35" s="381"/>
      <c r="Y35" s="381"/>
      <c r="Z35" s="381"/>
      <c r="AA35" s="381"/>
      <c r="AB35" s="381"/>
      <c r="AC35" s="324"/>
      <c r="AD35" s="505"/>
      <c r="AE35" s="505"/>
      <c r="AF35" s="505"/>
      <c r="AG35" s="505"/>
      <c r="AH35" s="505"/>
      <c r="AI35" s="505"/>
      <c r="AJ35" s="505"/>
      <c r="AK35" s="505"/>
      <c r="AL35" s="324"/>
      <c r="AM35" s="324"/>
      <c r="AN35" s="324"/>
      <c r="AO35" s="324"/>
      <c r="AP35" s="324"/>
    </row>
    <row r="36" spans="1:42" ht="13.5" thickTop="1">
      <c r="A36" s="409"/>
      <c r="B36" s="409"/>
      <c r="C36" s="409"/>
      <c r="D36" s="409"/>
      <c r="E36" s="410"/>
      <c r="F36" s="412"/>
      <c r="G36" s="412"/>
      <c r="H36" s="412"/>
      <c r="I36" s="412"/>
      <c r="J36" s="412"/>
      <c r="K36" s="23"/>
      <c r="L36" s="23"/>
      <c r="M36" s="23"/>
      <c r="N36" s="23"/>
      <c r="O36" s="412"/>
      <c r="Q36" s="381"/>
      <c r="R36" s="381"/>
      <c r="S36" s="381"/>
      <c r="T36" s="381"/>
      <c r="U36" s="381"/>
      <c r="V36" s="381"/>
      <c r="W36" s="381"/>
      <c r="X36" s="381"/>
      <c r="Y36" s="381"/>
      <c r="Z36" s="381"/>
      <c r="AA36" s="381"/>
      <c r="AB36" s="381"/>
      <c r="AC36" s="324"/>
      <c r="AD36" s="505"/>
      <c r="AE36" s="505"/>
      <c r="AF36" s="505"/>
      <c r="AG36" s="505"/>
      <c r="AH36" s="505"/>
      <c r="AI36" s="505"/>
      <c r="AJ36" s="505"/>
      <c r="AK36" s="505"/>
      <c r="AL36" s="324"/>
      <c r="AM36" s="324"/>
      <c r="AN36" s="324"/>
      <c r="AO36" s="324"/>
      <c r="AP36" s="324"/>
    </row>
    <row r="37" spans="1:42">
      <c r="A37" s="474" t="str">
        <f>+A9</f>
        <v>Junior Debt (US$)</v>
      </c>
      <c r="B37" s="475"/>
      <c r="C37" s="475"/>
      <c r="D37" s="475"/>
      <c r="E37" s="476"/>
      <c r="F37" s="476"/>
      <c r="G37" s="476"/>
      <c r="H37" s="476"/>
      <c r="I37" s="476"/>
      <c r="J37" s="476"/>
      <c r="K37" s="477"/>
      <c r="L37" s="477"/>
      <c r="M37" s="477"/>
      <c r="N37" s="477"/>
      <c r="O37" s="392"/>
      <c r="Q37" s="381"/>
      <c r="R37" s="381"/>
      <c r="S37" s="381"/>
      <c r="T37" s="381"/>
      <c r="U37" s="381"/>
      <c r="V37" s="381"/>
      <c r="W37" s="381"/>
      <c r="X37" s="381"/>
      <c r="Y37" s="381"/>
      <c r="Z37" s="381"/>
      <c r="AA37" s="381"/>
      <c r="AB37" s="381"/>
      <c r="AC37" s="324"/>
      <c r="AD37" s="505"/>
      <c r="AE37" s="505"/>
      <c r="AF37" s="505"/>
      <c r="AG37" s="505"/>
      <c r="AH37" s="505"/>
      <c r="AI37" s="505"/>
      <c r="AJ37" s="505"/>
      <c r="AK37" s="505"/>
      <c r="AL37" s="324"/>
      <c r="AM37" s="324"/>
      <c r="AN37" s="324"/>
      <c r="AO37" s="324"/>
      <c r="AP37" s="324"/>
    </row>
    <row r="38" spans="1:42">
      <c r="A38" s="393" t="s">
        <v>234</v>
      </c>
      <c r="B38" s="394"/>
      <c r="C38" s="394"/>
      <c r="D38" s="394"/>
      <c r="E38" s="502">
        <f>F9</f>
        <v>0</v>
      </c>
      <c r="F38" s="502">
        <f>E41</f>
        <v>0</v>
      </c>
      <c r="G38" s="502">
        <f t="shared" ref="G38:N38" si="6">F41</f>
        <v>0</v>
      </c>
      <c r="H38" s="502">
        <f t="shared" si="6"/>
        <v>0</v>
      </c>
      <c r="I38" s="502">
        <f t="shared" si="6"/>
        <v>0</v>
      </c>
      <c r="J38" s="502">
        <f t="shared" si="6"/>
        <v>0</v>
      </c>
      <c r="K38" s="502">
        <f t="shared" si="6"/>
        <v>0</v>
      </c>
      <c r="L38" s="502">
        <f t="shared" si="6"/>
        <v>0</v>
      </c>
      <c r="M38" s="502">
        <f t="shared" si="6"/>
        <v>0</v>
      </c>
      <c r="N38" s="502">
        <f t="shared" si="6"/>
        <v>0</v>
      </c>
      <c r="O38" s="393"/>
      <c r="Q38" s="381"/>
      <c r="R38" s="381"/>
      <c r="S38" s="381"/>
      <c r="T38" s="381"/>
      <c r="U38" s="381"/>
      <c r="V38" s="381"/>
      <c r="W38" s="381"/>
      <c r="X38" s="381"/>
      <c r="Y38" s="381"/>
      <c r="Z38" s="381"/>
      <c r="AA38" s="381"/>
      <c r="AB38" s="381"/>
      <c r="AC38" s="324"/>
      <c r="AD38" s="505"/>
      <c r="AE38" s="505"/>
      <c r="AF38" s="505"/>
      <c r="AG38" s="505"/>
      <c r="AH38" s="505"/>
      <c r="AI38" s="505"/>
      <c r="AJ38" s="505"/>
      <c r="AK38" s="505"/>
      <c r="AL38" s="324"/>
      <c r="AM38" s="324"/>
      <c r="AN38" s="324"/>
      <c r="AO38" s="324"/>
      <c r="AP38" s="324"/>
    </row>
    <row r="39" spans="1:42">
      <c r="A39" s="398" t="s">
        <v>239</v>
      </c>
      <c r="B39" s="398"/>
      <c r="C39" s="398"/>
      <c r="D39" s="398"/>
      <c r="E39" s="503">
        <f>IF('Fin Stats and Ratios'!$I$17=1,Debt!E61,IF('Fin Stats and Ratios'!$I$17=2,E76,IF('Fin Stats and Ratios'!$I$17=3,Debt!E94-Debt!E95,"Enter Type of Amort")))</f>
        <v>0</v>
      </c>
      <c r="F39" s="503">
        <f>IF('Fin Stats and Ratios'!$I$17=1,Debt!F61,IF('Fin Stats and Ratios'!$I$17=2,F76,IF('Fin Stats and Ratios'!$I$17=3,Debt!F94-Debt!F95,"Enter Type of Amort")))</f>
        <v>0</v>
      </c>
      <c r="G39" s="503">
        <f>IF('Fin Stats and Ratios'!$I$17=1,Debt!G61,IF('Fin Stats and Ratios'!$I$17=2,G76,IF('Fin Stats and Ratios'!$I$17=3,Debt!G94-Debt!G95,"Enter Type of Amort")))</f>
        <v>0</v>
      </c>
      <c r="H39" s="503">
        <f>IF('Fin Stats and Ratios'!$I$17=1,Debt!H61,IF('Fin Stats and Ratios'!$I$17=2,H76,IF('Fin Stats and Ratios'!$I$17=3,Debt!H94-Debt!H95,"Enter Type of Amort")))</f>
        <v>0</v>
      </c>
      <c r="I39" s="503">
        <f>IF('Fin Stats and Ratios'!$I$17=1,Debt!I61,IF('Fin Stats and Ratios'!$I$17=2,I76,IF('Fin Stats and Ratios'!$I$17=3,Debt!I94-Debt!I95,"Enter Type of Amort")))</f>
        <v>0</v>
      </c>
      <c r="J39" s="503">
        <f>IF('Fin Stats and Ratios'!$I$17=1,Debt!J61,IF('Fin Stats and Ratios'!$I$17=2,J76,IF('Fin Stats and Ratios'!$I$17=3,Debt!J94-Debt!J95,"Enter Type of Amort")))</f>
        <v>0</v>
      </c>
      <c r="K39" s="503">
        <f>IF('Fin Stats and Ratios'!$I$17=1,Debt!K61,IF('Fin Stats and Ratios'!$I$17=2,K76,IF('Fin Stats and Ratios'!$I$17=3,Debt!K94-Debt!K95,"Enter Type of Amort")))</f>
        <v>0</v>
      </c>
      <c r="L39" s="503">
        <f>IF('Fin Stats and Ratios'!$I$17=1,Debt!L61,IF('Fin Stats and Ratios'!$I$17=2,L76,IF('Fin Stats and Ratios'!$I$17=3,Debt!L94-Debt!L95,"Enter Type of Amort")))</f>
        <v>0</v>
      </c>
      <c r="M39" s="503">
        <f>IF('Fin Stats and Ratios'!$I$17=1,Debt!M61,IF('Fin Stats and Ratios'!$I$17=2,M76,IF('Fin Stats and Ratios'!$I$17=3,Debt!M94-Debt!M95,"Enter Type of Amort")))</f>
        <v>0</v>
      </c>
      <c r="N39" s="503">
        <f>IF('Fin Stats and Ratios'!$I$17=1,Debt!N61,IF('Fin Stats and Ratios'!$I$17=2,N76,IF('Fin Stats and Ratios'!$I$17=3,Debt!N94-Debt!N95,"Enter Type of Amort")))</f>
        <v>0</v>
      </c>
      <c r="O39" s="381"/>
      <c r="P39" s="35"/>
      <c r="Q39" s="381"/>
      <c r="R39" s="381"/>
      <c r="S39" s="381"/>
      <c r="T39" s="381"/>
      <c r="U39" s="381"/>
      <c r="V39" s="381"/>
      <c r="W39" s="381"/>
      <c r="X39" s="381"/>
      <c r="Y39" s="381"/>
      <c r="Z39" s="381"/>
      <c r="AA39" s="381"/>
      <c r="AB39" s="381"/>
      <c r="AC39" s="324"/>
      <c r="AD39" s="505"/>
      <c r="AE39" s="505"/>
      <c r="AF39" s="505"/>
      <c r="AG39" s="505"/>
      <c r="AH39" s="505"/>
      <c r="AI39" s="505"/>
      <c r="AJ39" s="505"/>
      <c r="AK39" s="505"/>
      <c r="AL39" s="324"/>
      <c r="AM39" s="324"/>
      <c r="AN39" s="324"/>
      <c r="AO39" s="324"/>
      <c r="AP39" s="324"/>
    </row>
    <row r="40" spans="1:42">
      <c r="A40" s="500" t="s">
        <v>240</v>
      </c>
      <c r="B40" s="500"/>
      <c r="C40" s="500"/>
      <c r="D40" s="500"/>
      <c r="E40" s="504">
        <v>0</v>
      </c>
      <c r="F40" s="504">
        <v>0</v>
      </c>
      <c r="G40" s="504">
        <v>0</v>
      </c>
      <c r="H40" s="504">
        <v>0</v>
      </c>
      <c r="I40" s="504">
        <v>0</v>
      </c>
      <c r="J40" s="504">
        <v>0</v>
      </c>
      <c r="K40" s="504">
        <v>0</v>
      </c>
      <c r="L40" s="504">
        <v>0</v>
      </c>
      <c r="M40" s="504">
        <v>0</v>
      </c>
      <c r="N40" s="504">
        <v>0</v>
      </c>
      <c r="O40" s="381"/>
      <c r="P40" s="35"/>
      <c r="Q40" s="381"/>
      <c r="R40" s="381"/>
      <c r="S40" s="381"/>
      <c r="T40" s="381"/>
      <c r="U40" s="381"/>
      <c r="V40" s="381"/>
      <c r="W40" s="381"/>
      <c r="X40" s="381"/>
      <c r="Y40" s="381"/>
      <c r="Z40" s="381"/>
      <c r="AA40" s="381"/>
      <c r="AB40" s="381"/>
      <c r="AC40" s="324"/>
      <c r="AD40" s="505"/>
      <c r="AE40" s="505"/>
      <c r="AF40" s="505"/>
      <c r="AG40" s="505"/>
      <c r="AH40" s="505"/>
      <c r="AI40" s="505"/>
      <c r="AJ40" s="505"/>
      <c r="AK40" s="505"/>
      <c r="AL40" s="324"/>
      <c r="AM40" s="324"/>
      <c r="AN40" s="324"/>
      <c r="AO40" s="324"/>
      <c r="AP40" s="324"/>
    </row>
    <row r="41" spans="1:42">
      <c r="A41" s="389" t="s">
        <v>241</v>
      </c>
      <c r="B41" s="389"/>
      <c r="C41" s="389"/>
      <c r="D41" s="389"/>
      <c r="E41" s="736">
        <f>E38-E39-E40</f>
        <v>0</v>
      </c>
      <c r="F41" s="736">
        <f t="shared" ref="F41:N41" si="7">F38-F39-F40</f>
        <v>0</v>
      </c>
      <c r="G41" s="736">
        <f t="shared" si="7"/>
        <v>0</v>
      </c>
      <c r="H41" s="736">
        <f t="shared" si="7"/>
        <v>0</v>
      </c>
      <c r="I41" s="736">
        <f t="shared" si="7"/>
        <v>0</v>
      </c>
      <c r="J41" s="736">
        <f t="shared" si="7"/>
        <v>0</v>
      </c>
      <c r="K41" s="736">
        <f t="shared" si="7"/>
        <v>0</v>
      </c>
      <c r="L41" s="736">
        <f t="shared" si="7"/>
        <v>0</v>
      </c>
      <c r="M41" s="736">
        <f t="shared" si="7"/>
        <v>0</v>
      </c>
      <c r="N41" s="736">
        <f t="shared" si="7"/>
        <v>0</v>
      </c>
      <c r="O41" s="411"/>
      <c r="P41" s="35"/>
      <c r="Q41" s="380"/>
      <c r="R41" s="381"/>
      <c r="S41" s="381"/>
      <c r="T41" s="381"/>
      <c r="U41" s="381"/>
      <c r="V41" s="381"/>
      <c r="W41" s="381"/>
      <c r="X41" s="381"/>
      <c r="Y41" s="381"/>
      <c r="Z41" s="381"/>
      <c r="AA41" s="381"/>
      <c r="AB41" s="381"/>
      <c r="AC41" s="324"/>
      <c r="AD41" s="505"/>
      <c r="AE41" s="505"/>
      <c r="AF41" s="505"/>
      <c r="AG41" s="505"/>
      <c r="AH41" s="505"/>
      <c r="AI41" s="505"/>
      <c r="AJ41" s="505"/>
      <c r="AK41" s="505"/>
      <c r="AL41" s="324"/>
      <c r="AM41" s="326"/>
      <c r="AN41" s="326"/>
      <c r="AO41" s="326"/>
      <c r="AP41" s="326"/>
    </row>
    <row r="42" spans="1:42" ht="13.5" thickBot="1">
      <c r="A42" s="463" t="s">
        <v>244</v>
      </c>
      <c r="B42" s="463"/>
      <c r="C42" s="463"/>
      <c r="D42" s="463"/>
      <c r="E42" s="501"/>
      <c r="F42" s="469" t="e">
        <f>+#REF!</f>
        <v>#REF!</v>
      </c>
      <c r="G42" s="469" t="e">
        <f>+#REF!</f>
        <v>#REF!</v>
      </c>
      <c r="H42" s="469" t="e">
        <f>+#REF!</f>
        <v>#REF!</v>
      </c>
      <c r="I42" s="469" t="e">
        <f>+#REF!</f>
        <v>#REF!</v>
      </c>
      <c r="J42" s="469" t="e">
        <f>+#REF!</f>
        <v>#REF!</v>
      </c>
      <c r="K42" s="470"/>
      <c r="L42" s="470"/>
      <c r="M42" s="470"/>
      <c r="N42" s="470"/>
      <c r="O42" s="412"/>
      <c r="P42" s="35"/>
      <c r="Q42" s="381"/>
      <c r="R42" s="381"/>
      <c r="S42" s="380"/>
      <c r="T42" s="381"/>
      <c r="U42" s="381"/>
      <c r="V42" s="381"/>
      <c r="W42" s="381"/>
      <c r="X42" s="381"/>
      <c r="Y42" s="380"/>
      <c r="Z42" s="381"/>
      <c r="AA42" s="381"/>
      <c r="AB42" s="381"/>
      <c r="AC42" s="327"/>
      <c r="AD42" s="507"/>
      <c r="AE42" s="505"/>
      <c r="AF42" s="505"/>
      <c r="AG42" s="505"/>
      <c r="AH42" s="505"/>
      <c r="AI42" s="505"/>
      <c r="AJ42" s="505"/>
      <c r="AK42" s="505"/>
      <c r="AL42" s="324"/>
      <c r="AM42" s="326"/>
      <c r="AN42" s="326"/>
      <c r="AO42" s="326"/>
      <c r="AP42" s="326"/>
    </row>
    <row r="43" spans="1:42" ht="13.5" thickTop="1">
      <c r="A43" s="409"/>
      <c r="B43" s="409"/>
      <c r="C43" s="409"/>
      <c r="D43" s="409"/>
      <c r="E43" s="410"/>
      <c r="F43" s="412"/>
      <c r="G43" s="412"/>
      <c r="H43" s="412"/>
      <c r="I43" s="412"/>
      <c r="J43" s="412"/>
      <c r="K43" s="23"/>
      <c r="L43" s="23"/>
      <c r="M43" s="23"/>
      <c r="N43" s="23"/>
      <c r="O43" s="412"/>
      <c r="P43" s="35"/>
      <c r="Q43" s="381"/>
      <c r="R43" s="381"/>
      <c r="S43" s="380"/>
      <c r="T43" s="381"/>
      <c r="U43" s="381"/>
      <c r="V43" s="381"/>
      <c r="W43" s="381"/>
      <c r="X43" s="381"/>
      <c r="Y43" s="380"/>
      <c r="Z43" s="381"/>
      <c r="AA43" s="381"/>
      <c r="AB43" s="381"/>
      <c r="AC43" s="327"/>
      <c r="AD43" s="507"/>
      <c r="AE43" s="505"/>
      <c r="AF43" s="505"/>
      <c r="AG43" s="505"/>
      <c r="AH43" s="505"/>
      <c r="AI43" s="505"/>
      <c r="AJ43" s="505"/>
      <c r="AK43" s="505"/>
      <c r="AL43" s="324"/>
      <c r="AM43" s="326"/>
      <c r="AN43" s="326"/>
      <c r="AO43" s="326"/>
      <c r="AP43" s="326"/>
    </row>
    <row r="44" spans="1:42">
      <c r="A44" s="512" t="s">
        <v>245</v>
      </c>
      <c r="B44" s="513"/>
      <c r="C44" s="513"/>
      <c r="D44" s="513"/>
      <c r="E44" s="513"/>
      <c r="F44" s="514"/>
      <c r="G44" s="514"/>
      <c r="H44" s="514"/>
      <c r="I44" s="514"/>
      <c r="J44" s="514"/>
      <c r="K44" s="477"/>
      <c r="L44" s="477"/>
      <c r="M44" s="477"/>
      <c r="N44" s="477"/>
      <c r="O44" s="413"/>
      <c r="Q44" s="334"/>
      <c r="R44" s="334"/>
      <c r="S44" s="334"/>
      <c r="T44" s="334"/>
      <c r="U44" s="334"/>
      <c r="V44" s="334"/>
      <c r="W44" s="334"/>
      <c r="X44" s="334"/>
      <c r="Y44" s="334"/>
      <c r="Z44" s="334"/>
      <c r="AA44" s="334"/>
      <c r="AB44" s="334"/>
      <c r="AC44" s="319"/>
      <c r="AD44" s="508"/>
      <c r="AE44" s="505"/>
      <c r="AF44" s="505"/>
      <c r="AG44" s="505"/>
      <c r="AH44" s="505"/>
      <c r="AI44" s="505"/>
      <c r="AJ44" s="505"/>
      <c r="AK44" s="508"/>
      <c r="AL44" s="319"/>
      <c r="AM44" s="319"/>
      <c r="AN44" s="319"/>
      <c r="AO44" s="319"/>
      <c r="AP44" s="319"/>
    </row>
    <row r="45" spans="1:42">
      <c r="A45" s="378" t="s">
        <v>246</v>
      </c>
      <c r="B45" s="378"/>
      <c r="C45" s="378"/>
      <c r="D45" s="378"/>
      <c r="E45" s="378"/>
      <c r="F45" s="378" t="e">
        <f>'Unlev. Consolid'!H50</f>
        <v>#REF!</v>
      </c>
      <c r="G45" s="378" t="e">
        <f>'Unlev. Consolid'!I50</f>
        <v>#REF!</v>
      </c>
      <c r="H45" s="378" t="e">
        <f>'Unlev. Consolid'!J50</f>
        <v>#REF!</v>
      </c>
      <c r="I45" s="378" t="e">
        <f>'Unlev. Consolid'!K50</f>
        <v>#REF!</v>
      </c>
      <c r="J45" s="378" t="e">
        <f>'Unlev. Consolid'!L50</f>
        <v>#REF!</v>
      </c>
      <c r="K45" s="378" t="e">
        <f>'Unlev. Consolid'!M50</f>
        <v>#REF!</v>
      </c>
      <c r="L45" s="378" t="e">
        <f>'Unlev. Consolid'!N50</f>
        <v>#REF!</v>
      </c>
      <c r="M45" s="378" t="e">
        <f>'Unlev. Consolid'!O50</f>
        <v>#REF!</v>
      </c>
      <c r="N45" s="378" t="e">
        <f>'Unlev. Consolid'!P50</f>
        <v>#REF!</v>
      </c>
      <c r="O45" s="378"/>
      <c r="Q45" s="414"/>
      <c r="R45" s="414"/>
      <c r="S45" s="414"/>
      <c r="T45" s="414"/>
      <c r="U45" s="414"/>
      <c r="V45" s="414"/>
      <c r="W45" s="414"/>
      <c r="X45" s="414"/>
      <c r="Y45" s="414"/>
      <c r="Z45" s="414"/>
      <c r="AA45" s="414"/>
      <c r="AB45" s="414"/>
      <c r="AC45" s="328"/>
      <c r="AD45" s="510"/>
      <c r="AE45" s="505"/>
      <c r="AF45" s="505"/>
      <c r="AG45" s="505"/>
      <c r="AH45" s="505"/>
      <c r="AI45" s="505"/>
      <c r="AJ45" s="505"/>
      <c r="AK45" s="510"/>
      <c r="AL45" s="328"/>
      <c r="AM45" s="328"/>
      <c r="AN45" s="328"/>
      <c r="AO45" s="328"/>
      <c r="AP45" s="328"/>
    </row>
    <row r="46" spans="1:42">
      <c r="A46" s="270" t="s">
        <v>247</v>
      </c>
      <c r="B46" s="270"/>
      <c r="C46" s="270"/>
      <c r="D46" s="270"/>
      <c r="E46" s="270"/>
      <c r="F46" s="415" t="e">
        <f>-(#REF!-#REF!)</f>
        <v>#REF!</v>
      </c>
      <c r="G46" s="415" t="e">
        <f>-(#REF!-#REF!)</f>
        <v>#REF!</v>
      </c>
      <c r="H46" s="415" t="e">
        <f>-(#REF!-#REF!)</f>
        <v>#REF!</v>
      </c>
      <c r="I46" s="415" t="e">
        <f>-(#REF!-#REF!)</f>
        <v>#REF!</v>
      </c>
      <c r="J46" s="415" t="e">
        <f>-(#REF!-#REF!)</f>
        <v>#REF!</v>
      </c>
      <c r="K46" s="23"/>
      <c r="L46" s="23"/>
      <c r="M46" s="23"/>
      <c r="N46" s="23"/>
      <c r="O46" s="416"/>
      <c r="Q46" s="280"/>
      <c r="R46" s="280"/>
      <c r="S46" s="280"/>
      <c r="T46" s="280"/>
      <c r="U46" s="280"/>
      <c r="V46" s="280"/>
      <c r="W46" s="280"/>
      <c r="X46" s="280"/>
      <c r="Y46" s="280"/>
      <c r="Z46" s="280"/>
      <c r="AA46" s="280"/>
      <c r="AB46" s="280"/>
      <c r="AC46" s="325"/>
      <c r="AD46" s="509"/>
      <c r="AE46" s="505"/>
      <c r="AF46" s="505"/>
      <c r="AG46" s="505"/>
      <c r="AH46" s="505"/>
      <c r="AI46" s="505"/>
      <c r="AJ46" s="505"/>
      <c r="AK46" s="509"/>
      <c r="AL46" s="325"/>
      <c r="AM46" s="325"/>
      <c r="AN46" s="325"/>
      <c r="AO46" s="325"/>
      <c r="AP46" s="325"/>
    </row>
    <row r="47" spans="1:42">
      <c r="A47" s="6" t="s">
        <v>248</v>
      </c>
      <c r="B47" s="6"/>
      <c r="C47" s="6"/>
      <c r="D47" s="6"/>
      <c r="E47" s="6"/>
      <c r="F47" s="417" t="e">
        <f>SUM(F45:F46)</f>
        <v>#REF!</v>
      </c>
      <c r="G47" s="417" t="e">
        <f>SUM(G45:G46)</f>
        <v>#REF!</v>
      </c>
      <c r="H47" s="417" t="e">
        <f>SUM(H45:H46)</f>
        <v>#REF!</v>
      </c>
      <c r="I47" s="417" t="e">
        <f>SUM(I45:I46)</f>
        <v>#REF!</v>
      </c>
      <c r="J47" s="417" t="e">
        <f>SUM(J45:J46)</f>
        <v>#REF!</v>
      </c>
      <c r="K47" s="23"/>
      <c r="L47" s="23"/>
      <c r="M47" s="23"/>
      <c r="N47" s="23"/>
      <c r="O47" s="4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329"/>
      <c r="AD47" s="511"/>
      <c r="AE47" s="505"/>
      <c r="AF47" s="505"/>
      <c r="AG47" s="505"/>
      <c r="AH47" s="505"/>
      <c r="AI47" s="505"/>
      <c r="AJ47" s="505"/>
      <c r="AK47" s="511"/>
      <c r="AL47" s="329"/>
      <c r="AM47" s="329"/>
      <c r="AN47" s="329"/>
      <c r="AO47" s="329"/>
      <c r="AP47" s="329"/>
    </row>
    <row r="48" spans="1:42">
      <c r="A48" s="60"/>
      <c r="B48" s="60"/>
      <c r="C48" s="60"/>
      <c r="D48" s="60"/>
      <c r="E48" s="418" t="str">
        <f>+'[5]Financing Assumptions'!E33</f>
        <v>Debt Cash Sweep</v>
      </c>
      <c r="F48" s="419" t="e">
        <f>IF((F47)&lt;=0,0,#REF!*(F47))</f>
        <v>#REF!</v>
      </c>
      <c r="G48" s="419" t="e">
        <f>IF((G47)&lt;=0,0,#REF!*(G47))</f>
        <v>#REF!</v>
      </c>
      <c r="H48" s="419" t="e">
        <f>IF((H47)&lt;=0,0,#REF!*(H47))</f>
        <v>#REF!</v>
      </c>
      <c r="I48" s="419" t="e">
        <f>IF((I47)&lt;=0,0,#REF!*(I47))</f>
        <v>#REF!</v>
      </c>
      <c r="J48" s="419" t="e">
        <f>IF((J47)&lt;=0,0,#REF!*(J47))</f>
        <v>#REF!</v>
      </c>
      <c r="K48" s="23"/>
      <c r="L48" s="23"/>
      <c r="M48" s="23"/>
      <c r="N48" s="23"/>
      <c r="O48" s="419"/>
      <c r="Q48" s="280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329"/>
      <c r="AD48" s="511"/>
      <c r="AE48" s="505"/>
      <c r="AF48" s="511"/>
      <c r="AG48" s="511"/>
      <c r="AH48" s="511"/>
      <c r="AI48" s="511"/>
      <c r="AJ48" s="511"/>
      <c r="AK48" s="511"/>
      <c r="AL48" s="329"/>
      <c r="AM48" s="329"/>
      <c r="AN48" s="329"/>
      <c r="AO48" s="329"/>
      <c r="AP48" s="329"/>
    </row>
    <row r="49" spans="1:42">
      <c r="A49" s="270" t="str">
        <f>+A7</f>
        <v>Senior Tranche A (US$)</v>
      </c>
      <c r="B49" s="6"/>
      <c r="C49" s="6"/>
      <c r="D49" s="6"/>
      <c r="E49" s="6"/>
      <c r="F49" s="377">
        <f>IF($K$7=0,0,IF((F24+F25)&gt;F48,IF((F24+F25)&lt;=0,0,F48),(F24+F25)))</f>
        <v>0</v>
      </c>
      <c r="G49" s="377">
        <f>IF($K$7=0,0,IF((G24+G25)&gt;G48,IF((G24+G25)&lt;=0,0,G48),(G24+G25)))</f>
        <v>0</v>
      </c>
      <c r="H49" s="377">
        <f>IF($K$7=0,0,IF((H24+H25)&gt;H48,IF((H24+H25)&lt;=0,0,H48),(H24+H25)))</f>
        <v>0</v>
      </c>
      <c r="I49" s="377">
        <f>IF($K$7=0,0,IF((I24+I25)&gt;I48,IF((I24+I25)&lt;=0,0,I48),(I24+I25)))</f>
        <v>0</v>
      </c>
      <c r="J49" s="377">
        <f>IF($K$7=0,0,IF((J24+J25)&gt;J48,IF((J24+J25)&lt;=0,0,J48),(J24+J25)))</f>
        <v>0</v>
      </c>
      <c r="K49" s="23"/>
      <c r="L49" s="23"/>
      <c r="M49" s="23"/>
      <c r="N49" s="23"/>
      <c r="O49" s="37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329"/>
      <c r="AD49" s="511"/>
      <c r="AE49" s="511"/>
      <c r="AF49" s="511"/>
      <c r="AG49" s="511"/>
      <c r="AH49" s="511"/>
      <c r="AI49" s="511"/>
      <c r="AJ49" s="511"/>
      <c r="AK49" s="511"/>
      <c r="AL49" s="329"/>
      <c r="AM49" s="329"/>
      <c r="AN49" s="329"/>
      <c r="AO49" s="329"/>
      <c r="AP49" s="329"/>
    </row>
    <row r="50" spans="1:42">
      <c r="A50" s="270" t="str">
        <f>+A8</f>
        <v>Senior Tranche B (US$)</v>
      </c>
      <c r="B50" s="6"/>
      <c r="C50" s="6"/>
      <c r="D50" s="6"/>
      <c r="E50" s="6"/>
      <c r="F50" s="377">
        <f>IF($K$8=0,0,IF(F48=F49,0,IF(F31+F32&gt;=0,IF((F31+F32)&lt;F48,F31+F32,F48-F49),0)))</f>
        <v>0</v>
      </c>
      <c r="G50" s="377">
        <f>IF($K$8=0,0,IF(G48=G49,0,IF(G31+G32&gt;=0,IF((G31+G32)&lt;G48,G31+G32,G48-G49),0)))</f>
        <v>0</v>
      </c>
      <c r="H50" s="377">
        <f>IF($K$8=0,0,IF(H48=H49,0,IF(H31+H32&gt;=0,IF((H31+H32)&lt;H48-H49,H31+H32,H48-H49),0)))</f>
        <v>0</v>
      </c>
      <c r="I50" s="377">
        <f>IF($K$8=0,0,IF(I48=I49,0,IF(I31+I32&gt;=0,IF((I31+I32)&lt;I48-I49,I31+I32,I48-I49),0)))</f>
        <v>0</v>
      </c>
      <c r="J50" s="377">
        <f>IF($K$8=0,0,IF(J48=J49,0,IF(J31+J32&gt;=0,IF((J31+J32)&lt;J48-J49,J31+J32,J48-J49),0)))</f>
        <v>0</v>
      </c>
      <c r="K50" s="23"/>
      <c r="L50" s="23"/>
      <c r="M50" s="23"/>
      <c r="N50" s="23"/>
      <c r="O50" s="37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329"/>
      <c r="AD50" s="511"/>
      <c r="AE50" s="511"/>
      <c r="AF50" s="511"/>
      <c r="AG50" s="511"/>
      <c r="AH50" s="511"/>
      <c r="AI50" s="511"/>
      <c r="AJ50" s="511"/>
      <c r="AK50" s="511"/>
      <c r="AL50" s="329"/>
      <c r="AM50" s="329"/>
      <c r="AN50" s="329"/>
      <c r="AO50" s="329"/>
      <c r="AP50" s="329"/>
    </row>
    <row r="51" spans="1:42">
      <c r="A51" s="283" t="str">
        <f>+A9</f>
        <v>Junior Debt (US$)</v>
      </c>
      <c r="B51" s="420"/>
      <c r="C51" s="420"/>
      <c r="D51" s="420"/>
      <c r="E51" s="420"/>
      <c r="F51" s="313">
        <f>IF($K$9=0,0,IF(F48=F49,0,IF(F48=F49+F50,0,IF((F38+F39)&gt;=0,IF((F38+F39)&lt;F48,F38+F39,(F48)-F49-F50),0))))</f>
        <v>0</v>
      </c>
      <c r="G51" s="313">
        <f>IF($K$9=0,0,IF(G48=G49,0,IF(G48=G49+G50,0,IF((G38+G39)&gt;=0,IF((G38+G39)&lt;G48,G38+G39,(G48)-G49-G50),0))))</f>
        <v>0</v>
      </c>
      <c r="H51" s="313">
        <f>IF($K$9=0,0,IF(H48=H49,0,IF(H48=H49+H50,0,IF((H38+H39)&gt;=0,IF((H38+H39)&lt;H48,H38+H39,(H48)-H49-H50),0))))</f>
        <v>0</v>
      </c>
      <c r="I51" s="313">
        <f>IF($K$9=0,0,IF(I48=I49,0,IF(I48=I49+I50,0,IF((I38+I39)&gt;=0,IF((I38+I39)&lt;I48-I49-I50,I38+I39,I48-I49-I50),0))))</f>
        <v>0</v>
      </c>
      <c r="J51" s="313">
        <f>IF($K$9=0,0,IF(J48=J49,0,IF(J48=J49+J50,0,IF((J38+J39)&gt;=0,IF((J38+J39)&lt;J48,J38+J39,(J48)-J49-J50),0))))</f>
        <v>0</v>
      </c>
      <c r="K51" s="23"/>
      <c r="L51" s="23"/>
      <c r="M51" s="23"/>
      <c r="N51" s="23"/>
      <c r="O51" s="37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329"/>
      <c r="AD51" s="511"/>
      <c r="AE51" s="511"/>
      <c r="AF51" s="511"/>
      <c r="AG51" s="511"/>
      <c r="AH51" s="511"/>
      <c r="AI51" s="511"/>
      <c r="AJ51" s="511"/>
      <c r="AK51" s="511"/>
      <c r="AL51" s="329"/>
      <c r="AM51" s="329"/>
      <c r="AN51" s="329"/>
      <c r="AO51" s="329"/>
      <c r="AP51" s="329"/>
    </row>
    <row r="52" spans="1:42">
      <c r="A52" s="270"/>
      <c r="B52" s="6"/>
      <c r="C52" s="6"/>
      <c r="D52" s="6"/>
      <c r="E52" s="6"/>
      <c r="F52" s="6"/>
      <c r="G52" s="377"/>
      <c r="H52" s="377"/>
      <c r="I52" s="377"/>
      <c r="J52" s="377"/>
      <c r="K52" s="377"/>
      <c r="L52" s="23"/>
      <c r="M52" s="23"/>
      <c r="N52" s="23"/>
      <c r="O52" s="23"/>
      <c r="P52" s="37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329"/>
      <c r="AD52" s="511"/>
      <c r="AE52" s="511"/>
      <c r="AF52" s="511"/>
      <c r="AG52" s="511"/>
      <c r="AH52" s="511"/>
      <c r="AI52" s="511"/>
      <c r="AJ52" s="511"/>
      <c r="AK52" s="511"/>
      <c r="AL52" s="329"/>
      <c r="AM52" s="329"/>
      <c r="AN52" s="329"/>
      <c r="AO52" s="329"/>
      <c r="AP52" s="329"/>
    </row>
    <row r="53" spans="1:42">
      <c r="A53" s="346"/>
      <c r="B53" s="347"/>
      <c r="C53" s="347"/>
      <c r="D53" s="347"/>
      <c r="E53" s="347"/>
      <c r="F53" s="347"/>
      <c r="G53" s="358"/>
      <c r="H53" s="358"/>
      <c r="I53" s="358"/>
      <c r="J53" s="358"/>
      <c r="K53" s="358"/>
      <c r="L53" s="311"/>
      <c r="M53" s="23"/>
      <c r="N53" s="23"/>
      <c r="O53" s="23"/>
      <c r="P53" s="37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329"/>
      <c r="AD53" s="329"/>
      <c r="AE53" s="329"/>
      <c r="AF53" s="329"/>
      <c r="AG53" s="329"/>
      <c r="AH53" s="329"/>
      <c r="AI53" s="329"/>
      <c r="AJ53" s="329"/>
      <c r="AK53" s="329"/>
      <c r="AL53" s="329"/>
      <c r="AM53" s="329"/>
      <c r="AN53" s="329"/>
      <c r="AO53" s="329"/>
      <c r="AP53" s="329"/>
    </row>
    <row r="54" spans="1:42" ht="18">
      <c r="A54" s="494" t="s">
        <v>264</v>
      </c>
      <c r="B54" s="495"/>
      <c r="C54" s="495"/>
      <c r="D54" s="495"/>
      <c r="E54" s="495"/>
      <c r="F54" s="495"/>
      <c r="G54" s="273"/>
      <c r="H54" s="273"/>
      <c r="I54" s="273"/>
      <c r="J54" s="273"/>
      <c r="K54" s="273"/>
      <c r="L54" s="496"/>
      <c r="M54" s="477"/>
      <c r="N54" s="477"/>
      <c r="O54" s="23"/>
      <c r="P54" s="37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329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329"/>
      <c r="AO54" s="329"/>
      <c r="AP54" s="329"/>
    </row>
    <row r="55" spans="1:42">
      <c r="A55" s="346"/>
      <c r="B55" s="347"/>
      <c r="C55" s="347"/>
      <c r="D55" s="347"/>
      <c r="E55" s="347"/>
      <c r="F55" s="347"/>
      <c r="G55" s="358"/>
      <c r="H55" s="358"/>
      <c r="I55" s="358"/>
      <c r="J55" s="358"/>
      <c r="K55" s="358"/>
      <c r="L55" s="311"/>
      <c r="M55" s="23"/>
      <c r="N55" s="23"/>
      <c r="O55" s="23"/>
      <c r="P55" s="37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329"/>
      <c r="AD55" s="329"/>
      <c r="AE55" s="329"/>
      <c r="AF55" s="329"/>
      <c r="AG55" s="329"/>
      <c r="AH55" s="329"/>
      <c r="AI55" s="329"/>
      <c r="AJ55" s="329"/>
      <c r="AK55" s="329"/>
      <c r="AL55" s="329"/>
      <c r="AM55" s="329"/>
      <c r="AN55" s="329"/>
      <c r="AO55" s="329"/>
      <c r="AP55" s="329"/>
    </row>
    <row r="56" spans="1:42" ht="15.75">
      <c r="A56" s="445" t="s">
        <v>265</v>
      </c>
      <c r="B56" s="446"/>
      <c r="C56" s="446"/>
      <c r="D56" s="446"/>
      <c r="E56" s="372" t="s">
        <v>263</v>
      </c>
      <c r="F56" s="391"/>
      <c r="G56" s="386"/>
      <c r="H56" s="386"/>
      <c r="I56" s="304"/>
      <c r="J56" s="386"/>
      <c r="K56" s="304"/>
      <c r="L56" s="304"/>
      <c r="M56" s="304"/>
      <c r="N56" s="304"/>
      <c r="O56" s="23"/>
      <c r="P56" s="37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329"/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</row>
    <row r="57" spans="1:42" ht="15.75">
      <c r="A57" s="448" t="s">
        <v>266</v>
      </c>
      <c r="B57" s="449"/>
      <c r="C57" s="449"/>
      <c r="D57" s="449"/>
      <c r="E57" s="450">
        <v>2001</v>
      </c>
      <c r="F57" s="451">
        <v>2002</v>
      </c>
      <c r="G57" s="451">
        <v>2003</v>
      </c>
      <c r="H57" s="451">
        <v>2004</v>
      </c>
      <c r="I57" s="451">
        <v>2005</v>
      </c>
      <c r="J57" s="451">
        <v>2006</v>
      </c>
      <c r="K57" s="452">
        <v>2007</v>
      </c>
      <c r="L57" s="452">
        <v>2008</v>
      </c>
      <c r="M57" s="452">
        <v>2009</v>
      </c>
      <c r="N57" s="453">
        <v>2010</v>
      </c>
      <c r="O57" s="23"/>
      <c r="P57" s="421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329"/>
      <c r="AD57" s="329"/>
      <c r="AE57" s="329"/>
      <c r="AF57" s="329"/>
      <c r="AG57" s="329"/>
      <c r="AH57" s="329"/>
      <c r="AI57" s="329"/>
      <c r="AJ57" s="329"/>
      <c r="AK57" s="329"/>
      <c r="AL57" s="329"/>
      <c r="AM57" s="329"/>
      <c r="AN57" s="329"/>
      <c r="AO57" s="329"/>
      <c r="AP57" s="329"/>
    </row>
    <row r="58" spans="1:42" ht="15.75">
      <c r="A58" s="497"/>
      <c r="B58" s="347"/>
      <c r="C58" s="347"/>
      <c r="D58" s="460" t="s">
        <v>273</v>
      </c>
      <c r="E58" s="458">
        <v>1</v>
      </c>
      <c r="F58" s="459">
        <v>2</v>
      </c>
      <c r="G58" s="459">
        <v>3</v>
      </c>
      <c r="H58" s="459">
        <v>4</v>
      </c>
      <c r="I58" s="459">
        <v>5</v>
      </c>
      <c r="J58" s="459">
        <v>6</v>
      </c>
      <c r="K58" s="459">
        <v>7</v>
      </c>
      <c r="L58" s="459">
        <v>8</v>
      </c>
      <c r="M58" s="459">
        <v>9</v>
      </c>
      <c r="N58" s="459">
        <v>10</v>
      </c>
      <c r="O58" s="23"/>
      <c r="P58" s="421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</row>
    <row r="59" spans="1:42">
      <c r="A59" s="454" t="str">
        <f>A7</f>
        <v>Senior Tranche A (US$)</v>
      </c>
      <c r="B59" s="346"/>
      <c r="C59" s="346"/>
      <c r="D59" s="346"/>
      <c r="E59" s="498">
        <f>IF('Fin Stats and Ratios'!$F$15=E58,Debt!$F$7,0)</f>
        <v>0</v>
      </c>
      <c r="F59" s="498">
        <f>IF('Fin Stats and Ratios'!$F$15=F58,Debt!$F$7,0)</f>
        <v>0</v>
      </c>
      <c r="G59" s="498">
        <f>IF('Fin Stats and Ratios'!$F$15=G58,Debt!$F$7,0)</f>
        <v>0</v>
      </c>
      <c r="H59" s="498">
        <f>IF('Fin Stats and Ratios'!$F$15=H58,Debt!$F$7,0)</f>
        <v>0</v>
      </c>
      <c r="I59" s="498">
        <f>IF('Fin Stats and Ratios'!$F$15=I58,Debt!$F$7,0)</f>
        <v>0</v>
      </c>
      <c r="J59" s="498">
        <f>IF('Fin Stats and Ratios'!$F$15=J58,Debt!$F$7,0)</f>
        <v>0</v>
      </c>
      <c r="K59" s="498">
        <f>IF('Fin Stats and Ratios'!$F$15=K58,Debt!$F$7,0)</f>
        <v>0</v>
      </c>
      <c r="L59" s="498">
        <f>IF('Fin Stats and Ratios'!$F$15=L58,Debt!$F$7,0)</f>
        <v>0</v>
      </c>
      <c r="M59" s="498">
        <f>IF('Fin Stats and Ratios'!$F$15=M58,Debt!$F$7,0)</f>
        <v>0</v>
      </c>
      <c r="N59" s="498">
        <f>IF('Fin Stats and Ratios'!$F$15=N58,Debt!$F$7,0)</f>
        <v>1452784.8509409984</v>
      </c>
      <c r="O59" s="23"/>
      <c r="P59" s="270"/>
      <c r="Q59" s="280"/>
      <c r="R59" s="280"/>
      <c r="S59" s="280"/>
      <c r="T59" s="280"/>
      <c r="U59" s="280"/>
      <c r="V59" s="280"/>
      <c r="W59" s="280"/>
      <c r="X59" s="280"/>
      <c r="Y59" s="280"/>
      <c r="Z59" s="280"/>
      <c r="AA59" s="280"/>
      <c r="AB59" s="280"/>
      <c r="AC59" s="325"/>
      <c r="AD59" s="325"/>
      <c r="AE59" s="325"/>
      <c r="AF59" s="325"/>
      <c r="AG59" s="325"/>
      <c r="AH59" s="325"/>
      <c r="AI59" s="325"/>
      <c r="AJ59" s="325"/>
      <c r="AK59" s="325"/>
      <c r="AL59" s="325"/>
      <c r="AM59" s="325"/>
      <c r="AN59" s="325"/>
      <c r="AO59" s="325"/>
      <c r="AP59" s="325"/>
    </row>
    <row r="60" spans="1:42">
      <c r="A60" s="454" t="str">
        <f>A8</f>
        <v>Senior Tranche B (US$)</v>
      </c>
      <c r="B60" s="346"/>
      <c r="C60" s="346"/>
      <c r="D60" s="346"/>
      <c r="E60" s="498">
        <f>IF('Fin Stats and Ratios'!$F$16=E58,Debt!$F$8,0)</f>
        <v>0</v>
      </c>
      <c r="F60" s="498">
        <f>IF('Fin Stats and Ratios'!$F$16=F58,Debt!$F$8,0)</f>
        <v>0</v>
      </c>
      <c r="G60" s="498">
        <f>IF('Fin Stats and Ratios'!$F$16=G58,Debt!$F$8,0)</f>
        <v>0</v>
      </c>
      <c r="H60" s="498">
        <f>IF('Fin Stats and Ratios'!$F$16=H58,Debt!$F$8,0)</f>
        <v>0</v>
      </c>
      <c r="I60" s="498">
        <f>IF('Fin Stats and Ratios'!$F$16=I58,Debt!$F$8,0)</f>
        <v>0</v>
      </c>
      <c r="J60" s="498">
        <f>IF('Fin Stats and Ratios'!$F$16=J58,Debt!$F$8,0)</f>
        <v>0</v>
      </c>
      <c r="K60" s="498">
        <f>IF('Fin Stats and Ratios'!$F$16=K58,Debt!$F$8,0)</f>
        <v>0</v>
      </c>
      <c r="L60" s="498">
        <f>IF('Fin Stats and Ratios'!$F$16=L58,Debt!$F$8,0)</f>
        <v>0</v>
      </c>
      <c r="M60" s="498">
        <f>IF('Fin Stats and Ratios'!$F$16=M58,Debt!$F$8,0)</f>
        <v>0</v>
      </c>
      <c r="N60" s="498">
        <f>IF('Fin Stats and Ratios'!$F$16=N58,Debt!$F$8,0)</f>
        <v>0</v>
      </c>
      <c r="O60" s="23"/>
      <c r="P60" s="270"/>
      <c r="Q60" s="280"/>
      <c r="R60" s="280"/>
      <c r="S60" s="280"/>
      <c r="T60" s="280"/>
      <c r="U60" s="280"/>
      <c r="V60" s="280"/>
      <c r="W60" s="280"/>
      <c r="X60" s="280"/>
      <c r="Y60" s="280"/>
      <c r="Z60" s="280"/>
      <c r="AA60" s="280"/>
      <c r="AB60" s="280"/>
      <c r="AC60" s="325"/>
      <c r="AD60" s="325"/>
      <c r="AE60" s="325"/>
      <c r="AF60" s="325"/>
      <c r="AG60" s="325"/>
      <c r="AH60" s="325"/>
      <c r="AI60" s="325"/>
      <c r="AJ60" s="325"/>
      <c r="AK60" s="325"/>
      <c r="AL60" s="325"/>
      <c r="AM60" s="325"/>
      <c r="AN60" s="325"/>
      <c r="AO60" s="325"/>
      <c r="AP60" s="325"/>
    </row>
    <row r="61" spans="1:42">
      <c r="A61" s="455" t="str">
        <f>A9</f>
        <v>Junior Debt (US$)</v>
      </c>
      <c r="B61" s="447"/>
      <c r="C61" s="447"/>
      <c r="D61" s="447"/>
      <c r="E61" s="499">
        <f>IF('Fin Stats and Ratios'!$F$17=E58,Debt!$F$9,0)</f>
        <v>0</v>
      </c>
      <c r="F61" s="499">
        <f>IF('Fin Stats and Ratios'!$F$17=F58,Debt!$F$9,0)</f>
        <v>0</v>
      </c>
      <c r="G61" s="499">
        <f>IF('Fin Stats and Ratios'!$F$17=G58,Debt!$F$9,0)</f>
        <v>0</v>
      </c>
      <c r="H61" s="499">
        <f>IF('Fin Stats and Ratios'!$F$17=H58,Debt!$F$9,0)</f>
        <v>0</v>
      </c>
      <c r="I61" s="499">
        <f>IF('Fin Stats and Ratios'!$F$17=I58,Debt!$F$9,0)</f>
        <v>0</v>
      </c>
      <c r="J61" s="499">
        <f>IF('Fin Stats and Ratios'!$F$17=J58,Debt!$F$9,0)</f>
        <v>0</v>
      </c>
      <c r="K61" s="499">
        <f>IF('Fin Stats and Ratios'!$F$17=K58,Debt!$F$9,0)</f>
        <v>0</v>
      </c>
      <c r="L61" s="499">
        <f>IF('Fin Stats and Ratios'!$F$17=L58,Debt!$F$9,0)</f>
        <v>0</v>
      </c>
      <c r="M61" s="499">
        <f>IF('Fin Stats and Ratios'!$F$17=M58,Debt!$F$9,0)</f>
        <v>0</v>
      </c>
      <c r="N61" s="499">
        <f>IF('Fin Stats and Ratios'!$F$17=N58,Debt!$F$9,0)</f>
        <v>0</v>
      </c>
      <c r="O61" s="23"/>
      <c r="P61" s="270"/>
      <c r="Q61" s="268"/>
      <c r="R61" s="268"/>
      <c r="S61" s="268"/>
      <c r="T61" s="268"/>
      <c r="U61" s="268"/>
      <c r="V61" s="268"/>
      <c r="W61" s="268"/>
      <c r="X61" s="268"/>
      <c r="Y61" s="268"/>
      <c r="Z61" s="268"/>
      <c r="AA61" s="268"/>
      <c r="AB61" s="268"/>
      <c r="AC61" s="318"/>
      <c r="AD61" s="318"/>
      <c r="AE61" s="318"/>
      <c r="AF61" s="318"/>
      <c r="AG61" s="318"/>
      <c r="AH61" s="318"/>
      <c r="AI61" s="318"/>
      <c r="AJ61" s="318"/>
      <c r="AK61" s="318"/>
      <c r="AL61" s="318"/>
      <c r="AM61" s="318"/>
      <c r="AN61" s="318"/>
      <c r="AO61" s="318"/>
      <c r="AP61" s="318"/>
    </row>
    <row r="62" spans="1:42">
      <c r="A62" s="311"/>
      <c r="B62" s="311"/>
      <c r="C62" s="311"/>
      <c r="D62" s="311"/>
      <c r="E62" s="311"/>
      <c r="F62" s="311"/>
      <c r="G62" s="422"/>
      <c r="H62" s="422"/>
      <c r="I62" s="422"/>
      <c r="J62" s="422"/>
      <c r="K62" s="422"/>
      <c r="L62" s="311"/>
      <c r="M62" s="23"/>
      <c r="N62" s="23"/>
      <c r="O62" s="23"/>
      <c r="P62" s="422"/>
      <c r="Q62" s="268"/>
      <c r="R62" s="268"/>
      <c r="S62" s="268"/>
      <c r="T62" s="268"/>
      <c r="U62" s="268"/>
      <c r="V62" s="268"/>
      <c r="W62" s="268"/>
      <c r="X62" s="268"/>
      <c r="Y62" s="268"/>
      <c r="Z62" s="268"/>
      <c r="AA62" s="268"/>
      <c r="AB62" s="268"/>
      <c r="AC62" s="318"/>
      <c r="AD62" s="318"/>
      <c r="AE62" s="318"/>
      <c r="AF62" s="318"/>
      <c r="AG62" s="318"/>
      <c r="AH62" s="318"/>
      <c r="AI62" s="318"/>
      <c r="AJ62" s="318"/>
      <c r="AK62" s="318"/>
      <c r="AL62" s="318"/>
      <c r="AM62" s="318"/>
      <c r="AN62" s="318"/>
      <c r="AO62" s="318"/>
      <c r="AP62" s="318"/>
    </row>
    <row r="63" spans="1:42" ht="15.75">
      <c r="A63" s="236" t="s">
        <v>267</v>
      </c>
      <c r="B63" s="311"/>
      <c r="C63" s="311"/>
      <c r="D63" s="311"/>
      <c r="E63" s="372" t="s">
        <v>263</v>
      </c>
      <c r="F63" s="391"/>
      <c r="G63" s="386"/>
      <c r="H63" s="386"/>
      <c r="I63" s="304"/>
      <c r="J63" s="386"/>
      <c r="K63" s="304"/>
      <c r="L63" s="304"/>
      <c r="M63" s="304"/>
      <c r="N63" s="304"/>
      <c r="O63" s="23"/>
      <c r="P63" s="423"/>
      <c r="Q63" s="268"/>
      <c r="R63" s="268"/>
      <c r="S63" s="268"/>
      <c r="T63" s="268"/>
      <c r="U63" s="268"/>
      <c r="V63" s="268"/>
      <c r="W63" s="268"/>
      <c r="X63" s="268"/>
      <c r="Y63" s="268"/>
      <c r="Z63" s="268"/>
      <c r="AA63" s="268"/>
      <c r="AB63" s="268"/>
      <c r="AC63" s="318"/>
      <c r="AD63" s="318"/>
      <c r="AE63" s="318"/>
      <c r="AF63" s="318"/>
      <c r="AG63" s="318"/>
      <c r="AH63" s="318"/>
      <c r="AI63" s="318"/>
      <c r="AJ63" s="318"/>
      <c r="AK63" s="318"/>
      <c r="AL63" s="318"/>
      <c r="AM63" s="318"/>
      <c r="AN63" s="318"/>
      <c r="AO63" s="318"/>
      <c r="AP63" s="318"/>
    </row>
    <row r="64" spans="1:42" ht="15.75">
      <c r="A64" s="480" t="s">
        <v>268</v>
      </c>
      <c r="B64" s="481"/>
      <c r="C64" s="481"/>
      <c r="D64" s="481"/>
      <c r="E64" s="316">
        <v>2001</v>
      </c>
      <c r="F64" s="352">
        <v>2002</v>
      </c>
      <c r="G64" s="352">
        <v>2003</v>
      </c>
      <c r="H64" s="352">
        <v>2004</v>
      </c>
      <c r="I64" s="352">
        <v>2005</v>
      </c>
      <c r="J64" s="352">
        <v>2006</v>
      </c>
      <c r="K64" s="356">
        <v>2007</v>
      </c>
      <c r="L64" s="356">
        <v>2008</v>
      </c>
      <c r="M64" s="356">
        <v>2009</v>
      </c>
      <c r="N64" s="356">
        <v>2010</v>
      </c>
      <c r="O64" s="23"/>
      <c r="P64" s="270"/>
      <c r="Q64" s="268"/>
      <c r="R64" s="268"/>
      <c r="S64" s="268"/>
      <c r="T64" s="268"/>
      <c r="U64" s="268"/>
      <c r="V64" s="268"/>
      <c r="W64" s="268"/>
      <c r="X64" s="268"/>
      <c r="Y64" s="268"/>
      <c r="Z64" s="268"/>
      <c r="AA64" s="268"/>
      <c r="AB64" s="268"/>
      <c r="AC64" s="318"/>
      <c r="AD64" s="318"/>
      <c r="AE64" s="318"/>
      <c r="AF64" s="318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</row>
    <row r="65" spans="1:42" ht="15.75">
      <c r="A65" s="236"/>
      <c r="B65" s="311"/>
      <c r="C65" s="311"/>
      <c r="D65" s="460" t="s">
        <v>272</v>
      </c>
      <c r="E65" s="458">
        <v>1</v>
      </c>
      <c r="F65" s="459">
        <v>2</v>
      </c>
      <c r="G65" s="459">
        <v>3</v>
      </c>
      <c r="H65" s="459">
        <v>4</v>
      </c>
      <c r="I65" s="459">
        <v>5</v>
      </c>
      <c r="J65" s="459">
        <v>6</v>
      </c>
      <c r="K65" s="353">
        <v>7</v>
      </c>
      <c r="L65" s="353">
        <v>8</v>
      </c>
      <c r="M65" s="353">
        <v>9</v>
      </c>
      <c r="N65" s="353">
        <v>10</v>
      </c>
      <c r="O65" s="23"/>
      <c r="P65" s="270"/>
      <c r="Q65" s="268"/>
      <c r="R65" s="268"/>
      <c r="S65" s="268"/>
      <c r="T65" s="268"/>
      <c r="U65" s="268"/>
      <c r="V65" s="268"/>
      <c r="W65" s="268"/>
      <c r="X65" s="268"/>
      <c r="Y65" s="268"/>
      <c r="Z65" s="268"/>
      <c r="AA65" s="268"/>
      <c r="AB65" s="268"/>
      <c r="AC65" s="318"/>
      <c r="AD65" s="318"/>
      <c r="AE65" s="318"/>
      <c r="AF65" s="318"/>
      <c r="AG65" s="318"/>
      <c r="AH65" s="318"/>
      <c r="AI65" s="318"/>
      <c r="AJ65" s="318"/>
      <c r="AK65" s="318"/>
      <c r="AL65" s="318"/>
      <c r="AM65" s="318"/>
      <c r="AN65" s="318"/>
      <c r="AO65" s="318"/>
      <c r="AP65" s="318"/>
    </row>
    <row r="66" spans="1:42">
      <c r="A66" s="482" t="str">
        <f>A7</f>
        <v>Senior Tranche A (US$)</v>
      </c>
      <c r="B66" s="481"/>
      <c r="C66" s="481"/>
      <c r="D66" s="481"/>
      <c r="E66" s="481"/>
      <c r="F66" s="481"/>
      <c r="G66" s="481"/>
      <c r="H66" s="481"/>
      <c r="I66" s="481"/>
      <c r="J66" s="481"/>
      <c r="K66" s="483"/>
      <c r="L66" s="483"/>
      <c r="M66" s="484"/>
      <c r="N66" s="484"/>
      <c r="O66" s="423"/>
      <c r="P66" s="423"/>
      <c r="Q66" s="268"/>
      <c r="R66" s="268"/>
      <c r="S66" s="268"/>
      <c r="T66" s="268"/>
      <c r="U66" s="268"/>
      <c r="V66" s="268"/>
      <c r="W66" s="268"/>
      <c r="X66" s="268"/>
      <c r="Y66" s="268"/>
      <c r="Z66" s="268"/>
      <c r="AA66" s="268"/>
      <c r="AB66" s="268"/>
      <c r="AC66" s="318"/>
      <c r="AD66" s="318"/>
      <c r="AE66" s="318"/>
      <c r="AF66" s="318"/>
      <c r="AG66" s="318"/>
      <c r="AH66" s="318"/>
      <c r="AI66" s="318"/>
      <c r="AJ66" s="318"/>
      <c r="AK66" s="318"/>
      <c r="AL66" s="318"/>
      <c r="AM66" s="318"/>
      <c r="AN66" s="318"/>
      <c r="AO66" s="318"/>
      <c r="AP66" s="318"/>
    </row>
    <row r="67" spans="1:42">
      <c r="A67" s="444" t="s">
        <v>269</v>
      </c>
      <c r="B67" s="311"/>
      <c r="C67" s="311"/>
      <c r="D67" s="311"/>
      <c r="E67" s="456">
        <f>$F$7</f>
        <v>1452784.8509409984</v>
      </c>
      <c r="F67" s="456">
        <f>E69</f>
        <v>1307506.3658468986</v>
      </c>
      <c r="G67" s="456">
        <f t="shared" ref="G67:N67" si="8">F69</f>
        <v>1162227.8807527989</v>
      </c>
      <c r="H67" s="456">
        <f t="shared" si="8"/>
        <v>1016949.3956586991</v>
      </c>
      <c r="I67" s="456">
        <f t="shared" si="8"/>
        <v>871670.91056459933</v>
      </c>
      <c r="J67" s="456">
        <f t="shared" si="8"/>
        <v>726392.42547049955</v>
      </c>
      <c r="K67" s="456">
        <f t="shared" si="8"/>
        <v>581113.94037639978</v>
      </c>
      <c r="L67" s="456">
        <f t="shared" si="8"/>
        <v>435835.45528229995</v>
      </c>
      <c r="M67" s="456">
        <f t="shared" si="8"/>
        <v>290556.97018820012</v>
      </c>
      <c r="N67" s="456">
        <f t="shared" si="8"/>
        <v>145278.4850941003</v>
      </c>
      <c r="O67" s="423"/>
      <c r="P67" s="423"/>
      <c r="Q67" s="268"/>
      <c r="R67" s="268"/>
      <c r="S67" s="268"/>
      <c r="T67" s="268"/>
      <c r="U67" s="268"/>
      <c r="V67" s="268"/>
      <c r="W67" s="268"/>
      <c r="X67" s="268"/>
      <c r="Y67" s="268"/>
      <c r="Z67" s="268"/>
      <c r="AA67" s="268"/>
      <c r="AB67" s="268"/>
      <c r="AC67" s="318"/>
      <c r="AD67" s="318"/>
      <c r="AE67" s="318"/>
      <c r="AF67" s="318"/>
      <c r="AG67" s="318"/>
      <c r="AH67" s="318"/>
      <c r="AI67" s="318"/>
      <c r="AJ67" s="318"/>
      <c r="AK67" s="318"/>
      <c r="AL67" s="318"/>
      <c r="AM67" s="318"/>
      <c r="AN67" s="318"/>
      <c r="AO67" s="318"/>
      <c r="AP67" s="318"/>
    </row>
    <row r="68" spans="1:42">
      <c r="A68" s="444" t="s">
        <v>270</v>
      </c>
      <c r="B68" s="311"/>
      <c r="C68" s="311"/>
      <c r="D68" s="311"/>
      <c r="E68" s="457">
        <f>IF(E67&gt;=($F$7*$J$7)/$H$7,IF(E61&lt;$H$7,($F$7*$J$7)/$H$7,IF(E61&gt;=$H$7,E67,0)))</f>
        <v>145278.48509409983</v>
      </c>
      <c r="F68" s="457">
        <f t="shared" ref="F68:N68" si="9">IF(F67&gt;=($F$7*$J$7)/$H$7,IF(F61&lt;$H$7,($F$7*$J$7)/$H$7,IF(F61&gt;=$H$7,F67,0)))</f>
        <v>145278.48509409983</v>
      </c>
      <c r="G68" s="457">
        <f t="shared" si="9"/>
        <v>145278.48509409983</v>
      </c>
      <c r="H68" s="457">
        <f t="shared" si="9"/>
        <v>145278.48509409983</v>
      </c>
      <c r="I68" s="457">
        <f t="shared" si="9"/>
        <v>145278.48509409983</v>
      </c>
      <c r="J68" s="457">
        <f>IF(J67&gt;=($F$7*$J$7)/$H$7,IF(J61&lt;$H$7,($F$7*$J$7)/$H$7,IF(J61&gt;=$H$7,J67,0)))</f>
        <v>145278.48509409983</v>
      </c>
      <c r="K68" s="457">
        <f t="shared" si="9"/>
        <v>145278.48509409983</v>
      </c>
      <c r="L68" s="457">
        <f t="shared" si="9"/>
        <v>145278.48509409983</v>
      </c>
      <c r="M68" s="457">
        <f t="shared" si="9"/>
        <v>145278.48509409983</v>
      </c>
      <c r="N68" s="457">
        <f t="shared" si="9"/>
        <v>145278.48509409983</v>
      </c>
      <c r="O68" s="423"/>
      <c r="P68" s="423"/>
      <c r="Q68" s="268"/>
      <c r="R68" s="268"/>
      <c r="S68" s="268"/>
      <c r="T68" s="268"/>
      <c r="U68" s="268"/>
      <c r="V68" s="268"/>
      <c r="W68" s="268"/>
      <c r="X68" s="268"/>
      <c r="Y68" s="268"/>
      <c r="Z68" s="268"/>
      <c r="AA68" s="268"/>
      <c r="AB68" s="268"/>
      <c r="AC68" s="318"/>
      <c r="AD68" s="318"/>
      <c r="AE68" s="318"/>
      <c r="AF68" s="318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</row>
    <row r="69" spans="1:42">
      <c r="A69" s="444" t="s">
        <v>271</v>
      </c>
      <c r="B69" s="311"/>
      <c r="C69" s="311"/>
      <c r="D69" s="311"/>
      <c r="E69" s="456">
        <f>E67-E68</f>
        <v>1307506.3658468986</v>
      </c>
      <c r="F69" s="456">
        <f t="shared" ref="F69:N69" si="10">F67-F68</f>
        <v>1162227.8807527989</v>
      </c>
      <c r="G69" s="456">
        <f t="shared" si="10"/>
        <v>1016949.3956586991</v>
      </c>
      <c r="H69" s="456">
        <f t="shared" si="10"/>
        <v>871670.91056459933</v>
      </c>
      <c r="I69" s="456">
        <f t="shared" si="10"/>
        <v>726392.42547049955</v>
      </c>
      <c r="J69" s="456">
        <f t="shared" si="10"/>
        <v>581113.94037639978</v>
      </c>
      <c r="K69" s="456">
        <f t="shared" si="10"/>
        <v>435835.45528229995</v>
      </c>
      <c r="L69" s="456">
        <f t="shared" si="10"/>
        <v>290556.97018820012</v>
      </c>
      <c r="M69" s="456">
        <f t="shared" si="10"/>
        <v>145278.4850941003</v>
      </c>
      <c r="N69" s="456">
        <f t="shared" si="10"/>
        <v>4.6566128730773926E-10</v>
      </c>
      <c r="O69" s="423"/>
      <c r="P69" s="423"/>
      <c r="Q69" s="268"/>
      <c r="R69" s="268"/>
      <c r="S69" s="268"/>
      <c r="T69" s="268"/>
      <c r="U69" s="268"/>
      <c r="V69" s="268"/>
      <c r="W69" s="268"/>
      <c r="X69" s="268"/>
      <c r="Y69" s="268"/>
      <c r="Z69" s="268"/>
      <c r="AA69" s="268"/>
      <c r="AB69" s="268"/>
      <c r="AC69" s="318"/>
      <c r="AD69" s="318"/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</row>
    <row r="70" spans="1:42">
      <c r="A70" s="485" t="str">
        <f>A8</f>
        <v>Senior Tranche B (US$)</v>
      </c>
      <c r="B70" s="115"/>
      <c r="C70" s="115"/>
      <c r="D70" s="115"/>
      <c r="E70" s="115"/>
      <c r="F70" s="115"/>
      <c r="G70" s="115"/>
      <c r="H70" s="115"/>
      <c r="I70" s="115"/>
      <c r="J70" s="115"/>
      <c r="K70" s="484"/>
      <c r="L70" s="484"/>
      <c r="M70" s="484"/>
      <c r="N70" s="484"/>
      <c r="O70" s="423"/>
      <c r="P70" s="423"/>
      <c r="Q70" s="268"/>
      <c r="R70" s="268"/>
      <c r="S70" s="268"/>
      <c r="T70" s="268"/>
      <c r="U70" s="268"/>
      <c r="V70" s="268"/>
      <c r="W70" s="268"/>
      <c r="X70" s="268"/>
      <c r="Y70" s="268"/>
      <c r="Z70" s="268"/>
      <c r="AA70" s="268"/>
      <c r="AB70" s="26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</row>
    <row r="71" spans="1:42">
      <c r="A71" s="444" t="s">
        <v>269</v>
      </c>
      <c r="B71" s="311"/>
      <c r="C71" s="311"/>
      <c r="D71" s="311"/>
      <c r="E71" s="456">
        <f>$F$8</f>
        <v>0</v>
      </c>
      <c r="F71" s="456">
        <f>E73</f>
        <v>0</v>
      </c>
      <c r="G71" s="456">
        <f t="shared" ref="G71:N71" si="11">F73</f>
        <v>0</v>
      </c>
      <c r="H71" s="456">
        <f t="shared" si="11"/>
        <v>0</v>
      </c>
      <c r="I71" s="456">
        <f t="shared" si="11"/>
        <v>0</v>
      </c>
      <c r="J71" s="456">
        <f t="shared" si="11"/>
        <v>0</v>
      </c>
      <c r="K71" s="456">
        <f t="shared" si="11"/>
        <v>0</v>
      </c>
      <c r="L71" s="456">
        <f t="shared" si="11"/>
        <v>0</v>
      </c>
      <c r="M71" s="456">
        <f t="shared" si="11"/>
        <v>0</v>
      </c>
      <c r="N71" s="456">
        <f t="shared" si="11"/>
        <v>0</v>
      </c>
      <c r="O71" s="423"/>
      <c r="P71" s="423"/>
      <c r="Q71" s="268"/>
      <c r="R71" s="268"/>
      <c r="S71" s="268"/>
      <c r="T71" s="268"/>
      <c r="U71" s="268"/>
      <c r="V71" s="268"/>
      <c r="W71" s="268"/>
      <c r="X71" s="268"/>
      <c r="Y71" s="268"/>
      <c r="Z71" s="268"/>
      <c r="AA71" s="268"/>
      <c r="AB71" s="268"/>
      <c r="AC71" s="318"/>
      <c r="AD71" s="318"/>
      <c r="AE71" s="318"/>
      <c r="AF71" s="318"/>
      <c r="AG71" s="318"/>
      <c r="AH71" s="318"/>
      <c r="AI71" s="318"/>
      <c r="AJ71" s="318"/>
      <c r="AK71" s="318"/>
      <c r="AL71" s="318"/>
      <c r="AM71" s="318"/>
      <c r="AN71" s="318"/>
      <c r="AO71" s="318"/>
      <c r="AP71" s="318"/>
    </row>
    <row r="72" spans="1:42">
      <c r="A72" s="444" t="s">
        <v>270</v>
      </c>
      <c r="B72" s="311"/>
      <c r="C72" s="311"/>
      <c r="D72" s="311"/>
      <c r="E72" s="457">
        <f>IF(E71&gt;=($F$8*$J$8)/$H$8,IF(E$65&lt;$H$8,($F$8*$J$8)/$H$8,IF(E$65&gt;=$H$8,E71,0)))</f>
        <v>0</v>
      </c>
      <c r="F72" s="457">
        <f>IF(F71&gt;=($F$8*$J$8)/$H$8,IF(F65&lt;$H$8,($F$8*$J$8)/$H$8,IF(F65&gt;=$H$8,F71,0)))</f>
        <v>0</v>
      </c>
      <c r="G72" s="457">
        <f t="shared" ref="G72:N72" si="12">IF(G71&gt;=($F$8*$J$8)/$H$8,IF(G65&lt;$H$8,($F$8*$J$8)/$H$8,IF(G65&gt;=$H$8,G71,0)))</f>
        <v>0</v>
      </c>
      <c r="H72" s="457">
        <f t="shared" si="12"/>
        <v>0</v>
      </c>
      <c r="I72" s="457">
        <f t="shared" si="12"/>
        <v>0</v>
      </c>
      <c r="J72" s="457">
        <f t="shared" si="12"/>
        <v>0</v>
      </c>
      <c r="K72" s="457">
        <f t="shared" si="12"/>
        <v>0</v>
      </c>
      <c r="L72" s="457">
        <f t="shared" si="12"/>
        <v>0</v>
      </c>
      <c r="M72" s="457">
        <f>IF(M71&gt;=(($F$8*$J$8)/$H$8),IF(M65&lt;$H$8,(($F$8*$J$8)/$H$8),IF(M65&gt;=$H$8,M71,0)))</f>
        <v>0</v>
      </c>
      <c r="N72" s="457">
        <f t="shared" si="12"/>
        <v>0</v>
      </c>
      <c r="O72" s="423"/>
      <c r="P72" s="423"/>
      <c r="Q72" s="268"/>
      <c r="R72" s="268"/>
      <c r="S72" s="268"/>
      <c r="T72" s="268"/>
      <c r="U72" s="268"/>
      <c r="V72" s="268"/>
      <c r="W72" s="268"/>
      <c r="X72" s="268"/>
      <c r="Y72" s="268"/>
      <c r="Z72" s="268"/>
      <c r="AA72" s="268"/>
      <c r="AB72" s="268"/>
      <c r="AC72" s="318"/>
      <c r="AD72" s="318"/>
      <c r="AE72" s="318"/>
      <c r="AF72" s="318"/>
      <c r="AG72" s="318"/>
      <c r="AH72" s="318"/>
      <c r="AI72" s="318"/>
      <c r="AJ72" s="318"/>
      <c r="AK72" s="318"/>
      <c r="AL72" s="318"/>
      <c r="AM72" s="318"/>
      <c r="AN72" s="318"/>
      <c r="AO72" s="318"/>
      <c r="AP72" s="318"/>
    </row>
    <row r="73" spans="1:42">
      <c r="A73" s="444" t="s">
        <v>271</v>
      </c>
      <c r="B73" s="311"/>
      <c r="C73" s="311"/>
      <c r="D73" s="311"/>
      <c r="E73" s="456">
        <f t="shared" ref="E73:N73" si="13">E71-E72</f>
        <v>0</v>
      </c>
      <c r="F73" s="456">
        <f t="shared" si="13"/>
        <v>0</v>
      </c>
      <c r="G73" s="456">
        <f t="shared" si="13"/>
        <v>0</v>
      </c>
      <c r="H73" s="456">
        <f t="shared" si="13"/>
        <v>0</v>
      </c>
      <c r="I73" s="456">
        <f t="shared" si="13"/>
        <v>0</v>
      </c>
      <c r="J73" s="456">
        <f t="shared" si="13"/>
        <v>0</v>
      </c>
      <c r="K73" s="456">
        <f t="shared" si="13"/>
        <v>0</v>
      </c>
      <c r="L73" s="456">
        <f t="shared" si="13"/>
        <v>0</v>
      </c>
      <c r="M73" s="456">
        <f t="shared" si="13"/>
        <v>0</v>
      </c>
      <c r="N73" s="456">
        <f t="shared" si="13"/>
        <v>0</v>
      </c>
      <c r="O73" s="423"/>
      <c r="P73" s="423"/>
      <c r="Q73" s="268"/>
      <c r="R73" s="268"/>
      <c r="S73" s="268"/>
      <c r="T73" s="268"/>
      <c r="U73" s="268"/>
      <c r="V73" s="268"/>
      <c r="W73" s="268"/>
      <c r="X73" s="268"/>
      <c r="Y73" s="268"/>
      <c r="Z73" s="268"/>
      <c r="AA73" s="268"/>
      <c r="AB73" s="26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</row>
    <row r="74" spans="1:42">
      <c r="A74" s="485" t="str">
        <f>A9</f>
        <v>Junior Debt (US$)</v>
      </c>
      <c r="B74" s="115"/>
      <c r="C74" s="115"/>
      <c r="D74" s="115"/>
      <c r="E74" s="115"/>
      <c r="F74" s="115"/>
      <c r="G74" s="115"/>
      <c r="H74" s="115"/>
      <c r="I74" s="115"/>
      <c r="J74" s="115"/>
      <c r="K74" s="486"/>
      <c r="L74" s="486"/>
      <c r="M74" s="486"/>
      <c r="N74" s="486"/>
      <c r="O74" s="270"/>
      <c r="P74" s="270"/>
      <c r="Q74" s="268"/>
      <c r="R74" s="268"/>
      <c r="S74" s="268"/>
      <c r="T74" s="268"/>
      <c r="U74" s="268"/>
      <c r="V74" s="268"/>
      <c r="W74" s="268"/>
      <c r="X74" s="268"/>
      <c r="Y74" s="268"/>
      <c r="Z74" s="268"/>
      <c r="AA74" s="268"/>
      <c r="AB74" s="268"/>
      <c r="AC74" s="318"/>
      <c r="AD74" s="318"/>
      <c r="AE74" s="318"/>
      <c r="AF74" s="318"/>
      <c r="AG74" s="318"/>
      <c r="AH74" s="318"/>
      <c r="AI74" s="318"/>
      <c r="AJ74" s="318"/>
      <c r="AK74" s="318"/>
      <c r="AL74" s="318"/>
      <c r="AM74" s="318"/>
      <c r="AN74" s="318"/>
      <c r="AO74" s="318"/>
      <c r="AP74" s="318"/>
    </row>
    <row r="75" spans="1:42">
      <c r="A75" s="444" t="s">
        <v>269</v>
      </c>
      <c r="B75" s="311"/>
      <c r="C75" s="311"/>
      <c r="D75" s="311"/>
      <c r="E75" s="456">
        <f>$F$8</f>
        <v>0</v>
      </c>
      <c r="F75" s="456">
        <f>E77</f>
        <v>0</v>
      </c>
      <c r="G75" s="456">
        <f t="shared" ref="G75:N75" si="14">F77</f>
        <v>0</v>
      </c>
      <c r="H75" s="456">
        <f t="shared" si="14"/>
        <v>0</v>
      </c>
      <c r="I75" s="456">
        <f t="shared" si="14"/>
        <v>0</v>
      </c>
      <c r="J75" s="456">
        <f t="shared" si="14"/>
        <v>0</v>
      </c>
      <c r="K75" s="456">
        <f t="shared" si="14"/>
        <v>0</v>
      </c>
      <c r="L75" s="456">
        <f t="shared" si="14"/>
        <v>0</v>
      </c>
      <c r="M75" s="456">
        <f t="shared" si="14"/>
        <v>0</v>
      </c>
      <c r="N75" s="456">
        <f t="shared" si="14"/>
        <v>0</v>
      </c>
      <c r="O75" s="23"/>
      <c r="P75" s="23"/>
      <c r="Q75" s="268"/>
      <c r="R75" s="268"/>
      <c r="S75" s="268"/>
      <c r="T75" s="268"/>
      <c r="U75" s="268"/>
      <c r="V75" s="268"/>
      <c r="W75" s="268"/>
      <c r="X75" s="268"/>
      <c r="Y75" s="268"/>
      <c r="Z75" s="268"/>
      <c r="AA75" s="268"/>
      <c r="AB75" s="26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</row>
    <row r="76" spans="1:42">
      <c r="A76" s="444" t="s">
        <v>270</v>
      </c>
      <c r="B76" s="311"/>
      <c r="C76" s="311"/>
      <c r="D76" s="311"/>
      <c r="E76" s="457">
        <f t="shared" ref="E76:N76" si="15">IF(E75&gt;=($F$9*$J$9)/$H$9,IF(E$65&lt;$H$9,($F$9*$J$9)/$H$9,IF(E$65&gt;=$H$9,E75,0)))</f>
        <v>0</v>
      </c>
      <c r="F76" s="457">
        <f t="shared" si="15"/>
        <v>0</v>
      </c>
      <c r="G76" s="457">
        <f t="shared" si="15"/>
        <v>0</v>
      </c>
      <c r="H76" s="457">
        <f t="shared" si="15"/>
        <v>0</v>
      </c>
      <c r="I76" s="457">
        <f t="shared" si="15"/>
        <v>0</v>
      </c>
      <c r="J76" s="457">
        <f t="shared" si="15"/>
        <v>0</v>
      </c>
      <c r="K76" s="457">
        <f t="shared" si="15"/>
        <v>0</v>
      </c>
      <c r="L76" s="457">
        <f t="shared" si="15"/>
        <v>0</v>
      </c>
      <c r="M76" s="457">
        <f t="shared" si="15"/>
        <v>0</v>
      </c>
      <c r="N76" s="457">
        <f t="shared" si="15"/>
        <v>0</v>
      </c>
      <c r="O76" s="23"/>
      <c r="P76" s="23"/>
      <c r="Q76" s="268"/>
      <c r="R76" s="268"/>
      <c r="S76" s="268"/>
      <c r="T76" s="268"/>
      <c r="U76" s="268"/>
      <c r="V76" s="268"/>
      <c r="W76" s="268"/>
      <c r="X76" s="268"/>
      <c r="Y76" s="268"/>
      <c r="Z76" s="268"/>
      <c r="AA76" s="268"/>
      <c r="AB76" s="26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</row>
    <row r="77" spans="1:42">
      <c r="A77" s="487" t="s">
        <v>271</v>
      </c>
      <c r="B77" s="447"/>
      <c r="C77" s="447"/>
      <c r="D77" s="447"/>
      <c r="E77" s="488">
        <f t="shared" ref="E77:N77" si="16">E75-E76</f>
        <v>0</v>
      </c>
      <c r="F77" s="488">
        <f t="shared" si="16"/>
        <v>0</v>
      </c>
      <c r="G77" s="488">
        <f t="shared" si="16"/>
        <v>0</v>
      </c>
      <c r="H77" s="488">
        <f t="shared" si="16"/>
        <v>0</v>
      </c>
      <c r="I77" s="488">
        <f t="shared" si="16"/>
        <v>0</v>
      </c>
      <c r="J77" s="488">
        <f t="shared" si="16"/>
        <v>0</v>
      </c>
      <c r="K77" s="488">
        <f t="shared" si="16"/>
        <v>0</v>
      </c>
      <c r="L77" s="488">
        <f t="shared" si="16"/>
        <v>0</v>
      </c>
      <c r="M77" s="488">
        <f t="shared" si="16"/>
        <v>0</v>
      </c>
      <c r="N77" s="488">
        <f t="shared" si="16"/>
        <v>0</v>
      </c>
      <c r="O77" s="23"/>
      <c r="P77" s="23"/>
      <c r="Q77" s="268"/>
      <c r="R77" s="268"/>
      <c r="S77" s="268"/>
      <c r="T77" s="268"/>
      <c r="U77" s="268"/>
      <c r="V77" s="268"/>
      <c r="W77" s="268"/>
      <c r="X77" s="268"/>
      <c r="Y77" s="268"/>
      <c r="Z77" s="268"/>
      <c r="AA77" s="268"/>
      <c r="AB77" s="26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</row>
    <row r="78" spans="1:4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68"/>
      <c r="R78" s="268"/>
      <c r="S78" s="268"/>
      <c r="T78" s="268"/>
      <c r="U78" s="268"/>
      <c r="V78" s="268"/>
      <c r="W78" s="268"/>
      <c r="X78" s="268"/>
      <c r="Y78" s="268"/>
      <c r="Z78" s="268"/>
      <c r="AA78" s="268"/>
      <c r="AB78" s="26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</row>
    <row r="79" spans="1:42" ht="15.75">
      <c r="A79" s="188" t="s">
        <v>274</v>
      </c>
      <c r="B79" s="200"/>
      <c r="C79" s="200"/>
      <c r="D79" s="311"/>
      <c r="E79" s="372" t="s">
        <v>263</v>
      </c>
      <c r="F79" s="391"/>
      <c r="G79" s="386"/>
      <c r="H79" s="386"/>
      <c r="I79" s="304"/>
      <c r="J79" s="386"/>
      <c r="K79" s="304"/>
      <c r="L79" s="304"/>
      <c r="M79" s="304"/>
      <c r="N79" s="304"/>
      <c r="O79" s="200"/>
      <c r="P79" s="200"/>
      <c r="Q79" s="318"/>
      <c r="R79" s="318"/>
      <c r="S79" s="318"/>
      <c r="T79" s="318"/>
      <c r="U79" s="318"/>
      <c r="V79" s="318"/>
      <c r="W79" s="318"/>
      <c r="X79" s="318"/>
      <c r="Y79" s="318"/>
      <c r="Z79" s="318"/>
      <c r="AA79" s="318"/>
      <c r="AB79" s="318"/>
      <c r="AC79" s="318"/>
      <c r="AD79" s="318"/>
      <c r="AE79" s="318"/>
      <c r="AF79" s="318"/>
      <c r="AG79" s="318"/>
      <c r="AH79" s="318"/>
      <c r="AI79" s="318"/>
      <c r="AJ79" s="318"/>
      <c r="AK79" s="318"/>
      <c r="AL79" s="318"/>
      <c r="AM79" s="318"/>
      <c r="AN79" s="318"/>
      <c r="AO79" s="318"/>
      <c r="AP79" s="318"/>
    </row>
    <row r="80" spans="1:42" ht="15.75">
      <c r="A80" s="489" t="s">
        <v>275</v>
      </c>
      <c r="B80" s="490"/>
      <c r="C80" s="490"/>
      <c r="D80" s="481"/>
      <c r="E80" s="316">
        <v>2001</v>
      </c>
      <c r="F80" s="352">
        <v>2002</v>
      </c>
      <c r="G80" s="352">
        <v>2003</v>
      </c>
      <c r="H80" s="352">
        <v>2004</v>
      </c>
      <c r="I80" s="352">
        <v>2005</v>
      </c>
      <c r="J80" s="352">
        <v>2006</v>
      </c>
      <c r="K80" s="356">
        <v>2007</v>
      </c>
      <c r="L80" s="356">
        <v>2008</v>
      </c>
      <c r="M80" s="356">
        <v>2009</v>
      </c>
      <c r="N80" s="356">
        <v>2010</v>
      </c>
      <c r="O80" s="200"/>
      <c r="P80" s="200"/>
      <c r="Q80" s="318"/>
      <c r="R80" s="318"/>
      <c r="S80" s="318"/>
      <c r="T80" s="318"/>
      <c r="U80" s="318"/>
      <c r="V80" s="318"/>
      <c r="W80" s="318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</row>
    <row r="81" spans="1:42">
      <c r="A81" s="200"/>
      <c r="B81" s="200"/>
      <c r="C81" s="200"/>
      <c r="D81" s="460" t="s">
        <v>272</v>
      </c>
      <c r="E81" s="458">
        <v>1</v>
      </c>
      <c r="F81" s="459">
        <v>2</v>
      </c>
      <c r="G81" s="459">
        <v>3</v>
      </c>
      <c r="H81" s="459">
        <v>4</v>
      </c>
      <c r="I81" s="459">
        <v>5</v>
      </c>
      <c r="J81" s="459">
        <v>6</v>
      </c>
      <c r="K81" s="353">
        <v>7</v>
      </c>
      <c r="L81" s="353">
        <v>8</v>
      </c>
      <c r="M81" s="353">
        <v>9</v>
      </c>
      <c r="N81" s="353">
        <v>10</v>
      </c>
      <c r="O81" s="200"/>
      <c r="P81" s="200"/>
      <c r="Q81" s="318"/>
      <c r="R81" s="318"/>
      <c r="S81" s="318"/>
      <c r="T81" s="318"/>
      <c r="U81" s="318"/>
      <c r="V81" s="318"/>
      <c r="W81" s="318"/>
      <c r="X81" s="318"/>
      <c r="Y81" s="318"/>
      <c r="Z81" s="318"/>
      <c r="AA81" s="318"/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318"/>
      <c r="AN81" s="318"/>
      <c r="AO81" s="318"/>
      <c r="AP81" s="318"/>
    </row>
    <row r="82" spans="1:42">
      <c r="A82" s="485" t="str">
        <f>A7</f>
        <v>Senior Tranche A (US$)</v>
      </c>
      <c r="B82" s="490"/>
      <c r="C82" s="490"/>
      <c r="D82" s="490"/>
      <c r="E82" s="490"/>
      <c r="F82" s="490"/>
      <c r="G82" s="490"/>
      <c r="H82" s="490"/>
      <c r="I82" s="490"/>
      <c r="J82" s="490"/>
      <c r="K82" s="490"/>
      <c r="L82" s="490"/>
      <c r="M82" s="490"/>
      <c r="N82" s="490"/>
      <c r="O82" s="200"/>
      <c r="P82" s="200"/>
      <c r="Q82" s="318"/>
      <c r="R82" s="318"/>
      <c r="S82" s="318"/>
      <c r="T82" s="318"/>
      <c r="U82" s="318"/>
      <c r="V82" s="318"/>
      <c r="W82" s="318"/>
      <c r="X82" s="318"/>
      <c r="Y82" s="318"/>
      <c r="Z82" s="318"/>
      <c r="AA82" s="318"/>
      <c r="AB82" s="318"/>
      <c r="AC82" s="318"/>
      <c r="AD82" s="318"/>
      <c r="AE82" s="318"/>
      <c r="AF82" s="318"/>
      <c r="AG82" s="318"/>
      <c r="AH82" s="318"/>
      <c r="AI82" s="318"/>
      <c r="AJ82" s="318"/>
      <c r="AK82" s="318"/>
      <c r="AL82" s="318"/>
      <c r="AM82" s="318"/>
      <c r="AN82" s="318"/>
      <c r="AO82" s="318"/>
      <c r="AP82" s="318"/>
    </row>
    <row r="83" spans="1:42">
      <c r="A83" s="444" t="s">
        <v>269</v>
      </c>
      <c r="B83" s="200"/>
      <c r="C83" s="200"/>
      <c r="D83" s="200"/>
      <c r="E83" s="456">
        <f>F7*J7</f>
        <v>1452784.8509409984</v>
      </c>
      <c r="F83" s="456">
        <f>E86</f>
        <v>1350093.406401613</v>
      </c>
      <c r="G83" s="456">
        <f t="shared" ref="G83:N83" si="17">F86</f>
        <v>1239700.1035217736</v>
      </c>
      <c r="H83" s="456">
        <f t="shared" si="17"/>
        <v>1332677.6112859065</v>
      </c>
      <c r="I83" s="456">
        <f t="shared" si="17"/>
        <v>1432628.4321323496</v>
      </c>
      <c r="J83" s="456">
        <f t="shared" si="17"/>
        <v>1540075.5645422759</v>
      </c>
      <c r="K83" s="456">
        <f t="shared" si="17"/>
        <v>1655581.2318829466</v>
      </c>
      <c r="L83" s="456">
        <f t="shared" si="17"/>
        <v>1779749.8242741677</v>
      </c>
      <c r="M83" s="456">
        <f t="shared" si="17"/>
        <v>1913231.0610947302</v>
      </c>
      <c r="N83" s="456">
        <f t="shared" si="17"/>
        <v>2056723.3906768349</v>
      </c>
      <c r="O83" s="200"/>
      <c r="P83" s="200"/>
      <c r="Q83" s="318"/>
      <c r="R83" s="318"/>
      <c r="S83" s="318"/>
      <c r="T83" s="318"/>
      <c r="U83" s="318"/>
      <c r="V83" s="318"/>
      <c r="W83" s="318"/>
      <c r="X83" s="318"/>
      <c r="Y83" s="318"/>
      <c r="Z83" s="318"/>
      <c r="AA83" s="318"/>
      <c r="AB83" s="318"/>
      <c r="AC83" s="318"/>
      <c r="AD83" s="318"/>
      <c r="AE83" s="318"/>
      <c r="AF83" s="318"/>
      <c r="AG83" s="318"/>
      <c r="AH83" s="318"/>
      <c r="AI83" s="318"/>
      <c r="AJ83" s="318"/>
      <c r="AK83" s="318"/>
      <c r="AL83" s="318"/>
      <c r="AM83" s="318"/>
      <c r="AN83" s="318"/>
      <c r="AO83" s="318"/>
      <c r="AP83" s="318"/>
    </row>
    <row r="84" spans="1:42">
      <c r="A84" s="444" t="s">
        <v>276</v>
      </c>
      <c r="B84" s="200"/>
      <c r="C84" s="200"/>
      <c r="D84" s="200"/>
      <c r="E84" s="457">
        <f>-PMT($G$7,$H$7,$F$7*J7)</f>
        <v>211650.30835996021</v>
      </c>
      <c r="F84" s="457">
        <f>IF(E86&lt;=0.25,0,IF(AND($H$7=F81,-PMT($G$7,$H$7,$F$7*J7)&lt;F83),-PMT($G$7,$H$7,$F$7*J7)+F83,-PMT($G$7,$H$7,$F$7*J7)))</f>
        <v>211650.30835996021</v>
      </c>
      <c r="G84" s="457">
        <f t="shared" ref="G84:N84" si="18">IF(F86&lt;=0.25,0,IF(AND($H$7=G81,-PMT($G$7,$H$7,$F$7*K7)&lt;G83),-PMT($G$7,$H$7,$F$7*K7)+G83,-PMT($G$7,$H$7,$F$7*K7)))</f>
        <v>0</v>
      </c>
      <c r="H84" s="457">
        <f t="shared" si="18"/>
        <v>0</v>
      </c>
      <c r="I84" s="457">
        <f t="shared" si="18"/>
        <v>0</v>
      </c>
      <c r="J84" s="457">
        <f t="shared" si="18"/>
        <v>0</v>
      </c>
      <c r="K84" s="457">
        <f t="shared" si="18"/>
        <v>0</v>
      </c>
      <c r="L84" s="457">
        <f t="shared" si="18"/>
        <v>0</v>
      </c>
      <c r="M84" s="457">
        <f t="shared" si="18"/>
        <v>0</v>
      </c>
      <c r="N84" s="457">
        <f t="shared" si="18"/>
        <v>2056723.3906768349</v>
      </c>
      <c r="O84" s="200"/>
      <c r="P84" s="200"/>
      <c r="Q84" s="318"/>
      <c r="R84" s="318"/>
      <c r="S84" s="318"/>
      <c r="T84" s="318"/>
      <c r="U84" s="318"/>
      <c r="V84" s="318"/>
      <c r="W84" s="318"/>
      <c r="X84" s="318"/>
      <c r="Y84" s="318"/>
      <c r="Z84" s="318"/>
      <c r="AA84" s="318"/>
      <c r="AB84" s="318"/>
      <c r="AC84" s="318"/>
      <c r="AD84" s="318"/>
      <c r="AE84" s="318"/>
      <c r="AF84" s="318"/>
      <c r="AG84" s="318"/>
      <c r="AH84" s="318"/>
      <c r="AI84" s="318"/>
      <c r="AJ84" s="318"/>
      <c r="AK84" s="318"/>
      <c r="AL84" s="318"/>
      <c r="AM84" s="318"/>
      <c r="AN84" s="318"/>
      <c r="AO84" s="318"/>
      <c r="AP84" s="318"/>
    </row>
    <row r="85" spans="1:42">
      <c r="A85" s="444" t="s">
        <v>277</v>
      </c>
      <c r="B85" s="200"/>
      <c r="C85" s="200"/>
      <c r="D85" s="200"/>
      <c r="E85" s="456">
        <f>E83*$G$7</f>
        <v>108958.86382057487</v>
      </c>
      <c r="F85" s="456">
        <f t="shared" ref="F85:N85" si="19">F83*$G$7</f>
        <v>101257.00548012098</v>
      </c>
      <c r="G85" s="456">
        <f t="shared" si="19"/>
        <v>92977.507764133014</v>
      </c>
      <c r="H85" s="456">
        <f t="shared" si="19"/>
        <v>99950.820846442992</v>
      </c>
      <c r="I85" s="456">
        <f t="shared" si="19"/>
        <v>107447.13240992621</v>
      </c>
      <c r="J85" s="456">
        <f t="shared" si="19"/>
        <v>115505.66734067068</v>
      </c>
      <c r="K85" s="456">
        <f t="shared" si="19"/>
        <v>124168.59239122098</v>
      </c>
      <c r="L85" s="456">
        <f t="shared" si="19"/>
        <v>133481.23682056257</v>
      </c>
      <c r="M85" s="456">
        <f t="shared" si="19"/>
        <v>143492.32958210475</v>
      </c>
      <c r="N85" s="456">
        <f t="shared" si="19"/>
        <v>154254.25430076261</v>
      </c>
      <c r="O85" s="200"/>
      <c r="P85" s="200"/>
      <c r="Q85" s="318"/>
      <c r="R85" s="318"/>
      <c r="S85" s="318"/>
      <c r="T85" s="318"/>
      <c r="U85" s="318"/>
      <c r="V85" s="318"/>
      <c r="W85" s="318"/>
      <c r="X85" s="318"/>
      <c r="Y85" s="318"/>
      <c r="Z85" s="318"/>
      <c r="AA85" s="318"/>
      <c r="AB85" s="318"/>
      <c r="AC85" s="318"/>
      <c r="AD85" s="318"/>
      <c r="AE85" s="318"/>
      <c r="AF85" s="318"/>
      <c r="AG85" s="318"/>
      <c r="AH85" s="318"/>
      <c r="AI85" s="318"/>
      <c r="AJ85" s="318"/>
      <c r="AK85" s="318"/>
      <c r="AL85" s="318"/>
      <c r="AM85" s="318"/>
      <c r="AN85" s="318"/>
      <c r="AO85" s="318"/>
      <c r="AP85" s="318"/>
    </row>
    <row r="86" spans="1:42">
      <c r="A86" s="444" t="s">
        <v>278</v>
      </c>
      <c r="B86" s="200"/>
      <c r="C86" s="200"/>
      <c r="D86" s="200"/>
      <c r="E86" s="462">
        <f>E83-E84+E85</f>
        <v>1350093.406401613</v>
      </c>
      <c r="F86" s="462">
        <f t="shared" ref="F86:N86" si="20">F83-F84+F85</f>
        <v>1239700.1035217736</v>
      </c>
      <c r="G86" s="462">
        <f t="shared" si="20"/>
        <v>1332677.6112859065</v>
      </c>
      <c r="H86" s="462">
        <f t="shared" si="20"/>
        <v>1432628.4321323496</v>
      </c>
      <c r="I86" s="462">
        <f t="shared" si="20"/>
        <v>1540075.5645422759</v>
      </c>
      <c r="J86" s="462">
        <f t="shared" si="20"/>
        <v>1655581.2318829466</v>
      </c>
      <c r="K86" s="462">
        <f t="shared" si="20"/>
        <v>1779749.8242741677</v>
      </c>
      <c r="L86" s="462">
        <f t="shared" si="20"/>
        <v>1913231.0610947302</v>
      </c>
      <c r="M86" s="462">
        <f t="shared" si="20"/>
        <v>2056723.3906768349</v>
      </c>
      <c r="N86" s="462">
        <f t="shared" si="20"/>
        <v>154254.25430076261</v>
      </c>
      <c r="O86" s="200"/>
      <c r="P86" s="200"/>
      <c r="Q86" s="318"/>
      <c r="R86" s="318"/>
      <c r="S86" s="318"/>
      <c r="T86" s="318"/>
      <c r="U86" s="318"/>
      <c r="V86" s="318"/>
      <c r="W86" s="318"/>
      <c r="X86" s="318"/>
      <c r="Y86" s="318"/>
      <c r="Z86" s="318"/>
      <c r="AA86" s="318"/>
      <c r="AB86" s="318"/>
      <c r="AC86" s="318"/>
      <c r="AD86" s="318"/>
      <c r="AE86" s="318"/>
      <c r="AF86" s="318"/>
      <c r="AG86" s="318"/>
      <c r="AH86" s="318"/>
      <c r="AI86" s="318"/>
      <c r="AJ86" s="318"/>
      <c r="AK86" s="318"/>
      <c r="AL86" s="318"/>
      <c r="AM86" s="318"/>
      <c r="AN86" s="318"/>
      <c r="AO86" s="318"/>
      <c r="AP86" s="318"/>
    </row>
    <row r="87" spans="1:42">
      <c r="A87" s="485" t="str">
        <f>A8</f>
        <v>Senior Tranche B (US$)</v>
      </c>
      <c r="B87" s="490"/>
      <c r="C87" s="490"/>
      <c r="D87" s="490"/>
      <c r="E87" s="490"/>
      <c r="F87" s="490"/>
      <c r="G87" s="490"/>
      <c r="H87" s="490"/>
      <c r="I87" s="490"/>
      <c r="J87" s="490"/>
      <c r="K87" s="490"/>
      <c r="L87" s="490"/>
      <c r="M87" s="490"/>
      <c r="N87" s="490"/>
      <c r="O87" s="200"/>
      <c r="P87" s="200"/>
      <c r="Q87" s="318"/>
      <c r="R87" s="318"/>
      <c r="S87" s="318"/>
      <c r="T87" s="318"/>
      <c r="U87" s="318"/>
      <c r="V87" s="318"/>
      <c r="W87" s="318"/>
      <c r="X87" s="318"/>
      <c r="Y87" s="318"/>
      <c r="Z87" s="318"/>
      <c r="AA87" s="318"/>
      <c r="AB87" s="318"/>
      <c r="AC87" s="318"/>
      <c r="AD87" s="318"/>
      <c r="AE87" s="318"/>
      <c r="AF87" s="318"/>
      <c r="AG87" s="318"/>
      <c r="AH87" s="318"/>
      <c r="AI87" s="318"/>
      <c r="AJ87" s="318"/>
      <c r="AK87" s="318"/>
      <c r="AL87" s="318"/>
      <c r="AM87" s="318"/>
      <c r="AN87" s="318"/>
      <c r="AO87" s="318"/>
      <c r="AP87" s="318"/>
    </row>
    <row r="88" spans="1:42">
      <c r="A88" s="444" t="s">
        <v>269</v>
      </c>
      <c r="B88" s="200"/>
      <c r="C88" s="200"/>
      <c r="D88" s="200"/>
      <c r="E88" s="456">
        <f>F8*J7</f>
        <v>0</v>
      </c>
      <c r="F88" s="456">
        <f>E91</f>
        <v>0</v>
      </c>
      <c r="G88" s="456">
        <f t="shared" ref="G88:N88" si="21">F91</f>
        <v>0</v>
      </c>
      <c r="H88" s="456">
        <f t="shared" si="21"/>
        <v>0</v>
      </c>
      <c r="I88" s="456">
        <f t="shared" si="21"/>
        <v>0</v>
      </c>
      <c r="J88" s="456">
        <f t="shared" si="21"/>
        <v>0</v>
      </c>
      <c r="K88" s="456">
        <f t="shared" si="21"/>
        <v>0</v>
      </c>
      <c r="L88" s="457">
        <f t="shared" si="21"/>
        <v>0</v>
      </c>
      <c r="M88" s="457">
        <f t="shared" si="21"/>
        <v>0</v>
      </c>
      <c r="N88" s="457">
        <f t="shared" si="21"/>
        <v>0</v>
      </c>
      <c r="O88" s="200"/>
      <c r="P88" s="200"/>
      <c r="Q88" s="318"/>
      <c r="R88" s="318"/>
      <c r="S88" s="318"/>
      <c r="T88" s="318"/>
      <c r="U88" s="318"/>
      <c r="V88" s="318"/>
      <c r="W88" s="318"/>
      <c r="X88" s="318"/>
      <c r="Y88" s="318"/>
      <c r="Z88" s="318"/>
      <c r="AA88" s="318"/>
      <c r="AB88" s="318"/>
      <c r="AC88" s="318"/>
      <c r="AD88" s="318"/>
      <c r="AE88" s="318"/>
      <c r="AF88" s="318"/>
      <c r="AG88" s="318"/>
      <c r="AH88" s="318"/>
      <c r="AI88" s="318"/>
      <c r="AJ88" s="318"/>
      <c r="AK88" s="318"/>
      <c r="AL88" s="318"/>
      <c r="AM88" s="318"/>
      <c r="AN88" s="318"/>
      <c r="AO88" s="318"/>
      <c r="AP88" s="318"/>
    </row>
    <row r="89" spans="1:42">
      <c r="A89" s="444" t="s">
        <v>276</v>
      </c>
      <c r="B89" s="200"/>
      <c r="C89" s="200"/>
      <c r="D89" s="200"/>
      <c r="E89" s="457">
        <f>-PMT($G$8,$H$8,$F$8)</f>
        <v>0</v>
      </c>
      <c r="F89" s="457">
        <f>IF(E91&lt;=0.25,0,-PMT($G$8,$H$8,$F$8))</f>
        <v>0</v>
      </c>
      <c r="G89" s="457">
        <f t="shared" ref="G89:N89" si="22">IF(F91&lt;=0.25,0,-PMT($G$8,$H$8,$F$8))</f>
        <v>0</v>
      </c>
      <c r="H89" s="457">
        <f t="shared" si="22"/>
        <v>0</v>
      </c>
      <c r="I89" s="457">
        <f t="shared" si="22"/>
        <v>0</v>
      </c>
      <c r="J89" s="457">
        <f t="shared" si="22"/>
        <v>0</v>
      </c>
      <c r="K89" s="457">
        <f t="shared" si="22"/>
        <v>0</v>
      </c>
      <c r="L89" s="457">
        <f t="shared" si="22"/>
        <v>0</v>
      </c>
      <c r="M89" s="457">
        <f t="shared" si="22"/>
        <v>0</v>
      </c>
      <c r="N89" s="457">
        <f t="shared" si="22"/>
        <v>0</v>
      </c>
      <c r="O89" s="200"/>
      <c r="P89" s="200"/>
      <c r="Q89" s="318"/>
      <c r="R89" s="318"/>
      <c r="S89" s="318"/>
      <c r="T89" s="318"/>
      <c r="U89" s="318"/>
      <c r="V89" s="318"/>
      <c r="W89" s="318"/>
      <c r="X89" s="318"/>
      <c r="Y89" s="318"/>
      <c r="Z89" s="318"/>
      <c r="AA89" s="318"/>
      <c r="AB89" s="318"/>
      <c r="AC89" s="318"/>
      <c r="AD89" s="318"/>
      <c r="AE89" s="318"/>
      <c r="AF89" s="318"/>
      <c r="AG89" s="318"/>
      <c r="AH89" s="318"/>
      <c r="AI89" s="318"/>
      <c r="AJ89" s="318"/>
      <c r="AK89" s="318"/>
      <c r="AL89" s="318"/>
      <c r="AM89" s="318"/>
      <c r="AN89" s="318"/>
      <c r="AO89" s="318"/>
      <c r="AP89" s="318"/>
    </row>
    <row r="90" spans="1:42">
      <c r="A90" s="444" t="s">
        <v>277</v>
      </c>
      <c r="B90" s="200"/>
      <c r="C90" s="200"/>
      <c r="D90" s="200"/>
      <c r="E90" s="456">
        <f>E88*$G$8</f>
        <v>0</v>
      </c>
      <c r="F90" s="456">
        <f t="shared" ref="F90:N90" si="23">F88*$G$8</f>
        <v>0</v>
      </c>
      <c r="G90" s="456">
        <f t="shared" si="23"/>
        <v>0</v>
      </c>
      <c r="H90" s="456">
        <f t="shared" si="23"/>
        <v>0</v>
      </c>
      <c r="I90" s="456">
        <f t="shared" si="23"/>
        <v>0</v>
      </c>
      <c r="J90" s="456">
        <f t="shared" si="23"/>
        <v>0</v>
      </c>
      <c r="K90" s="456">
        <f t="shared" si="23"/>
        <v>0</v>
      </c>
      <c r="L90" s="457">
        <f t="shared" si="23"/>
        <v>0</v>
      </c>
      <c r="M90" s="457">
        <f t="shared" si="23"/>
        <v>0</v>
      </c>
      <c r="N90" s="457">
        <f t="shared" si="23"/>
        <v>0</v>
      </c>
      <c r="O90" s="200"/>
      <c r="P90" s="200"/>
      <c r="Q90" s="318"/>
      <c r="R90" s="318"/>
      <c r="S90" s="318"/>
      <c r="T90" s="318"/>
      <c r="U90" s="318"/>
      <c r="V90" s="318"/>
      <c r="W90" s="318"/>
      <c r="X90" s="318"/>
      <c r="Y90" s="318"/>
      <c r="Z90" s="318"/>
      <c r="AA90" s="318"/>
      <c r="AB90" s="318"/>
      <c r="AC90" s="318"/>
      <c r="AD90" s="318"/>
      <c r="AE90" s="318"/>
      <c r="AF90" s="318"/>
      <c r="AG90" s="318"/>
      <c r="AH90" s="318"/>
      <c r="AI90" s="318"/>
      <c r="AJ90" s="318"/>
      <c r="AK90" s="318"/>
      <c r="AL90" s="318"/>
      <c r="AM90" s="318"/>
      <c r="AN90" s="318"/>
      <c r="AO90" s="318"/>
      <c r="AP90" s="318"/>
    </row>
    <row r="91" spans="1:42">
      <c r="A91" s="444" t="s">
        <v>278</v>
      </c>
      <c r="B91" s="200"/>
      <c r="C91" s="200"/>
      <c r="D91" s="200"/>
      <c r="E91" s="462">
        <f t="shared" ref="E91:N91" si="24">E88-E89+E90</f>
        <v>0</v>
      </c>
      <c r="F91" s="462">
        <f t="shared" si="24"/>
        <v>0</v>
      </c>
      <c r="G91" s="462">
        <f t="shared" si="24"/>
        <v>0</v>
      </c>
      <c r="H91" s="462">
        <f t="shared" si="24"/>
        <v>0</v>
      </c>
      <c r="I91" s="462">
        <f t="shared" si="24"/>
        <v>0</v>
      </c>
      <c r="J91" s="462">
        <f t="shared" si="24"/>
        <v>0</v>
      </c>
      <c r="K91" s="462">
        <f t="shared" si="24"/>
        <v>0</v>
      </c>
      <c r="L91" s="457">
        <f t="shared" si="24"/>
        <v>0</v>
      </c>
      <c r="M91" s="457">
        <f t="shared" si="24"/>
        <v>0</v>
      </c>
      <c r="N91" s="457">
        <f t="shared" si="24"/>
        <v>0</v>
      </c>
      <c r="O91" s="200"/>
      <c r="P91" s="200"/>
      <c r="Q91" s="318"/>
      <c r="R91" s="318"/>
      <c r="S91" s="318"/>
      <c r="T91" s="318"/>
      <c r="U91" s="318"/>
      <c r="V91" s="318"/>
      <c r="W91" s="318"/>
      <c r="X91" s="318"/>
      <c r="Y91" s="318"/>
      <c r="Z91" s="318"/>
      <c r="AA91" s="318"/>
      <c r="AB91" s="318"/>
      <c r="AC91" s="318"/>
      <c r="AD91" s="318"/>
      <c r="AE91" s="318"/>
      <c r="AF91" s="318"/>
      <c r="AG91" s="318"/>
      <c r="AH91" s="318"/>
      <c r="AI91" s="318"/>
      <c r="AJ91" s="318"/>
      <c r="AK91" s="318"/>
      <c r="AL91" s="318"/>
      <c r="AM91" s="318"/>
      <c r="AN91" s="318"/>
      <c r="AO91" s="318"/>
      <c r="AP91" s="318"/>
    </row>
    <row r="92" spans="1:42" s="35" customFormat="1">
      <c r="A92" s="485" t="s">
        <v>237</v>
      </c>
      <c r="B92" s="490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318"/>
      <c r="P92" s="318"/>
      <c r="Q92" s="318"/>
      <c r="R92" s="318"/>
      <c r="S92" s="318"/>
      <c r="T92" s="318"/>
      <c r="U92" s="318"/>
      <c r="V92" s="318"/>
      <c r="W92" s="318"/>
      <c r="X92" s="318"/>
      <c r="Y92" s="318"/>
      <c r="Z92" s="318"/>
      <c r="AA92" s="318"/>
      <c r="AB92" s="318"/>
      <c r="AC92" s="318"/>
      <c r="AD92" s="318"/>
      <c r="AE92" s="318"/>
      <c r="AF92" s="318"/>
      <c r="AG92" s="318"/>
      <c r="AH92" s="318"/>
      <c r="AI92" s="318"/>
      <c r="AJ92" s="318"/>
      <c r="AK92" s="318"/>
      <c r="AL92" s="318"/>
      <c r="AM92" s="318"/>
      <c r="AN92" s="318"/>
      <c r="AO92" s="318"/>
      <c r="AP92" s="318"/>
    </row>
    <row r="93" spans="1:42">
      <c r="A93" s="444" t="s">
        <v>269</v>
      </c>
      <c r="B93" s="200"/>
      <c r="C93" s="200"/>
      <c r="D93" s="200"/>
      <c r="E93" s="456">
        <f>F9</f>
        <v>0</v>
      </c>
      <c r="F93" s="456">
        <f>E96</f>
        <v>0</v>
      </c>
      <c r="G93" s="456">
        <f t="shared" ref="G93:N93" si="25">F96</f>
        <v>0</v>
      </c>
      <c r="H93" s="456">
        <f t="shared" si="25"/>
        <v>0</v>
      </c>
      <c r="I93" s="456">
        <f t="shared" si="25"/>
        <v>0</v>
      </c>
      <c r="J93" s="456">
        <f t="shared" si="25"/>
        <v>0</v>
      </c>
      <c r="K93" s="456">
        <f t="shared" si="25"/>
        <v>0</v>
      </c>
      <c r="L93" s="456">
        <f t="shared" si="25"/>
        <v>0</v>
      </c>
      <c r="M93" s="456">
        <f t="shared" si="25"/>
        <v>0</v>
      </c>
      <c r="N93" s="456">
        <f t="shared" si="25"/>
        <v>0</v>
      </c>
      <c r="O93" s="200"/>
      <c r="P93" s="200"/>
      <c r="Q93" s="318"/>
      <c r="R93" s="318"/>
      <c r="S93" s="318"/>
      <c r="T93" s="318"/>
      <c r="U93" s="318"/>
      <c r="V93" s="318"/>
      <c r="W93" s="318"/>
      <c r="X93" s="318"/>
      <c r="Y93" s="318"/>
      <c r="Z93" s="318"/>
      <c r="AA93" s="318"/>
      <c r="AB93" s="318"/>
      <c r="AC93" s="318"/>
      <c r="AD93" s="318"/>
      <c r="AE93" s="318"/>
      <c r="AF93" s="318"/>
      <c r="AG93" s="318"/>
      <c r="AH93" s="318"/>
      <c r="AI93" s="318"/>
      <c r="AJ93" s="318"/>
      <c r="AK93" s="318"/>
      <c r="AL93" s="318"/>
      <c r="AM93" s="318"/>
      <c r="AN93" s="318"/>
      <c r="AO93" s="318"/>
      <c r="AP93" s="318"/>
    </row>
    <row r="94" spans="1:42">
      <c r="A94" s="444" t="s">
        <v>276</v>
      </c>
      <c r="B94" s="200"/>
      <c r="C94" s="200"/>
      <c r="D94" s="200"/>
      <c r="E94" s="457">
        <f>-PMT($G$9,$H$9,$F$9)</f>
        <v>0</v>
      </c>
      <c r="F94" s="457">
        <f>IF(E96&lt;=0.25,0,-PMT($G$9,$H$9,$F$9))</f>
        <v>0</v>
      </c>
      <c r="G94" s="457">
        <f t="shared" ref="G94:N94" si="26">IF(F96&lt;=0.25,0,-PMT($G$9,$H$9,$F$9))</f>
        <v>0</v>
      </c>
      <c r="H94" s="457">
        <f t="shared" si="26"/>
        <v>0</v>
      </c>
      <c r="I94" s="457">
        <f t="shared" si="26"/>
        <v>0</v>
      </c>
      <c r="J94" s="457">
        <f t="shared" si="26"/>
        <v>0</v>
      </c>
      <c r="K94" s="457">
        <f t="shared" si="26"/>
        <v>0</v>
      </c>
      <c r="L94" s="457">
        <f t="shared" si="26"/>
        <v>0</v>
      </c>
      <c r="M94" s="457">
        <f t="shared" si="26"/>
        <v>0</v>
      </c>
      <c r="N94" s="457">
        <f t="shared" si="26"/>
        <v>0</v>
      </c>
      <c r="O94" s="200"/>
      <c r="P94" s="200"/>
      <c r="Q94" s="318"/>
      <c r="R94" s="318"/>
      <c r="S94" s="318"/>
      <c r="T94" s="318"/>
      <c r="U94" s="318"/>
      <c r="V94" s="318"/>
      <c r="W94" s="318"/>
      <c r="X94" s="318"/>
      <c r="Y94" s="318"/>
      <c r="Z94" s="318"/>
      <c r="AA94" s="318"/>
      <c r="AB94" s="318"/>
      <c r="AC94" s="318"/>
      <c r="AD94" s="318"/>
      <c r="AE94" s="318"/>
      <c r="AF94" s="318"/>
      <c r="AG94" s="318"/>
      <c r="AH94" s="318"/>
      <c r="AI94" s="318"/>
      <c r="AJ94" s="318"/>
      <c r="AK94" s="318"/>
      <c r="AL94" s="318"/>
      <c r="AM94" s="318"/>
      <c r="AN94" s="318"/>
      <c r="AO94" s="318"/>
      <c r="AP94" s="318"/>
    </row>
    <row r="95" spans="1:42">
      <c r="A95" s="444" t="s">
        <v>277</v>
      </c>
      <c r="B95" s="200"/>
      <c r="C95" s="200"/>
      <c r="D95" s="200"/>
      <c r="E95" s="456">
        <f>E93*$G$9</f>
        <v>0</v>
      </c>
      <c r="F95" s="456">
        <f t="shared" ref="F95:N95" si="27">F93*$G$9</f>
        <v>0</v>
      </c>
      <c r="G95" s="456">
        <f t="shared" si="27"/>
        <v>0</v>
      </c>
      <c r="H95" s="456">
        <f t="shared" si="27"/>
        <v>0</v>
      </c>
      <c r="I95" s="456">
        <f t="shared" si="27"/>
        <v>0</v>
      </c>
      <c r="J95" s="456">
        <f t="shared" si="27"/>
        <v>0</v>
      </c>
      <c r="K95" s="456">
        <f t="shared" si="27"/>
        <v>0</v>
      </c>
      <c r="L95" s="456">
        <f t="shared" si="27"/>
        <v>0</v>
      </c>
      <c r="M95" s="456">
        <f t="shared" si="27"/>
        <v>0</v>
      </c>
      <c r="N95" s="456">
        <f t="shared" si="27"/>
        <v>0</v>
      </c>
      <c r="O95" s="200"/>
      <c r="P95" s="200"/>
      <c r="Q95" s="318"/>
      <c r="R95" s="318"/>
      <c r="S95" s="318"/>
      <c r="T95" s="318"/>
      <c r="U95" s="318"/>
      <c r="V95" s="318"/>
      <c r="W95" s="318"/>
      <c r="X95" s="318"/>
      <c r="Y95" s="318"/>
      <c r="Z95" s="318"/>
      <c r="AA95" s="318"/>
      <c r="AB95" s="318"/>
      <c r="AC95" s="318"/>
      <c r="AD95" s="318"/>
      <c r="AE95" s="318"/>
      <c r="AF95" s="318"/>
      <c r="AG95" s="318"/>
      <c r="AH95" s="318"/>
      <c r="AI95" s="318"/>
      <c r="AJ95" s="318"/>
      <c r="AK95" s="318"/>
      <c r="AL95" s="318"/>
      <c r="AM95" s="318"/>
      <c r="AN95" s="318"/>
      <c r="AO95" s="318"/>
      <c r="AP95" s="318"/>
    </row>
    <row r="96" spans="1:42">
      <c r="A96" s="487" t="s">
        <v>278</v>
      </c>
      <c r="B96" s="491"/>
      <c r="C96" s="491"/>
      <c r="D96" s="491"/>
      <c r="E96" s="492">
        <f t="shared" ref="E96:N96" si="28">E93-E94+E95</f>
        <v>0</v>
      </c>
      <c r="F96" s="492">
        <f t="shared" si="28"/>
        <v>0</v>
      </c>
      <c r="G96" s="492">
        <f t="shared" si="28"/>
        <v>0</v>
      </c>
      <c r="H96" s="492">
        <f t="shared" si="28"/>
        <v>0</v>
      </c>
      <c r="I96" s="492">
        <f t="shared" si="28"/>
        <v>0</v>
      </c>
      <c r="J96" s="492">
        <f t="shared" si="28"/>
        <v>0</v>
      </c>
      <c r="K96" s="492">
        <f t="shared" si="28"/>
        <v>0</v>
      </c>
      <c r="L96" s="493">
        <f t="shared" si="28"/>
        <v>0</v>
      </c>
      <c r="M96" s="493">
        <f t="shared" si="28"/>
        <v>0</v>
      </c>
      <c r="N96" s="493">
        <f t="shared" si="28"/>
        <v>0</v>
      </c>
      <c r="O96" s="200"/>
      <c r="P96" s="200"/>
      <c r="Q96" s="318"/>
      <c r="R96" s="318"/>
      <c r="S96" s="318"/>
      <c r="T96" s="318"/>
      <c r="U96" s="318"/>
      <c r="V96" s="318"/>
      <c r="W96" s="318"/>
      <c r="X96" s="318"/>
      <c r="Y96" s="318"/>
      <c r="Z96" s="318"/>
      <c r="AA96" s="318"/>
      <c r="AB96" s="318"/>
      <c r="AC96" s="318"/>
      <c r="AD96" s="318"/>
      <c r="AE96" s="318"/>
      <c r="AF96" s="318"/>
      <c r="AG96" s="318"/>
      <c r="AH96" s="318"/>
      <c r="AI96" s="318"/>
      <c r="AJ96" s="318"/>
      <c r="AK96" s="318"/>
      <c r="AL96" s="318"/>
      <c r="AM96" s="318"/>
      <c r="AN96" s="318"/>
      <c r="AO96" s="318"/>
      <c r="AP96" s="318"/>
    </row>
    <row r="97" spans="1:42">
      <c r="A97" s="200"/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318"/>
      <c r="R97" s="318"/>
      <c r="S97" s="318"/>
      <c r="T97" s="318"/>
      <c r="U97" s="318"/>
      <c r="V97" s="318"/>
      <c r="W97" s="318"/>
      <c r="X97" s="318"/>
      <c r="Y97" s="318"/>
      <c r="Z97" s="318"/>
      <c r="AA97" s="318"/>
      <c r="AB97" s="318"/>
      <c r="AC97" s="318"/>
      <c r="AD97" s="318"/>
      <c r="AE97" s="318"/>
      <c r="AF97" s="318"/>
      <c r="AG97" s="318"/>
      <c r="AH97" s="318"/>
      <c r="AI97" s="318"/>
      <c r="AJ97" s="318"/>
      <c r="AK97" s="318"/>
      <c r="AL97" s="318"/>
      <c r="AM97" s="318"/>
      <c r="AN97" s="318"/>
      <c r="AO97" s="318"/>
      <c r="AP97" s="318"/>
    </row>
    <row r="98" spans="1:42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318"/>
      <c r="R98" s="318"/>
      <c r="S98" s="318"/>
      <c r="T98" s="318"/>
      <c r="U98" s="318"/>
      <c r="V98" s="318"/>
      <c r="W98" s="318"/>
      <c r="X98" s="318"/>
      <c r="Y98" s="318"/>
      <c r="Z98" s="318"/>
      <c r="AA98" s="318"/>
      <c r="AB98" s="318"/>
      <c r="AC98" s="318"/>
      <c r="AD98" s="318"/>
      <c r="AE98" s="318"/>
      <c r="AF98" s="318"/>
      <c r="AG98" s="318"/>
      <c r="AH98" s="318"/>
      <c r="AI98" s="318"/>
      <c r="AJ98" s="318"/>
      <c r="AK98" s="318"/>
      <c r="AL98" s="318"/>
      <c r="AM98" s="318"/>
      <c r="AN98" s="318"/>
      <c r="AO98" s="318"/>
      <c r="AP98" s="318"/>
    </row>
    <row r="99" spans="1:42">
      <c r="A99" s="200"/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318"/>
      <c r="R99" s="318"/>
      <c r="S99" s="318"/>
      <c r="T99" s="318"/>
      <c r="U99" s="318"/>
      <c r="V99" s="318"/>
      <c r="W99" s="318"/>
      <c r="X99" s="318"/>
      <c r="Y99" s="318"/>
      <c r="Z99" s="318"/>
      <c r="AA99" s="318"/>
      <c r="AB99" s="318"/>
      <c r="AC99" s="318"/>
      <c r="AD99" s="318"/>
      <c r="AE99" s="318"/>
      <c r="AF99" s="318"/>
      <c r="AG99" s="318"/>
      <c r="AH99" s="318"/>
      <c r="AI99" s="318"/>
      <c r="AJ99" s="318"/>
      <c r="AK99" s="318"/>
      <c r="AL99" s="318"/>
      <c r="AM99" s="318"/>
      <c r="AN99" s="318"/>
      <c r="AO99" s="318"/>
      <c r="AP99" s="318"/>
    </row>
    <row r="100" spans="1:42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318"/>
      <c r="R100" s="318"/>
      <c r="S100" s="318"/>
      <c r="T100" s="318"/>
      <c r="U100" s="318"/>
      <c r="V100" s="318"/>
      <c r="W100" s="318"/>
      <c r="X100" s="318"/>
      <c r="Y100" s="318"/>
      <c r="Z100" s="318"/>
      <c r="AA100" s="318"/>
      <c r="AB100" s="318"/>
      <c r="AC100" s="318"/>
      <c r="AD100" s="318"/>
      <c r="AE100" s="318"/>
      <c r="AF100" s="318"/>
      <c r="AG100" s="318"/>
      <c r="AH100" s="318"/>
      <c r="AI100" s="318"/>
      <c r="AJ100" s="318"/>
      <c r="AK100" s="318"/>
      <c r="AL100" s="318"/>
      <c r="AM100" s="318"/>
      <c r="AN100" s="318"/>
      <c r="AO100" s="318"/>
      <c r="AP100" s="318"/>
    </row>
    <row r="101" spans="1:42">
      <c r="A101" s="200"/>
      <c r="B101" s="200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318"/>
      <c r="R101" s="318"/>
      <c r="S101" s="318"/>
      <c r="T101" s="318"/>
      <c r="U101" s="318"/>
      <c r="V101" s="318"/>
      <c r="W101" s="318"/>
      <c r="X101" s="318"/>
      <c r="Y101" s="318"/>
      <c r="Z101" s="318"/>
      <c r="AA101" s="318"/>
      <c r="AB101" s="318"/>
      <c r="AC101" s="318"/>
      <c r="AD101" s="318"/>
      <c r="AE101" s="318"/>
      <c r="AF101" s="318"/>
      <c r="AG101" s="318"/>
      <c r="AH101" s="318"/>
      <c r="AI101" s="318"/>
      <c r="AJ101" s="318"/>
      <c r="AK101" s="318"/>
      <c r="AL101" s="318"/>
      <c r="AM101" s="318"/>
      <c r="AN101" s="318"/>
      <c r="AO101" s="318"/>
      <c r="AP101" s="318"/>
    </row>
    <row r="102" spans="1:42">
      <c r="A102" s="200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318"/>
      <c r="R102" s="318"/>
      <c r="S102" s="318"/>
      <c r="T102" s="318"/>
      <c r="U102" s="318"/>
      <c r="V102" s="318"/>
      <c r="W102" s="318"/>
      <c r="X102" s="318"/>
      <c r="Y102" s="318"/>
      <c r="Z102" s="318"/>
      <c r="AA102" s="318"/>
      <c r="AB102" s="318"/>
      <c r="AC102" s="318"/>
      <c r="AD102" s="318"/>
      <c r="AE102" s="318"/>
      <c r="AF102" s="318"/>
      <c r="AG102" s="318"/>
      <c r="AH102" s="318"/>
      <c r="AI102" s="318"/>
      <c r="AJ102" s="318"/>
      <c r="AK102" s="318"/>
      <c r="AL102" s="318"/>
      <c r="AM102" s="318"/>
      <c r="AN102" s="318"/>
      <c r="AO102" s="318"/>
      <c r="AP102" s="318"/>
    </row>
    <row r="103" spans="1:42">
      <c r="A103" s="200"/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318"/>
      <c r="R103" s="318"/>
      <c r="S103" s="318"/>
      <c r="T103" s="318"/>
      <c r="U103" s="318"/>
      <c r="V103" s="318"/>
      <c r="W103" s="318"/>
      <c r="X103" s="318"/>
      <c r="Y103" s="318"/>
      <c r="Z103" s="318"/>
      <c r="AA103" s="318"/>
      <c r="AB103" s="318"/>
      <c r="AC103" s="318"/>
      <c r="AD103" s="318"/>
      <c r="AE103" s="318"/>
      <c r="AF103" s="318"/>
      <c r="AG103" s="318"/>
      <c r="AH103" s="318"/>
      <c r="AI103" s="318"/>
      <c r="AJ103" s="318"/>
      <c r="AK103" s="318"/>
      <c r="AL103" s="318"/>
      <c r="AM103" s="318"/>
      <c r="AN103" s="318"/>
      <c r="AO103" s="318"/>
      <c r="AP103" s="318"/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79"/>
  <sheetViews>
    <sheetView showGridLines="0" zoomScale="75" workbookViewId="0">
      <selection activeCell="C9" sqref="C9"/>
    </sheetView>
  </sheetViews>
  <sheetFormatPr defaultRowHeight="12.75"/>
  <cols>
    <col min="1" max="1" width="28.140625" customWidth="1"/>
    <col min="2" max="2" width="9.7109375" bestFit="1" customWidth="1"/>
    <col min="3" max="3" width="12" bestFit="1" customWidth="1"/>
    <col min="4" max="4" width="10.140625" bestFit="1" customWidth="1"/>
    <col min="5" max="6" width="9.85546875" bestFit="1" customWidth="1"/>
    <col min="7" max="7" width="11" customWidth="1"/>
    <col min="8" max="9" width="10.5703125" customWidth="1"/>
    <col min="10" max="10" width="11" customWidth="1"/>
    <col min="11" max="11" width="10.5703125" customWidth="1"/>
    <col min="12" max="14" width="9.85546875" bestFit="1" customWidth="1"/>
    <col min="15" max="15" width="11.42578125" customWidth="1"/>
  </cols>
  <sheetData>
    <row r="1" spans="1:14" ht="20.25">
      <c r="A1" s="845" t="str">
        <f>"Project "&amp;Assumptions!D7</f>
        <v>Project Wolverine</v>
      </c>
      <c r="B1" s="128"/>
      <c r="C1" s="129"/>
    </row>
    <row r="2" spans="1:14" ht="16.5" thickBot="1">
      <c r="A2" s="559" t="s">
        <v>429</v>
      </c>
      <c r="B2" s="134"/>
      <c r="C2" s="135"/>
    </row>
    <row r="3" spans="1:14" ht="13.5" thickBot="1"/>
    <row r="4" spans="1:14">
      <c r="A4" s="538" t="s">
        <v>32</v>
      </c>
      <c r="B4" s="522"/>
      <c r="C4" s="523" t="s">
        <v>23</v>
      </c>
      <c r="D4" s="524" t="s">
        <v>190</v>
      </c>
      <c r="F4" s="993" t="s">
        <v>118</v>
      </c>
      <c r="G4" s="994"/>
      <c r="H4" s="995"/>
      <c r="J4" s="540" t="s">
        <v>181</v>
      </c>
      <c r="K4" s="541"/>
      <c r="L4" s="541"/>
      <c r="M4" s="542"/>
    </row>
    <row r="5" spans="1:14">
      <c r="A5" s="137" t="s">
        <v>289</v>
      </c>
      <c r="B5" s="35"/>
      <c r="C5" s="529">
        <f>CPurPrice</f>
        <v>12590.948376440256</v>
      </c>
      <c r="D5" s="544">
        <f>C5*(Assumptions!$D$24)</f>
        <v>0</v>
      </c>
      <c r="F5" s="132"/>
      <c r="G5" s="35"/>
      <c r="H5" s="131"/>
      <c r="J5" s="130" t="e">
        <f>IF(SUM(#REF!)&lt;&gt;$B$8*(N13-D14+1),"Warning- Check if the Capital Structure is constant","")</f>
        <v>#REF!</v>
      </c>
      <c r="K5" s="35"/>
      <c r="L5" s="35"/>
      <c r="M5" s="131"/>
    </row>
    <row r="6" spans="1:14">
      <c r="A6" s="137"/>
      <c r="B6" s="35"/>
      <c r="C6" s="527"/>
      <c r="D6" s="131"/>
      <c r="F6" s="531">
        <f>G6-0.025</f>
        <v>0.1</v>
      </c>
      <c r="G6" s="532">
        <f>ConsDRate</f>
        <v>0.125</v>
      </c>
      <c r="H6" s="533">
        <f>G6+0.025</f>
        <v>0.15</v>
      </c>
      <c r="J6" s="130"/>
      <c r="K6" s="35"/>
      <c r="L6" s="35"/>
      <c r="M6" s="131"/>
    </row>
    <row r="7" spans="1:14" ht="13.5" thickBot="1">
      <c r="A7" s="525" t="s">
        <v>28</v>
      </c>
      <c r="B7" s="35"/>
      <c r="C7" s="530">
        <f>C5+D5</f>
        <v>12590.948376440256</v>
      </c>
      <c r="D7" s="131"/>
      <c r="F7" s="534" t="e">
        <f>NPV(F$6,C32:O32)</f>
        <v>#REF!</v>
      </c>
      <c r="G7" s="535" t="e">
        <f>NPV(G$6,C32:O32)</f>
        <v>#REF!</v>
      </c>
      <c r="H7" s="536" t="e">
        <f>NPV(H$6,C32:O32)</f>
        <v>#REF!</v>
      </c>
      <c r="J7" s="130"/>
      <c r="K7" s="35"/>
      <c r="L7" s="35"/>
      <c r="M7" s="131"/>
    </row>
    <row r="8" spans="1:14" ht="13.5" thickBot="1">
      <c r="A8" s="132" t="s">
        <v>24</v>
      </c>
      <c r="B8" s="526">
        <f>'Fin Stats and Ratios'!E15</f>
        <v>0.5</v>
      </c>
      <c r="C8" s="527">
        <f>C7*$B$8</f>
        <v>6295.4741882201279</v>
      </c>
      <c r="D8" s="131"/>
      <c r="J8" s="132"/>
      <c r="K8" s="35"/>
      <c r="L8" s="35"/>
      <c r="M8" s="131"/>
    </row>
    <row r="9" spans="1:14" ht="13.5" thickBot="1">
      <c r="A9" s="133" t="s">
        <v>25</v>
      </c>
      <c r="B9" s="573">
        <f>1-B8</f>
        <v>0.5</v>
      </c>
      <c r="C9" s="528">
        <f>C7-C8</f>
        <v>6295.4741882201279</v>
      </c>
      <c r="D9" s="135"/>
      <c r="F9" s="203" t="s">
        <v>116</v>
      </c>
      <c r="G9" s="204" t="e">
        <f>IRR($C$32:$O$32)</f>
        <v>#VALUE!</v>
      </c>
      <c r="J9" s="132"/>
      <c r="K9" s="35"/>
      <c r="L9" s="35"/>
      <c r="M9" s="131"/>
    </row>
    <row r="10" spans="1:14" ht="13.5" thickBot="1">
      <c r="J10" s="133"/>
      <c r="K10" s="134"/>
      <c r="L10" s="134"/>
      <c r="M10" s="135"/>
    </row>
    <row r="12" spans="1:14">
      <c r="C12" s="389"/>
      <c r="D12" s="372" t="s">
        <v>263</v>
      </c>
      <c r="E12" s="391"/>
      <c r="F12" s="386"/>
      <c r="G12" s="386"/>
      <c r="H12" s="304"/>
      <c r="I12" s="386"/>
      <c r="J12" s="304"/>
      <c r="K12" s="304"/>
      <c r="L12" s="304"/>
      <c r="M12" s="304"/>
      <c r="N12" s="355"/>
    </row>
    <row r="13" spans="1:14">
      <c r="C13" s="389"/>
      <c r="D13" s="316">
        <v>2001</v>
      </c>
      <c r="E13" s="352">
        <v>2002</v>
      </c>
      <c r="F13" s="352">
        <v>2003</v>
      </c>
      <c r="G13" s="352">
        <v>2004</v>
      </c>
      <c r="H13" s="352">
        <v>2005</v>
      </c>
      <c r="I13" s="352">
        <v>2006</v>
      </c>
      <c r="J13" s="356">
        <v>2007</v>
      </c>
      <c r="K13" s="356">
        <v>2008</v>
      </c>
      <c r="L13" s="356">
        <v>2009</v>
      </c>
      <c r="M13" s="356">
        <v>2010</v>
      </c>
      <c r="N13" s="537">
        <f>M14+1</f>
        <v>11</v>
      </c>
    </row>
    <row r="14" spans="1:14">
      <c r="C14" s="411" t="s">
        <v>273</v>
      </c>
      <c r="D14" s="316">
        <v>1</v>
      </c>
      <c r="E14" s="352">
        <v>2</v>
      </c>
      <c r="F14" s="352">
        <v>3</v>
      </c>
      <c r="G14" s="352">
        <v>4</v>
      </c>
      <c r="H14" s="352">
        <v>5</v>
      </c>
      <c r="I14" s="352">
        <v>6</v>
      </c>
      <c r="J14" s="352">
        <v>7</v>
      </c>
      <c r="K14" s="352">
        <v>8</v>
      </c>
      <c r="L14" s="352">
        <v>9</v>
      </c>
      <c r="M14" s="352">
        <v>10</v>
      </c>
      <c r="N14" s="452">
        <v>11</v>
      </c>
    </row>
    <row r="15" spans="1:14">
      <c r="A15" s="34" t="s">
        <v>1</v>
      </c>
      <c r="B15" s="34"/>
      <c r="C15" s="34"/>
      <c r="D15" s="46">
        <f>'Unlev. Consolid'!H23</f>
        <v>334172</v>
      </c>
      <c r="E15" s="46">
        <f>'Unlev. Consolid'!I23</f>
        <v>335852.49999999994</v>
      </c>
      <c r="F15" s="46">
        <f>'Unlev. Consolid'!J23</f>
        <v>337536.60340000002</v>
      </c>
      <c r="G15" s="46">
        <f>'Unlev. Consolid'!K23</f>
        <v>339140.60373200016</v>
      </c>
      <c r="H15" s="46">
        <f>'Unlev. Consolid'!L23</f>
        <v>340729.02825193014</v>
      </c>
      <c r="I15" s="46">
        <f>'Unlev. Consolid'!M23</f>
        <v>342182.60074203991</v>
      </c>
      <c r="J15" s="46">
        <f>'Unlev. Consolid'!N23</f>
        <v>343599.67748482729</v>
      </c>
      <c r="K15" s="46">
        <f>'Unlev. Consolid'!O23</f>
        <v>344845.58243508631</v>
      </c>
      <c r="L15" s="46">
        <f>'Unlev. Consolid'!P23</f>
        <v>346051.68959651794</v>
      </c>
      <c r="M15" s="46">
        <f>'Unlev. Consolid'!Q23</f>
        <v>347095.87100160919</v>
      </c>
      <c r="N15" s="46">
        <f>'Unlev. Consolid'!R23</f>
        <v>348120.11749720853</v>
      </c>
    </row>
    <row r="16" spans="1:14">
      <c r="A16" t="s">
        <v>20</v>
      </c>
      <c r="D16" s="12" t="e">
        <f>'Unlev. Consolid'!H35</f>
        <v>#REF!</v>
      </c>
      <c r="E16" s="12" t="e">
        <f>'Unlev. Consolid'!I35</f>
        <v>#REF!</v>
      </c>
      <c r="F16" s="12" t="e">
        <f>'Unlev. Consolid'!J35</f>
        <v>#REF!</v>
      </c>
      <c r="G16" s="12" t="e">
        <f>'Unlev. Consolid'!K35</f>
        <v>#REF!</v>
      </c>
      <c r="H16" s="12" t="e">
        <f>'Unlev. Consolid'!L35</f>
        <v>#REF!</v>
      </c>
      <c r="I16" s="12" t="e">
        <f>'Unlev. Consolid'!M35</f>
        <v>#REF!</v>
      </c>
      <c r="J16" s="12" t="e">
        <f>'Unlev. Consolid'!N35</f>
        <v>#REF!</v>
      </c>
      <c r="K16" s="12" t="e">
        <f>'Unlev. Consolid'!O35</f>
        <v>#REF!</v>
      </c>
      <c r="L16" s="12" t="e">
        <f>'Unlev. Consolid'!P35</f>
        <v>#REF!</v>
      </c>
      <c r="M16" s="12" t="e">
        <f>'Unlev. Consolid'!Q35</f>
        <v>#REF!</v>
      </c>
      <c r="N16" s="12" t="e">
        <f>'Unlev. Consolid'!R35</f>
        <v>#REF!</v>
      </c>
    </row>
    <row r="17" spans="1:84">
      <c r="A17" t="s">
        <v>21</v>
      </c>
      <c r="D17" s="4">
        <f>'Unlev. Consolid'!H25</f>
        <v>0</v>
      </c>
      <c r="E17" s="4">
        <f>'Unlev. Consolid'!I25</f>
        <v>0</v>
      </c>
      <c r="F17" s="4">
        <f>'Unlev. Consolid'!J25</f>
        <v>0</v>
      </c>
      <c r="G17" s="4">
        <f>'Unlev. Consolid'!K25</f>
        <v>0</v>
      </c>
      <c r="H17" s="4">
        <f>'Unlev. Consolid'!L25</f>
        <v>0</v>
      </c>
      <c r="I17" s="4">
        <f>'Unlev. Consolid'!M25</f>
        <v>0</v>
      </c>
      <c r="J17" s="4">
        <f>'Unlev. Consolid'!N25</f>
        <v>0</v>
      </c>
      <c r="K17" s="4">
        <f>'Unlev. Consolid'!O25</f>
        <v>0</v>
      </c>
      <c r="L17" s="4">
        <f>'Unlev. Consolid'!P25</f>
        <v>0</v>
      </c>
      <c r="M17" s="4">
        <f>'Unlev. Consolid'!Q25</f>
        <v>0</v>
      </c>
      <c r="N17" s="4">
        <f>'Unlev. Consolid'!R25</f>
        <v>0</v>
      </c>
    </row>
    <row r="18" spans="1:84">
      <c r="A18" s="34" t="s">
        <v>2</v>
      </c>
      <c r="B18" s="34"/>
      <c r="C18" s="34"/>
      <c r="D18" s="49" t="e">
        <f>D15-D16-D17</f>
        <v>#REF!</v>
      </c>
      <c r="E18" s="49" t="e">
        <f>E15-E16-E17</f>
        <v>#REF!</v>
      </c>
      <c r="F18" s="49" t="e">
        <f t="shared" ref="F18:N18" si="0">F15-F16-F17</f>
        <v>#REF!</v>
      </c>
      <c r="G18" s="49" t="e">
        <f t="shared" si="0"/>
        <v>#REF!</v>
      </c>
      <c r="H18" s="49" t="e">
        <f t="shared" si="0"/>
        <v>#REF!</v>
      </c>
      <c r="I18" s="49" t="e">
        <f t="shared" si="0"/>
        <v>#REF!</v>
      </c>
      <c r="J18" s="49" t="e">
        <f t="shared" si="0"/>
        <v>#REF!</v>
      </c>
      <c r="K18" s="49" t="e">
        <f t="shared" si="0"/>
        <v>#REF!</v>
      </c>
      <c r="L18" s="49" t="e">
        <f t="shared" si="0"/>
        <v>#REF!</v>
      </c>
      <c r="M18" s="49" t="e">
        <f t="shared" si="0"/>
        <v>#REF!</v>
      </c>
      <c r="N18" s="49" t="e">
        <f t="shared" si="0"/>
        <v>#REF!</v>
      </c>
    </row>
    <row r="19" spans="1:84" ht="15">
      <c r="A19" t="s">
        <v>22</v>
      </c>
      <c r="B19" s="124">
        <f>Assumptions!D32</f>
        <v>7.4999999999999997E-2</v>
      </c>
      <c r="D19" s="4">
        <f>Debt!E28</f>
        <v>108958.86382057487</v>
      </c>
      <c r="E19" s="4">
        <f>Debt!F28</f>
        <v>98062.977438517395</v>
      </c>
      <c r="F19" s="4">
        <f>Debt!G28</f>
        <v>87167.091056459918</v>
      </c>
      <c r="G19" s="4">
        <f>Debt!H28</f>
        <v>76271.204674402426</v>
      </c>
      <c r="H19" s="4">
        <f>Debt!I28</f>
        <v>65375.318292344949</v>
      </c>
      <c r="I19" s="4">
        <f>Debt!J28</f>
        <v>54479.431910287465</v>
      </c>
      <c r="J19" s="4">
        <f>Debt!K28</f>
        <v>43583.545528229981</v>
      </c>
      <c r="K19" s="4">
        <f>Debt!L28</f>
        <v>32687.659146172497</v>
      </c>
      <c r="L19" s="4">
        <f>Debt!M28</f>
        <v>21791.772764115009</v>
      </c>
      <c r="M19" s="4">
        <f>Debt!N28</f>
        <v>10895.886382057522</v>
      </c>
      <c r="N19" s="4">
        <f>Debt!O28</f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84">
      <c r="A20" s="34" t="s">
        <v>26</v>
      </c>
      <c r="B20" s="34"/>
      <c r="C20" s="34"/>
      <c r="D20" s="48" t="e">
        <f>D18-D19</f>
        <v>#REF!</v>
      </c>
      <c r="E20" s="48" t="e">
        <f t="shared" ref="E20:N20" si="1">E18-E19</f>
        <v>#REF!</v>
      </c>
      <c r="F20" s="48" t="e">
        <f t="shared" si="1"/>
        <v>#REF!</v>
      </c>
      <c r="G20" s="48" t="e">
        <f t="shared" si="1"/>
        <v>#REF!</v>
      </c>
      <c r="H20" s="48" t="e">
        <f t="shared" si="1"/>
        <v>#REF!</v>
      </c>
      <c r="I20" s="48" t="e">
        <f t="shared" si="1"/>
        <v>#REF!</v>
      </c>
      <c r="J20" s="48" t="e">
        <f t="shared" si="1"/>
        <v>#REF!</v>
      </c>
      <c r="K20" s="48" t="e">
        <f t="shared" si="1"/>
        <v>#REF!</v>
      </c>
      <c r="L20" s="48" t="e">
        <f t="shared" si="1"/>
        <v>#REF!</v>
      </c>
      <c r="M20" s="48" t="e">
        <f t="shared" si="1"/>
        <v>#REF!</v>
      </c>
      <c r="N20" s="48" t="e">
        <f t="shared" si="1"/>
        <v>#REF!</v>
      </c>
    </row>
    <row r="21" spans="1:84">
      <c r="A21" t="s">
        <v>114</v>
      </c>
      <c r="B21" s="123">
        <f>Assumptions!D21</f>
        <v>0.38500000000000001</v>
      </c>
      <c r="D21" s="30" t="e">
        <f>D20*$B$21</f>
        <v>#REF!</v>
      </c>
      <c r="E21" s="30" t="e">
        <f t="shared" ref="E21:N21" si="2">E20*$B$21</f>
        <v>#REF!</v>
      </c>
      <c r="F21" s="30" t="e">
        <f t="shared" si="2"/>
        <v>#REF!</v>
      </c>
      <c r="G21" s="30" t="e">
        <f t="shared" si="2"/>
        <v>#REF!</v>
      </c>
      <c r="H21" s="30" t="e">
        <f t="shared" si="2"/>
        <v>#REF!</v>
      </c>
      <c r="I21" s="30" t="e">
        <f t="shared" si="2"/>
        <v>#REF!</v>
      </c>
      <c r="J21" s="30" t="e">
        <f t="shared" si="2"/>
        <v>#REF!</v>
      </c>
      <c r="K21" s="30" t="e">
        <f t="shared" si="2"/>
        <v>#REF!</v>
      </c>
      <c r="L21" s="30" t="e">
        <f t="shared" si="2"/>
        <v>#REF!</v>
      </c>
      <c r="M21" s="30" t="e">
        <f t="shared" si="2"/>
        <v>#REF!</v>
      </c>
      <c r="N21" s="61" t="e">
        <f t="shared" si="2"/>
        <v>#REF!</v>
      </c>
    </row>
    <row r="22" spans="1:84">
      <c r="A22" s="34" t="s">
        <v>13</v>
      </c>
      <c r="B22" s="34"/>
      <c r="C22" s="34"/>
      <c r="D22" s="46" t="e">
        <f>D20-D21</f>
        <v>#REF!</v>
      </c>
      <c r="E22" s="46" t="e">
        <f t="shared" ref="E22:N22" si="3">E20-E21</f>
        <v>#REF!</v>
      </c>
      <c r="F22" s="46" t="e">
        <f t="shared" si="3"/>
        <v>#REF!</v>
      </c>
      <c r="G22" s="46" t="e">
        <f t="shared" si="3"/>
        <v>#REF!</v>
      </c>
      <c r="H22" s="46" t="e">
        <f t="shared" si="3"/>
        <v>#REF!</v>
      </c>
      <c r="I22" s="46" t="e">
        <f t="shared" si="3"/>
        <v>#REF!</v>
      </c>
      <c r="J22" s="46" t="e">
        <f t="shared" si="3"/>
        <v>#REF!</v>
      </c>
      <c r="K22" s="46" t="e">
        <f t="shared" si="3"/>
        <v>#REF!</v>
      </c>
      <c r="L22" s="46" t="e">
        <f t="shared" si="3"/>
        <v>#REF!</v>
      </c>
      <c r="M22" s="46" t="e">
        <f t="shared" si="3"/>
        <v>#REF!</v>
      </c>
      <c r="N22" s="46" t="e">
        <f t="shared" si="3"/>
        <v>#REF!</v>
      </c>
    </row>
    <row r="23" spans="1:84">
      <c r="A23" s="45" t="s">
        <v>418</v>
      </c>
      <c r="B23" s="43"/>
      <c r="D23" s="12">
        <v>447.34666359513022</v>
      </c>
      <c r="E23" s="12">
        <v>561.46401122850637</v>
      </c>
      <c r="F23" s="12">
        <v>700.87175786187731</v>
      </c>
      <c r="G23" s="12">
        <v>812.25852886524876</v>
      </c>
      <c r="H23" s="12">
        <v>936.31372955452514</v>
      </c>
      <c r="I23" s="12">
        <v>1000.7177387502427</v>
      </c>
      <c r="J23" s="12">
        <v>1067.0258301036556</v>
      </c>
      <c r="K23" s="12">
        <v>1053.5101202420265</v>
      </c>
      <c r="L23" s="12">
        <v>1042.096068179666</v>
      </c>
      <c r="M23" s="12">
        <v>958.83884169074906</v>
      </c>
      <c r="N23" s="12">
        <v>892.26098064409052</v>
      </c>
    </row>
    <row r="24" spans="1:84"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</row>
    <row r="25" spans="1:84">
      <c r="A25" t="s">
        <v>33</v>
      </c>
      <c r="B25" s="554">
        <v>0</v>
      </c>
      <c r="D25" s="30" t="e">
        <f t="shared" ref="D25:N25" si="4">+(D22-D23)*$B$17</f>
        <v>#REF!</v>
      </c>
      <c r="E25" s="30" t="e">
        <f t="shared" si="4"/>
        <v>#REF!</v>
      </c>
      <c r="F25" s="30" t="e">
        <f t="shared" si="4"/>
        <v>#REF!</v>
      </c>
      <c r="G25" s="30" t="e">
        <f t="shared" si="4"/>
        <v>#REF!</v>
      </c>
      <c r="H25" s="30" t="e">
        <f t="shared" si="4"/>
        <v>#REF!</v>
      </c>
      <c r="I25" s="30" t="e">
        <f t="shared" si="4"/>
        <v>#REF!</v>
      </c>
      <c r="J25" s="30" t="e">
        <f t="shared" si="4"/>
        <v>#REF!</v>
      </c>
      <c r="K25" s="30" t="e">
        <f t="shared" si="4"/>
        <v>#REF!</v>
      </c>
      <c r="L25" s="30" t="e">
        <f t="shared" si="4"/>
        <v>#REF!</v>
      </c>
      <c r="M25" s="30" t="e">
        <f t="shared" si="4"/>
        <v>#REF!</v>
      </c>
      <c r="N25" s="30" t="e">
        <f t="shared" si="4"/>
        <v>#REF!</v>
      </c>
      <c r="O25" s="557" t="s">
        <v>1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</row>
    <row r="26" spans="1:84">
      <c r="A26" t="s">
        <v>34</v>
      </c>
      <c r="D26" s="1" t="e">
        <f>+D22-D25</f>
        <v>#REF!</v>
      </c>
      <c r="E26" s="1" t="e">
        <f t="shared" ref="E26:M26" si="5">+E22-E25</f>
        <v>#REF!</v>
      </c>
      <c r="F26" s="1" t="e">
        <f t="shared" si="5"/>
        <v>#REF!</v>
      </c>
      <c r="G26" s="1" t="e">
        <f t="shared" si="5"/>
        <v>#REF!</v>
      </c>
      <c r="H26" s="1" t="e">
        <f t="shared" si="5"/>
        <v>#REF!</v>
      </c>
      <c r="I26" s="1" t="e">
        <f t="shared" si="5"/>
        <v>#REF!</v>
      </c>
      <c r="J26" s="1" t="e">
        <f t="shared" si="5"/>
        <v>#REF!</v>
      </c>
      <c r="K26" s="1" t="e">
        <f t="shared" si="5"/>
        <v>#REF!</v>
      </c>
      <c r="L26" s="1" t="e">
        <f t="shared" si="5"/>
        <v>#REF!</v>
      </c>
      <c r="M26" s="1" t="e">
        <f t="shared" si="5"/>
        <v>#REF!</v>
      </c>
      <c r="N26" s="1" t="e">
        <f>+N22-N25</f>
        <v>#REF!</v>
      </c>
      <c r="O26" s="557" t="s">
        <v>16</v>
      </c>
    </row>
    <row r="27" spans="1:84">
      <c r="B27" s="30"/>
      <c r="C27" s="11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557" t="e">
        <f>'Pipeline Co DCF'!#REF!</f>
        <v>#REF!</v>
      </c>
    </row>
    <row r="28" spans="1:84">
      <c r="A28" s="23" t="s">
        <v>294</v>
      </c>
      <c r="D28" s="12" t="e">
        <f>D22+D16+'Unlev. Consolid'!H39</f>
        <v>#REF!</v>
      </c>
      <c r="E28" s="12" t="e">
        <f>E22+E16+'Unlev. Consolid'!I39</f>
        <v>#REF!</v>
      </c>
      <c r="F28" s="12" t="e">
        <f>F22+F16+'Unlev. Consolid'!J39</f>
        <v>#REF!</v>
      </c>
      <c r="G28" s="12" t="e">
        <f>G22+G16+'Unlev. Consolid'!K39</f>
        <v>#REF!</v>
      </c>
      <c r="H28" s="12" t="e">
        <f>H22+H16+'Unlev. Consolid'!L39</f>
        <v>#REF!</v>
      </c>
      <c r="I28" s="12" t="e">
        <f>I22+I16+'Unlev. Consolid'!M39</f>
        <v>#REF!</v>
      </c>
      <c r="J28" s="12" t="e">
        <f>J22+J16+'Unlev. Consolid'!N39</f>
        <v>#REF!</v>
      </c>
      <c r="K28" s="12" t="e">
        <f>K22+K16+'Unlev. Consolid'!O39</f>
        <v>#REF!</v>
      </c>
      <c r="L28" s="12" t="e">
        <f>L22+L16+'Unlev. Consolid'!P39</f>
        <v>#REF!</v>
      </c>
      <c r="M28" s="12" t="e">
        <f>M22+M16+'Unlev. Consolid'!Q39</f>
        <v>#REF!</v>
      </c>
      <c r="N28" s="12" t="e">
        <f>N22+N16+'Unlev. Consolid'!R39</f>
        <v>#REF!</v>
      </c>
      <c r="O28" s="12">
        <f>'Unlev. Consolid'!S50</f>
        <v>4177441.4099665023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</row>
    <row r="29" spans="1:84">
      <c r="A29" t="s">
        <v>18</v>
      </c>
      <c r="D29" s="12" t="e">
        <f>'Unlev. Consolid'!H46</f>
        <v>#REF!</v>
      </c>
      <c r="E29" s="12" t="e">
        <f>'Unlev. Consolid'!I46</f>
        <v>#REF!</v>
      </c>
      <c r="F29" s="12" t="e">
        <f>'Unlev. Consolid'!J46</f>
        <v>#REF!</v>
      </c>
      <c r="G29" s="12" t="e">
        <f>'Unlev. Consolid'!K46</f>
        <v>#REF!</v>
      </c>
      <c r="H29" s="12" t="e">
        <f>'Unlev. Consolid'!L46</f>
        <v>#REF!</v>
      </c>
      <c r="I29" s="12" t="e">
        <f>'Unlev. Consolid'!M46</f>
        <v>#REF!</v>
      </c>
      <c r="J29" s="12" t="e">
        <f>'Unlev. Consolid'!N46</f>
        <v>#REF!</v>
      </c>
      <c r="K29" s="12" t="e">
        <f>'Unlev. Consolid'!O46</f>
        <v>#REF!</v>
      </c>
      <c r="L29" s="12" t="e">
        <f>'Unlev. Consolid'!P46</f>
        <v>#REF!</v>
      </c>
      <c r="M29" s="12" t="e">
        <f>'Unlev. Consolid'!Q46</f>
        <v>#REF!</v>
      </c>
      <c r="N29" s="12" t="e">
        <f>'Unlev. Consolid'!R46</f>
        <v>#REF!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84">
      <c r="A30" t="s">
        <v>29</v>
      </c>
      <c r="B30" s="122"/>
      <c r="D30" s="1">
        <f>Debt!E25+Debt!E26</f>
        <v>145278.48509409983</v>
      </c>
      <c r="E30" s="1">
        <f>Debt!F25+Debt!F26</f>
        <v>145278.48509409983</v>
      </c>
      <c r="F30" s="1">
        <f>Debt!G25+Debt!G26</f>
        <v>145278.48509409983</v>
      </c>
      <c r="G30" s="1">
        <f>Debt!H25+Debt!H26</f>
        <v>145278.48509409983</v>
      </c>
      <c r="H30" s="1">
        <f>Debt!I25+Debt!I26</f>
        <v>145278.48509409983</v>
      </c>
      <c r="I30" s="1">
        <f>Debt!J25+Debt!J26</f>
        <v>145278.48509409983</v>
      </c>
      <c r="J30" s="1">
        <f>Debt!K25+Debt!K26</f>
        <v>145278.48509409983</v>
      </c>
      <c r="K30" s="1">
        <f>Debt!L25+Debt!L26</f>
        <v>145278.48509409983</v>
      </c>
      <c r="L30" s="1">
        <f>Debt!M25+Debt!M26</f>
        <v>145278.48509409983</v>
      </c>
      <c r="M30" s="1">
        <f>Debt!N25+Debt!N26</f>
        <v>145278.48509409983</v>
      </c>
      <c r="N30" s="1">
        <f>Debt!O25+Debt!O26</f>
        <v>0</v>
      </c>
      <c r="O30" s="1">
        <f>Debt!P25+Debt!P26</f>
        <v>0</v>
      </c>
    </row>
    <row r="31" spans="1:84" s="35" customFormat="1">
      <c r="A31" s="116" t="s">
        <v>27</v>
      </c>
      <c r="B31" s="119"/>
      <c r="C31" s="34"/>
      <c r="D31" s="48" t="e">
        <f>(D28-D29-D30)</f>
        <v>#REF!</v>
      </c>
      <c r="E31" s="48" t="e">
        <f t="shared" ref="E31:N31" si="6">(E28-E29-E30)</f>
        <v>#REF!</v>
      </c>
      <c r="F31" s="48" t="e">
        <f t="shared" si="6"/>
        <v>#REF!</v>
      </c>
      <c r="G31" s="48" t="e">
        <f t="shared" si="6"/>
        <v>#REF!</v>
      </c>
      <c r="H31" s="48" t="e">
        <f t="shared" si="6"/>
        <v>#REF!</v>
      </c>
      <c r="I31" s="48" t="e">
        <f t="shared" si="6"/>
        <v>#REF!</v>
      </c>
      <c r="J31" s="48" t="e">
        <f t="shared" si="6"/>
        <v>#REF!</v>
      </c>
      <c r="K31" s="48" t="e">
        <f t="shared" si="6"/>
        <v>#REF!</v>
      </c>
      <c r="L31" s="48" t="e">
        <f t="shared" si="6"/>
        <v>#REF!</v>
      </c>
      <c r="M31" s="48" t="e">
        <f t="shared" si="6"/>
        <v>#REF!</v>
      </c>
      <c r="N31" s="48" t="e">
        <f t="shared" si="6"/>
        <v>#REF!</v>
      </c>
      <c r="O31" s="48">
        <f>(O28-O29-O30)</f>
        <v>4177441.4099665023</v>
      </c>
    </row>
    <row r="32" spans="1:84">
      <c r="A32" s="6" t="s">
        <v>115</v>
      </c>
      <c r="B32" s="555">
        <f>Assumptions!D10</f>
        <v>1</v>
      </c>
      <c r="C32" s="556">
        <f>-C9</f>
        <v>-6295.4741882201279</v>
      </c>
      <c r="D32" s="556" t="e">
        <f>$B$32*D31</f>
        <v>#REF!</v>
      </c>
      <c r="E32" s="556" t="e">
        <f t="shared" ref="E32:O32" si="7">$B$32*E31</f>
        <v>#REF!</v>
      </c>
      <c r="F32" s="556" t="e">
        <f t="shared" si="7"/>
        <v>#REF!</v>
      </c>
      <c r="G32" s="556" t="e">
        <f t="shared" si="7"/>
        <v>#REF!</v>
      </c>
      <c r="H32" s="556" t="e">
        <f t="shared" si="7"/>
        <v>#REF!</v>
      </c>
      <c r="I32" s="556" t="e">
        <f t="shared" si="7"/>
        <v>#REF!</v>
      </c>
      <c r="J32" s="556" t="e">
        <f t="shared" si="7"/>
        <v>#REF!</v>
      </c>
      <c r="K32" s="556" t="e">
        <f t="shared" si="7"/>
        <v>#REF!</v>
      </c>
      <c r="L32" s="556" t="e">
        <f t="shared" si="7"/>
        <v>#REF!</v>
      </c>
      <c r="M32" s="556" t="e">
        <f t="shared" si="7"/>
        <v>#REF!</v>
      </c>
      <c r="N32" s="556" t="e">
        <f t="shared" si="7"/>
        <v>#REF!</v>
      </c>
      <c r="O32" s="556">
        <f t="shared" si="7"/>
        <v>4177441.4099665023</v>
      </c>
    </row>
    <row r="33" spans="1:21">
      <c r="B33" s="86"/>
      <c r="C33" s="26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</row>
    <row r="34" spans="1:21" ht="15">
      <c r="A34" s="543" t="s">
        <v>290</v>
      </c>
      <c r="C34" s="2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"/>
      <c r="Q34" s="1"/>
      <c r="R34" s="1"/>
      <c r="S34" s="1"/>
      <c r="T34" s="1"/>
      <c r="U34" s="1"/>
    </row>
    <row r="35" spans="1:21">
      <c r="A35" t="s">
        <v>291</v>
      </c>
      <c r="B35" s="26"/>
      <c r="D35" s="120">
        <f t="shared" ref="D35:M35" si="8">D15/D19</f>
        <v>3.0669556223556893</v>
      </c>
      <c r="E35" s="120">
        <f t="shared" si="8"/>
        <v>3.4248654158045486</v>
      </c>
      <c r="F35" s="120">
        <f t="shared" si="8"/>
        <v>3.872293996611297</v>
      </c>
      <c r="G35" s="120">
        <f t="shared" si="8"/>
        <v>4.4465090748175902</v>
      </c>
      <c r="H35" s="120">
        <f t="shared" si="8"/>
        <v>5.2118909269131226</v>
      </c>
      <c r="I35" s="120">
        <f t="shared" si="8"/>
        <v>6.2809502365134771</v>
      </c>
      <c r="J35" s="120">
        <f t="shared" si="8"/>
        <v>7.8837018264672967</v>
      </c>
      <c r="K35" s="120">
        <f t="shared" si="8"/>
        <v>10.549717888730047</v>
      </c>
      <c r="L35" s="120">
        <f t="shared" si="8"/>
        <v>15.879923737382617</v>
      </c>
      <c r="M35" s="120">
        <f t="shared" si="8"/>
        <v>31.855680100811167</v>
      </c>
      <c r="N35" s="120"/>
      <c r="O35" s="12"/>
      <c r="P35" s="1"/>
      <c r="Q35" s="1"/>
      <c r="R35" s="1"/>
      <c r="S35" s="1"/>
      <c r="T35" s="1"/>
      <c r="U35" s="1"/>
    </row>
    <row r="36" spans="1:21" s="35" customFormat="1">
      <c r="A36" s="23" t="s">
        <v>293</v>
      </c>
      <c r="B36" s="26"/>
      <c r="C36"/>
      <c r="D36" s="120">
        <f t="shared" ref="D36:M36" si="9">D15/(D19+D30)</f>
        <v>1.3144095524381525</v>
      </c>
      <c r="E36" s="120">
        <f t="shared" si="9"/>
        <v>1.3801696451749674</v>
      </c>
      <c r="F36" s="120">
        <f t="shared" si="9"/>
        <v>1.4521102487292366</v>
      </c>
      <c r="G36" s="120">
        <f t="shared" si="9"/>
        <v>1.5307654191994984</v>
      </c>
      <c r="H36" s="120">
        <f t="shared" si="9"/>
        <v>1.6174833911109696</v>
      </c>
      <c r="I36" s="120">
        <f t="shared" si="9"/>
        <v>1.7129864281400398</v>
      </c>
      <c r="J36" s="120">
        <f t="shared" si="9"/>
        <v>1.8193158061078389</v>
      </c>
      <c r="K36" s="120">
        <f t="shared" si="9"/>
        <v>1.9377032856851124</v>
      </c>
      <c r="L36" s="120">
        <f t="shared" si="9"/>
        <v>2.0712944005281702</v>
      </c>
      <c r="M36" s="120">
        <f t="shared" si="9"/>
        <v>2.2224893093589251</v>
      </c>
      <c r="N36" s="120"/>
      <c r="O36" s="113"/>
    </row>
    <row r="37" spans="1:21" s="35" customFormat="1">
      <c r="A37" s="23" t="s">
        <v>292</v>
      </c>
      <c r="B37" s="26"/>
      <c r="C37"/>
      <c r="D37" s="120" t="e">
        <f t="shared" ref="D37:N37" si="10">(D15-D29)/(D30+D19+D21)</f>
        <v>#REF!</v>
      </c>
      <c r="E37" s="120" t="e">
        <f t="shared" si="10"/>
        <v>#REF!</v>
      </c>
      <c r="F37" s="120" t="e">
        <f t="shared" si="10"/>
        <v>#REF!</v>
      </c>
      <c r="G37" s="120" t="e">
        <f t="shared" si="10"/>
        <v>#REF!</v>
      </c>
      <c r="H37" s="120" t="e">
        <f t="shared" si="10"/>
        <v>#REF!</v>
      </c>
      <c r="I37" s="120" t="e">
        <f t="shared" si="10"/>
        <v>#REF!</v>
      </c>
      <c r="J37" s="120" t="e">
        <f t="shared" si="10"/>
        <v>#REF!</v>
      </c>
      <c r="K37" s="120" t="e">
        <f t="shared" si="10"/>
        <v>#REF!</v>
      </c>
      <c r="L37" s="120" t="e">
        <f t="shared" si="10"/>
        <v>#REF!</v>
      </c>
      <c r="M37" s="120" t="e">
        <f t="shared" si="10"/>
        <v>#REF!</v>
      </c>
      <c r="N37" s="120" t="e">
        <f t="shared" si="10"/>
        <v>#REF!</v>
      </c>
      <c r="O37" s="113"/>
    </row>
    <row r="38" spans="1:21" s="35" customFormat="1">
      <c r="A38" s="23"/>
      <c r="B38" s="26"/>
      <c r="C38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13"/>
    </row>
    <row r="39" spans="1:21" s="35" customFormat="1" ht="15">
      <c r="A39" s="543" t="s">
        <v>420</v>
      </c>
      <c r="B39" s="26"/>
      <c r="C39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13"/>
    </row>
    <row r="40" spans="1:21" s="35" customFormat="1">
      <c r="A40" t="s">
        <v>295</v>
      </c>
      <c r="B40" s="10">
        <f>Assumptions!D16</f>
        <v>880000</v>
      </c>
      <c r="C40" s="24" t="s">
        <v>296</v>
      </c>
      <c r="D40" s="545" t="s">
        <v>297</v>
      </c>
      <c r="E40" s="550">
        <v>0.18</v>
      </c>
      <c r="F40" s="25"/>
      <c r="G40" s="551">
        <v>1.8</v>
      </c>
      <c r="H40" s="551">
        <v>2.1</v>
      </c>
      <c r="I40" s="546">
        <f>H40*(1+$E40)</f>
        <v>2.4779999999999998</v>
      </c>
      <c r="J40" s="546">
        <f>I40*(1+$E40)</f>
        <v>2.9240399999999998</v>
      </c>
      <c r="K40" s="546">
        <f>J40*(1+$E40)</f>
        <v>3.4503671999999996</v>
      </c>
      <c r="N40" s="10"/>
      <c r="O40" s="10"/>
      <c r="P40" s="10"/>
      <c r="Q40" s="10"/>
      <c r="R40" s="10"/>
      <c r="S40" s="10"/>
    </row>
    <row r="41" spans="1:21" s="35" customFormat="1">
      <c r="A41" t="s">
        <v>298</v>
      </c>
      <c r="B41"/>
      <c r="C41"/>
      <c r="D41" s="10"/>
      <c r="E41" s="10"/>
      <c r="F41" s="10"/>
      <c r="G41" s="10" t="e">
        <f>G40*$B$40+D22*1000</f>
        <v>#REF!</v>
      </c>
      <c r="H41" s="10" t="e">
        <f>H40*$B$40+E22*1000</f>
        <v>#REF!</v>
      </c>
      <c r="I41" s="10" t="e">
        <f>I40*$B$40+F22*1000</f>
        <v>#REF!</v>
      </c>
      <c r="J41" s="10" t="e">
        <f>J40*$B$40+G22*1000</f>
        <v>#REF!</v>
      </c>
      <c r="K41" s="10" t="e">
        <f>K40*$B$40+H22*1000</f>
        <v>#REF!</v>
      </c>
      <c r="N41" s="547"/>
      <c r="O41" s="547"/>
      <c r="P41" s="547"/>
      <c r="Q41" s="547"/>
      <c r="R41" s="547"/>
      <c r="S41" s="547"/>
    </row>
    <row r="42" spans="1:21" s="35" customFormat="1">
      <c r="A42" s="35" t="s">
        <v>302</v>
      </c>
      <c r="B42" s="552">
        <f>C9</f>
        <v>6295.4741882201279</v>
      </c>
      <c r="C42" s="35" t="s">
        <v>416</v>
      </c>
      <c r="D42" s="10"/>
      <c r="E42" s="10"/>
      <c r="F42" s="10"/>
      <c r="N42" s="547"/>
      <c r="O42" s="547"/>
      <c r="P42" s="547"/>
      <c r="Q42" s="547"/>
      <c r="R42" s="547"/>
      <c r="S42" s="547"/>
    </row>
    <row r="43" spans="1:21" s="35" customFormat="1">
      <c r="A43" s="45" t="s">
        <v>303</v>
      </c>
      <c r="B43" s="553">
        <f>Assumptions!D17</f>
        <v>28.3</v>
      </c>
      <c r="D43" s="10"/>
      <c r="E43" s="10"/>
      <c r="F43" s="10"/>
      <c r="N43" s="547"/>
      <c r="O43" s="547"/>
      <c r="P43" s="547"/>
      <c r="Q43" s="547"/>
      <c r="R43" s="547"/>
      <c r="S43" s="547"/>
    </row>
    <row r="44" spans="1:21" s="35" customFormat="1">
      <c r="A44" s="35" t="s">
        <v>301</v>
      </c>
      <c r="B44" s="51">
        <f>B42*1000/B43</f>
        <v>222454.91831166527</v>
      </c>
      <c r="D44" s="10"/>
      <c r="E44" s="10"/>
      <c r="F44" s="10"/>
      <c r="N44" s="547"/>
      <c r="O44" s="547"/>
      <c r="P44" s="547"/>
      <c r="Q44" s="547"/>
      <c r="R44" s="547"/>
      <c r="S44" s="547"/>
    </row>
    <row r="45" spans="1:21" s="35" customFormat="1" ht="15">
      <c r="A45" t="s">
        <v>299</v>
      </c>
      <c r="B45" s="26">
        <f>B40+B44</f>
        <v>1102454.9183116653</v>
      </c>
      <c r="C45" s="24" t="s">
        <v>296</v>
      </c>
      <c r="D45" s="10"/>
      <c r="E45" s="10"/>
      <c r="F45" s="10"/>
      <c r="G45" s="548" t="e">
        <f>G41/$B$45</f>
        <v>#REF!</v>
      </c>
      <c r="H45" s="548" t="e">
        <f>H41/$B$45</f>
        <v>#REF!</v>
      </c>
      <c r="I45" s="548" t="e">
        <f>I41/$B$45</f>
        <v>#REF!</v>
      </c>
      <c r="J45" s="548" t="e">
        <f>J41/$B$45</f>
        <v>#REF!</v>
      </c>
      <c r="K45" s="548" t="e">
        <f>K41/$B$45</f>
        <v>#REF!</v>
      </c>
      <c r="L45" s="549"/>
      <c r="M45" s="549"/>
      <c r="N45" s="547"/>
      <c r="O45" s="547"/>
      <c r="P45" s="547"/>
      <c r="Q45" s="547"/>
      <c r="R45" s="547"/>
      <c r="S45" s="547"/>
    </row>
    <row r="46" spans="1:21" s="35" customFormat="1">
      <c r="A46" t="s">
        <v>300</v>
      </c>
      <c r="B46" s="26"/>
      <c r="C46"/>
      <c r="G46" s="549" t="e">
        <f>G45-G40</f>
        <v>#REF!</v>
      </c>
      <c r="H46" s="549" t="e">
        <f>H45-H40</f>
        <v>#REF!</v>
      </c>
      <c r="I46" s="549" t="e">
        <f>I45-I40</f>
        <v>#REF!</v>
      </c>
      <c r="J46" s="549" t="e">
        <f>J45-J40</f>
        <v>#REF!</v>
      </c>
      <c r="K46" s="549" t="e">
        <f>K45-K40</f>
        <v>#REF!</v>
      </c>
      <c r="L46" s="549"/>
      <c r="M46" s="549"/>
      <c r="N46" s="547"/>
      <c r="O46" s="547"/>
      <c r="P46" s="547"/>
      <c r="Q46" s="547"/>
      <c r="R46" s="547"/>
      <c r="S46" s="547"/>
    </row>
    <row r="47" spans="1:21" s="35" customFormat="1">
      <c r="A47"/>
      <c r="B47" s="26"/>
      <c r="C47"/>
      <c r="I47" s="549"/>
      <c r="J47" s="549"/>
      <c r="K47" s="549"/>
      <c r="L47" s="549"/>
      <c r="M47" s="549"/>
      <c r="N47" s="547"/>
      <c r="O47" s="547"/>
      <c r="P47" s="547"/>
      <c r="Q47" s="547"/>
      <c r="R47" s="547"/>
      <c r="S47" s="547"/>
    </row>
    <row r="48" spans="1:21" s="35" customFormat="1">
      <c r="A48"/>
      <c r="B48" s="26"/>
      <c r="C48"/>
      <c r="I48" s="549"/>
      <c r="J48" s="549"/>
      <c r="K48" s="549"/>
      <c r="L48" s="549"/>
      <c r="M48" s="549"/>
      <c r="N48" s="547"/>
      <c r="O48" s="547"/>
      <c r="P48" s="547"/>
      <c r="Q48" s="547"/>
      <c r="R48" s="547"/>
      <c r="S48" s="547"/>
    </row>
    <row r="49" spans="1:21" s="35" customFormat="1">
      <c r="A49"/>
      <c r="B49" s="26"/>
      <c r="C49"/>
      <c r="I49" s="549"/>
      <c r="J49" s="549"/>
      <c r="K49" s="549"/>
      <c r="L49" s="549"/>
      <c r="M49" s="549"/>
      <c r="N49" s="547"/>
      <c r="O49" s="547"/>
      <c r="P49" s="547"/>
      <c r="Q49" s="547"/>
      <c r="R49" s="547"/>
      <c r="S49" s="547"/>
    </row>
    <row r="50" spans="1:21" s="35" customFormat="1">
      <c r="A50"/>
      <c r="B50" s="26"/>
      <c r="C50"/>
      <c r="D50" s="10"/>
      <c r="E50" s="10"/>
      <c r="F50" s="10"/>
      <c r="G50" s="10"/>
      <c r="H50" s="10"/>
      <c r="I50" s="549"/>
      <c r="J50" s="549"/>
      <c r="K50" s="549"/>
      <c r="L50" s="549"/>
      <c r="M50" s="549"/>
      <c r="N50" s="547"/>
      <c r="O50" s="547"/>
      <c r="P50" s="547"/>
      <c r="Q50" s="547"/>
      <c r="R50" s="547"/>
      <c r="S50" s="547"/>
    </row>
    <row r="51" spans="1:21" s="35" customFormat="1">
      <c r="A51"/>
      <c r="B51" s="26"/>
      <c r="C51"/>
      <c r="D51" s="10"/>
      <c r="E51" s="10"/>
      <c r="F51" s="10"/>
      <c r="G51" s="10"/>
      <c r="H51" s="10"/>
      <c r="I51" s="549"/>
      <c r="J51" s="549"/>
      <c r="K51" s="549"/>
      <c r="L51" s="549"/>
      <c r="M51" s="549"/>
      <c r="N51" s="547"/>
      <c r="O51" s="547"/>
      <c r="P51" s="547"/>
      <c r="Q51" s="547"/>
      <c r="R51" s="547"/>
      <c r="S51" s="547"/>
    </row>
    <row r="52" spans="1:21" s="35" customFormat="1">
      <c r="A52" s="23"/>
      <c r="B52" s="26"/>
      <c r="C52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13"/>
    </row>
    <row r="53" spans="1:21" s="35" customFormat="1">
      <c r="A53" s="23"/>
      <c r="B53" s="26"/>
      <c r="C53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13"/>
    </row>
    <row r="54" spans="1:21" s="35" customFormat="1">
      <c r="A54" s="23"/>
      <c r="B54" s="26"/>
      <c r="C54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13"/>
    </row>
    <row r="55" spans="1:21" s="35" customFormat="1">
      <c r="A55" s="23"/>
      <c r="B55" s="26"/>
      <c r="C55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13"/>
    </row>
    <row r="56" spans="1:21" s="35" customFormat="1">
      <c r="A56" s="23"/>
      <c r="B56" s="26"/>
      <c r="C56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13"/>
    </row>
    <row r="57" spans="1:21" s="35" customFormat="1">
      <c r="A57" s="23"/>
      <c r="B57" s="26"/>
      <c r="C57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13"/>
    </row>
    <row r="58" spans="1:21" s="35" customFormat="1">
      <c r="A58" s="23"/>
      <c r="B58" s="26"/>
      <c r="C58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13"/>
      <c r="O58" s="113"/>
    </row>
    <row r="60" spans="1:21">
      <c r="N60" s="120"/>
      <c r="P60" s="121"/>
      <c r="Q60" s="121"/>
      <c r="R60" s="121"/>
      <c r="S60" s="121"/>
      <c r="T60" s="121"/>
    </row>
    <row r="61" spans="1:21">
      <c r="N61" s="120"/>
      <c r="P61" s="121"/>
      <c r="Q61" s="121"/>
      <c r="R61" s="121"/>
      <c r="S61" s="121"/>
      <c r="T61" s="121"/>
      <c r="U61" s="121"/>
    </row>
    <row r="66" spans="4:7" ht="15.75">
      <c r="D66" s="188" t="s">
        <v>130</v>
      </c>
    </row>
    <row r="67" spans="4:7" ht="13.5" thickBot="1"/>
    <row r="68" spans="4:7">
      <c r="D68" s="136"/>
      <c r="E68" s="128" t="s">
        <v>132</v>
      </c>
      <c r="F68" s="128"/>
      <c r="G68" s="129"/>
    </row>
    <row r="69" spans="4:7">
      <c r="D69" s="197" t="s">
        <v>131</v>
      </c>
      <c r="E69" s="198">
        <f t="shared" ref="E69:G70" si="11">F6</f>
        <v>0.1</v>
      </c>
      <c r="F69" s="198">
        <f t="shared" si="11"/>
        <v>0.125</v>
      </c>
      <c r="G69" s="199">
        <f t="shared" si="11"/>
        <v>0.15</v>
      </c>
    </row>
    <row r="70" spans="4:7">
      <c r="D70" s="190">
        <f>B8</f>
        <v>0.5</v>
      </c>
      <c r="E70" s="191" t="e">
        <f t="shared" si="11"/>
        <v>#REF!</v>
      </c>
      <c r="F70" s="191" t="e">
        <f t="shared" si="11"/>
        <v>#REF!</v>
      </c>
      <c r="G70" s="192" t="e">
        <f t="shared" si="11"/>
        <v>#REF!</v>
      </c>
    </row>
    <row r="71" spans="4:7">
      <c r="D71" s="232">
        <v>0.2</v>
      </c>
      <c r="E71" s="193" t="e">
        <f t="dataTable" ref="E71:G79" dt2D="0" dtr="0" r1="B8" ca="1"/>
        <v>#REF!</v>
      </c>
      <c r="F71" s="193" t="e">
        <v>#REF!</v>
      </c>
      <c r="G71" s="194" t="e">
        <v>#REF!</v>
      </c>
    </row>
    <row r="72" spans="4:7">
      <c r="D72" s="232">
        <f>D71+10%</f>
        <v>0.30000000000000004</v>
      </c>
      <c r="E72" s="193" t="e">
        <v>#REF!</v>
      </c>
      <c r="F72" s="193" t="e">
        <v>#REF!</v>
      </c>
      <c r="G72" s="194" t="e">
        <v>#REF!</v>
      </c>
    </row>
    <row r="73" spans="4:7">
      <c r="D73" s="232">
        <f>D72+10%</f>
        <v>0.4</v>
      </c>
      <c r="E73" s="193" t="e">
        <v>#REF!</v>
      </c>
      <c r="F73" s="193" t="e">
        <v>#REF!</v>
      </c>
      <c r="G73" s="194" t="e">
        <v>#REF!</v>
      </c>
    </row>
    <row r="74" spans="4:7">
      <c r="D74" s="232">
        <f>D73+10%</f>
        <v>0.5</v>
      </c>
      <c r="E74" s="193" t="e">
        <v>#REF!</v>
      </c>
      <c r="F74" s="193" t="e">
        <v>#REF!</v>
      </c>
      <c r="G74" s="194" t="e">
        <v>#REF!</v>
      </c>
    </row>
    <row r="75" spans="4:7">
      <c r="D75" s="232">
        <v>0.6</v>
      </c>
      <c r="E75" s="193" t="e">
        <v>#REF!</v>
      </c>
      <c r="F75" s="193" t="e">
        <v>#REF!</v>
      </c>
      <c r="G75" s="194" t="e">
        <v>#REF!</v>
      </c>
    </row>
    <row r="76" spans="4:7">
      <c r="D76" s="232">
        <f>D75+10%</f>
        <v>0.7</v>
      </c>
      <c r="E76" s="193" t="e">
        <v>#REF!</v>
      </c>
      <c r="F76" s="193" t="e">
        <v>#REF!</v>
      </c>
      <c r="G76" s="194" t="e">
        <v>#REF!</v>
      </c>
    </row>
    <row r="77" spans="4:7">
      <c r="D77" s="232">
        <f>D76+10%</f>
        <v>0.79999999999999993</v>
      </c>
      <c r="E77" s="193" t="e">
        <v>#REF!</v>
      </c>
      <c r="F77" s="193" t="e">
        <v>#REF!</v>
      </c>
      <c r="G77" s="194" t="e">
        <v>#REF!</v>
      </c>
    </row>
    <row r="78" spans="4:7">
      <c r="D78" s="232">
        <f>D77+10%</f>
        <v>0.89999999999999991</v>
      </c>
      <c r="E78" s="193" t="e">
        <v>#REF!</v>
      </c>
      <c r="F78" s="193" t="e">
        <v>#REF!</v>
      </c>
      <c r="G78" s="194" t="e">
        <v>#REF!</v>
      </c>
    </row>
    <row r="79" spans="4:7" ht="13.5" thickBot="1">
      <c r="D79" s="233">
        <v>0.99</v>
      </c>
      <c r="E79" s="195" t="e">
        <v>#REF!</v>
      </c>
      <c r="F79" s="195" t="e">
        <v>#REF!</v>
      </c>
      <c r="G79" s="196" t="e">
        <v>#REF!</v>
      </c>
    </row>
  </sheetData>
  <mergeCells count="1">
    <mergeCell ref="F4:H4"/>
  </mergeCells>
  <phoneticPr fontId="0" type="noConversion"/>
  <pageMargins left="0.17" right="0.17" top="0.8" bottom="0.77" header="0.5" footer="0.5"/>
  <pageSetup scale="79" fitToHeight="2" orientation="landscape" r:id="rId1"/>
  <headerFooter alignWithMargins="0">
    <oddFooter>&amp;R&amp;F
&amp;A
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G94"/>
  <sheetViews>
    <sheetView showGridLines="0" zoomScale="75" zoomScaleNormal="100" workbookViewId="0">
      <selection activeCell="O87" sqref="O87"/>
    </sheetView>
  </sheetViews>
  <sheetFormatPr defaultRowHeight="12.75" outlineLevelRow="1"/>
  <cols>
    <col min="1" max="1" width="36.5703125" customWidth="1"/>
    <col min="2" max="2" width="14.85546875" bestFit="1" customWidth="1"/>
    <col min="3" max="3" width="13.7109375" customWidth="1"/>
    <col min="4" max="5" width="11" customWidth="1"/>
    <col min="6" max="6" width="13.85546875" bestFit="1" customWidth="1"/>
    <col min="7" max="7" width="14.140625" style="35" customWidth="1"/>
    <col min="8" max="8" width="11.28515625" customWidth="1"/>
    <col min="9" max="10" width="12.28515625" customWidth="1"/>
    <col min="11" max="11" width="14.28515625" customWidth="1"/>
    <col min="12" max="12" width="12.85546875" bestFit="1" customWidth="1"/>
    <col min="13" max="13" width="15" bestFit="1" customWidth="1"/>
    <col min="14" max="14" width="12.85546875" bestFit="1" customWidth="1"/>
    <col min="15" max="15" width="12.28515625" customWidth="1"/>
    <col min="16" max="16" width="12.85546875" bestFit="1" customWidth="1"/>
    <col min="17" max="17" width="12.28515625" customWidth="1"/>
    <col min="18" max="18" width="12.85546875" bestFit="1" customWidth="1"/>
    <col min="19" max="19" width="12.28515625" customWidth="1"/>
    <col min="20" max="20" width="11.28515625" bestFit="1" customWidth="1"/>
  </cols>
  <sheetData>
    <row r="1" spans="1:33" ht="21" thickBot="1">
      <c r="A1" s="845" t="str">
        <f>"Project "&amp;Assumptions!D7</f>
        <v>Project Wolverine</v>
      </c>
      <c r="B1" s="128"/>
      <c r="C1" s="129"/>
    </row>
    <row r="2" spans="1:33" ht="16.5" thickBot="1">
      <c r="A2" s="999" t="s">
        <v>428</v>
      </c>
      <c r="B2" s="1000"/>
      <c r="C2" s="1001"/>
      <c r="F2" s="127" t="s">
        <v>136</v>
      </c>
      <c r="G2" s="138"/>
      <c r="H2" s="128"/>
      <c r="I2" s="128"/>
      <c r="J2" s="128"/>
      <c r="K2" s="129"/>
    </row>
    <row r="3" spans="1:33">
      <c r="A3" s="36"/>
      <c r="B3" s="71"/>
      <c r="C3" s="71"/>
      <c r="F3" s="130" t="str">
        <f>IF(K87="","", "Warning: Check the Consolidated Purchase Price and the separate Asset Purchase Price")</f>
        <v/>
      </c>
      <c r="H3" s="35"/>
      <c r="I3" s="35"/>
      <c r="J3" s="35"/>
      <c r="K3" s="131"/>
    </row>
    <row r="4" spans="1:33" ht="13.5" thickBot="1">
      <c r="A4" s="37"/>
      <c r="F4" s="159" t="e">
        <f>IF(CLoop&lt;&gt;0,"Run Macro","")</f>
        <v>#REF!</v>
      </c>
      <c r="G4" s="139"/>
      <c r="H4" s="140"/>
      <c r="I4" s="141"/>
      <c r="J4" s="134"/>
      <c r="K4" s="135"/>
    </row>
    <row r="5" spans="1:33">
      <c r="A5" s="37"/>
      <c r="F5" s="142"/>
      <c r="G5" s="76"/>
      <c r="H5" s="142"/>
      <c r="I5" s="45"/>
      <c r="J5" s="35"/>
      <c r="K5" s="35"/>
    </row>
    <row r="6" spans="1:33" ht="15.75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</row>
    <row r="7" spans="1:33" ht="15.75">
      <c r="A7" s="568"/>
      <c r="B7" s="788"/>
      <c r="C7" s="769"/>
      <c r="D7" s="789"/>
      <c r="E7" s="560"/>
      <c r="F7" s="560"/>
      <c r="G7" s="386"/>
      <c r="H7" s="372" t="s">
        <v>263</v>
      </c>
      <c r="I7" s="391"/>
      <c r="J7" s="386"/>
      <c r="K7" s="386"/>
      <c r="L7" s="304"/>
      <c r="M7" s="386"/>
      <c r="N7" s="304"/>
      <c r="O7" s="304"/>
      <c r="P7" s="304"/>
      <c r="Q7" s="304"/>
      <c r="R7" s="355"/>
    </row>
    <row r="8" spans="1:33" ht="15.75">
      <c r="A8" s="568"/>
      <c r="B8" s="788"/>
      <c r="C8" s="769"/>
      <c r="D8" s="789"/>
      <c r="E8" s="316">
        <v>1998</v>
      </c>
      <c r="F8" s="316">
        <v>1999</v>
      </c>
      <c r="G8" s="316">
        <v>2000</v>
      </c>
      <c r="H8" s="316">
        <v>2001</v>
      </c>
      <c r="I8" s="352">
        <v>2002</v>
      </c>
      <c r="J8" s="352">
        <v>2003</v>
      </c>
      <c r="K8" s="352">
        <v>2004</v>
      </c>
      <c r="L8" s="352">
        <v>2005</v>
      </c>
      <c r="M8" s="352">
        <v>2006</v>
      </c>
      <c r="N8" s="356">
        <v>2007</v>
      </c>
      <c r="O8" s="356">
        <v>2008</v>
      </c>
      <c r="P8" s="356">
        <v>2009</v>
      </c>
      <c r="Q8" s="356">
        <v>2010</v>
      </c>
      <c r="R8" s="537">
        <v>2011</v>
      </c>
    </row>
    <row r="9" spans="1:33" ht="15.75">
      <c r="A9" s="568"/>
      <c r="B9" s="788"/>
      <c r="C9" s="769"/>
      <c r="D9" s="789"/>
      <c r="E9" s="24"/>
      <c r="F9" s="24"/>
      <c r="G9" s="411" t="s">
        <v>273</v>
      </c>
      <c r="H9" s="316">
        <v>1</v>
      </c>
      <c r="I9" s="352">
        <v>2</v>
      </c>
      <c r="J9" s="352">
        <v>3</v>
      </c>
      <c r="K9" s="352">
        <v>4</v>
      </c>
      <c r="L9" s="352">
        <v>5</v>
      </c>
      <c r="M9" s="352">
        <v>6</v>
      </c>
      <c r="N9" s="352">
        <v>7</v>
      </c>
      <c r="O9" s="352">
        <v>8</v>
      </c>
      <c r="P9" s="352">
        <v>9</v>
      </c>
      <c r="Q9" s="352">
        <v>10</v>
      </c>
      <c r="R9" s="452">
        <v>11</v>
      </c>
    </row>
    <row r="10" spans="1:33">
      <c r="A10" s="22" t="s">
        <v>14</v>
      </c>
      <c r="B10" s="40" t="s">
        <v>84</v>
      </c>
      <c r="E10" s="16"/>
      <c r="F10" s="250"/>
      <c r="G10" s="249"/>
      <c r="H10" s="16"/>
    </row>
    <row r="11" spans="1:33">
      <c r="A11" s="8" t="str">
        <f>'Pipeline Co DCF'!A2</f>
        <v>Panhandle Eastern</v>
      </c>
      <c r="B11" s="102">
        <f>Assumptions!C38</f>
        <v>1</v>
      </c>
      <c r="C11" s="50"/>
      <c r="E11" s="252">
        <f>'Pipeline Co DCF'!D11*$B$11</f>
        <v>496000</v>
      </c>
      <c r="F11" s="252">
        <f>'Pipeline Co DCF'!E11*$B$11</f>
        <v>471000</v>
      </c>
      <c r="G11" s="252">
        <f>'Pipeline Co DCF'!F11*$B$11</f>
        <v>483000</v>
      </c>
      <c r="H11" s="252">
        <f>'Pipeline Co DCF'!G11*$B$11</f>
        <v>540000</v>
      </c>
      <c r="I11" s="105">
        <f>'Pipeline Co DCF'!H11*$B$11</f>
        <v>546740</v>
      </c>
      <c r="J11" s="105">
        <f>'Pipeline Co DCF'!I11*$B$11</f>
        <v>553577.79999999993</v>
      </c>
      <c r="K11" s="105">
        <f>'Pipeline Co DCF'!J11*$B$11</f>
        <v>560515.09400000004</v>
      </c>
      <c r="L11" s="105">
        <f>'Pipeline Co DCF'!K11*$B$11</f>
        <v>567553.61050000007</v>
      </c>
      <c r="M11" s="105">
        <f>'Pipeline Co DCF'!L11*$B$11</f>
        <v>574695.11329339992</v>
      </c>
      <c r="N11" s="105">
        <f>'Pipeline Co DCF'!M11*$B$11</f>
        <v>581941.40228021797</v>
      </c>
      <c r="O11" s="105">
        <f>'Pipeline Co DCF'!N11*$B$11</f>
        <v>589294.31430064933</v>
      </c>
      <c r="P11" s="105">
        <f>'Pipeline Co DCF'!O11*$B$11</f>
        <v>596755.7239895052</v>
      </c>
      <c r="Q11" s="105">
        <f>'Pipeline Co DCF'!P11*$B$11</f>
        <v>604327.54465208203</v>
      </c>
      <c r="R11" s="105">
        <f>'Pipeline Co DCF'!Q11*$B$11</f>
        <v>612011.72916203109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>
      <c r="A12" s="8" t="str">
        <f>Assumptions!B41</f>
        <v>Consumers Energy</v>
      </c>
      <c r="B12" s="102">
        <f>Assumptions!C41</f>
        <v>1</v>
      </c>
      <c r="C12" s="50"/>
      <c r="E12" s="252">
        <f>'Consumers DCF'!D11*$B$12</f>
        <v>3657</v>
      </c>
      <c r="F12" s="252">
        <f>'Consumers DCF'!E11*$B$12</f>
        <v>3823</v>
      </c>
      <c r="G12" s="252">
        <f>'Consumers DCF'!F11*$B$12</f>
        <v>3872</v>
      </c>
      <c r="H12" s="252">
        <f>'Consumers DCF'!G11*$B$12</f>
        <v>4136</v>
      </c>
      <c r="I12" s="105">
        <f>'Consumers DCF'!H11*$B$12</f>
        <v>4192.9400000000005</v>
      </c>
      <c r="J12" s="105">
        <f>'Consumers DCF'!I11*$B$12</f>
        <v>4250.7610000000004</v>
      </c>
      <c r="K12" s="105">
        <f>'Consumers DCF'!J11*$B$12</f>
        <v>4309.4780420000006</v>
      </c>
      <c r="L12" s="105">
        <f>'Consumers DCF'!K11*$B$12</f>
        <v>4369.1064430600009</v>
      </c>
      <c r="M12" s="105">
        <f>'Consumers DCF'!L11*$B$12</f>
        <v>4429.6618005434011</v>
      </c>
      <c r="N12" s="105">
        <f>'Consumers DCF'!M11*$B$12</f>
        <v>4491.1599974626906</v>
      </c>
      <c r="O12" s="105">
        <f>'Consumers DCF'!N11*$B$12</f>
        <v>4553.6172079294511</v>
      </c>
      <c r="P12" s="105">
        <f>'Consumers DCF'!O11*$B$12</f>
        <v>4617.0499027107207</v>
      </c>
      <c r="Q12" s="105">
        <f>'Consumers DCF'!P11*$B$12</f>
        <v>4681.4748548938442</v>
      </c>
      <c r="R12" s="105">
        <f>'Consumers DCF'!Q11*$B$12</f>
        <v>4746.9091456619171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>
      <c r="A13" s="8" t="str">
        <f>Assumptions!B44</f>
        <v>Other</v>
      </c>
      <c r="B13" s="102">
        <f>Assumptions!C44</f>
        <v>1</v>
      </c>
      <c r="C13" s="50"/>
      <c r="E13" s="252">
        <f>'Corp DCF'!D11*$B$13</f>
        <v>1324</v>
      </c>
      <c r="F13" s="252">
        <f>'Corp DCF'!E11*$B$13</f>
        <v>1495</v>
      </c>
      <c r="G13" s="252">
        <f>'Corp DCF'!F11*$B$13</f>
        <v>4220</v>
      </c>
      <c r="H13" s="252">
        <f>'Corp DCF'!G11*$B$13</f>
        <v>11660</v>
      </c>
      <c r="I13" s="105">
        <f>'Corp DCF'!H11*$B$13</f>
        <v>14392.6</v>
      </c>
      <c r="J13" s="105">
        <f>'Corp DCF'!I11*$B$13</f>
        <v>17804.687600000001</v>
      </c>
      <c r="K13" s="105">
        <f>'Corp DCF'!J11*$B$13</f>
        <v>20368.24036</v>
      </c>
      <c r="L13" s="105">
        <f>'Corp DCF'!K11*$B$13</f>
        <v>23314.18137884</v>
      </c>
      <c r="M13" s="105">
        <f>'Corp DCF'!L11*$B$13</f>
        <v>24454.464065890003</v>
      </c>
      <c r="N13" s="105">
        <f>'Corp DCF'!M11*$B$13</f>
        <v>25651.279901189038</v>
      </c>
      <c r="O13" s="105">
        <f>'Corp DCF'!N11*$B$13</f>
        <v>24431.939206498941</v>
      </c>
      <c r="P13" s="105">
        <f>'Corp DCF'!O11*$B$13</f>
        <v>23274.905143928125</v>
      </c>
      <c r="Q13" s="105">
        <f>'Corp DCF'!P11*$B$13</f>
        <v>19942.949313685553</v>
      </c>
      <c r="R13" s="105">
        <f>'Corp DCF'!Q11*$B$13</f>
        <v>17114.115715522494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>
      <c r="A14" s="787" t="s">
        <v>361</v>
      </c>
      <c r="B14" s="34"/>
      <c r="C14" s="34"/>
      <c r="D14" s="34"/>
      <c r="E14" s="792">
        <f t="shared" ref="E14:R14" si="0">SUM(E11:E13)</f>
        <v>500981</v>
      </c>
      <c r="F14" s="792">
        <f t="shared" si="0"/>
        <v>476318</v>
      </c>
      <c r="G14" s="792">
        <f t="shared" si="0"/>
        <v>491092</v>
      </c>
      <c r="H14" s="792">
        <f t="shared" si="0"/>
        <v>555796</v>
      </c>
      <c r="I14" s="793">
        <f t="shared" si="0"/>
        <v>565325.53999999992</v>
      </c>
      <c r="J14" s="793">
        <f t="shared" si="0"/>
        <v>575633.24859999993</v>
      </c>
      <c r="K14" s="793">
        <f t="shared" si="0"/>
        <v>585192.81240200007</v>
      </c>
      <c r="L14" s="793">
        <f t="shared" si="0"/>
        <v>595236.89832190005</v>
      </c>
      <c r="M14" s="793">
        <f t="shared" si="0"/>
        <v>603579.23915983341</v>
      </c>
      <c r="N14" s="793">
        <f t="shared" si="0"/>
        <v>612083.84217886964</v>
      </c>
      <c r="O14" s="793">
        <f t="shared" si="0"/>
        <v>618279.87071507773</v>
      </c>
      <c r="P14" s="793">
        <f t="shared" si="0"/>
        <v>624647.67903614405</v>
      </c>
      <c r="Q14" s="793">
        <f t="shared" si="0"/>
        <v>628951.96882066142</v>
      </c>
      <c r="R14" s="793">
        <f t="shared" si="0"/>
        <v>633872.7540232155</v>
      </c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>
      <c r="E15" s="249"/>
      <c r="F15" s="253"/>
      <c r="G15" s="261"/>
      <c r="H15" s="776"/>
      <c r="I15" s="100"/>
      <c r="J15" s="38"/>
      <c r="K15" s="38"/>
      <c r="L15" s="38"/>
      <c r="M15" s="38"/>
      <c r="N15" s="38"/>
      <c r="O15" s="38"/>
      <c r="P15" s="38"/>
      <c r="Q15" s="38"/>
      <c r="R15" s="38"/>
    </row>
    <row r="16" spans="1:33">
      <c r="A16" s="22" t="s">
        <v>15</v>
      </c>
      <c r="B16" s="40" t="s">
        <v>84</v>
      </c>
      <c r="E16" s="249"/>
      <c r="F16" s="254"/>
      <c r="G16" s="254"/>
      <c r="H16" s="21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>
      <c r="A17" s="8" t="str">
        <f t="shared" ref="A17:B19" si="1">A11</f>
        <v>Panhandle Eastern</v>
      </c>
      <c r="B17" s="102">
        <f t="shared" si="1"/>
        <v>1</v>
      </c>
      <c r="E17" s="254">
        <f>'Pipeline Co DCF'!D13*'Unlev. Consolid'!$B$17</f>
        <v>213000</v>
      </c>
      <c r="F17" s="254">
        <f>'Pipeline Co DCF'!E13*'Unlev. Consolid'!$B$17</f>
        <v>191000</v>
      </c>
      <c r="G17" s="254">
        <f>'Pipeline Co DCF'!F13*'Unlev. Consolid'!$B$17</f>
        <v>211000</v>
      </c>
      <c r="H17" s="254">
        <f>'Pipeline Co DCF'!G13*'Unlev. Consolid'!$B$17</f>
        <v>210000</v>
      </c>
      <c r="I17" s="61">
        <f>'Pipeline Co DCF'!H13*'Unlev. Consolid'!$B$17</f>
        <v>215249.99999999997</v>
      </c>
      <c r="J17" s="61">
        <f>'Pipeline Co DCF'!I13*'Unlev. Consolid'!$B$17</f>
        <v>220631.24999999994</v>
      </c>
      <c r="K17" s="61">
        <f>'Pipeline Co DCF'!J13*'Unlev. Consolid'!$B$17</f>
        <v>226147.03124999991</v>
      </c>
      <c r="L17" s="61">
        <f>'Pipeline Co DCF'!K13*'Unlev. Consolid'!$B$17</f>
        <v>231800.70703124988</v>
      </c>
      <c r="M17" s="61">
        <f>'Pipeline Co DCF'!L13*'Unlev. Consolid'!$B$17</f>
        <v>237595.7247070311</v>
      </c>
      <c r="N17" s="61">
        <f>'Pipeline Co DCF'!M13*'Unlev. Consolid'!$B$17</f>
        <v>243535.61782470686</v>
      </c>
      <c r="O17" s="61">
        <f>'Pipeline Co DCF'!N13*'Unlev. Consolid'!$B$17</f>
        <v>249624.0082703245</v>
      </c>
      <c r="P17" s="61">
        <f>'Pipeline Co DCF'!O13*'Unlev. Consolid'!$B$17</f>
        <v>255864.6084770826</v>
      </c>
      <c r="Q17" s="61">
        <f>'Pipeline Co DCF'!P13*'Unlev. Consolid'!$B$17</f>
        <v>262261.22368900967</v>
      </c>
      <c r="R17" s="61">
        <f>'Pipeline Co DCF'!Q13*'Unlev. Consolid'!$B$17</f>
        <v>268817.75428123487</v>
      </c>
    </row>
    <row r="18" spans="1:18">
      <c r="A18" s="8" t="str">
        <f t="shared" si="1"/>
        <v>Consumers Energy</v>
      </c>
      <c r="B18" s="102">
        <f t="shared" si="1"/>
        <v>1</v>
      </c>
      <c r="E18" s="254">
        <f>'Consumers DCF'!D13*$B$18</f>
        <v>359</v>
      </c>
      <c r="F18" s="254">
        <f>'Consumers DCF'!E13*$B$18</f>
        <v>406</v>
      </c>
      <c r="G18" s="254">
        <f>'Consumers DCF'!F13*$B$18</f>
        <v>408</v>
      </c>
      <c r="H18" s="254">
        <f>'Consumers DCF'!G13*$B$18</f>
        <v>342</v>
      </c>
      <c r="I18" s="61">
        <f>'Consumers DCF'!H13*$B$18</f>
        <v>345.42</v>
      </c>
      <c r="J18" s="61">
        <f>'Consumers DCF'!I13*$B$18</f>
        <v>348.87420000000003</v>
      </c>
      <c r="K18" s="61">
        <f>'Consumers DCF'!J13*$B$18</f>
        <v>352.36294200000003</v>
      </c>
      <c r="L18" s="61">
        <f>'Consumers DCF'!K13*$B$18</f>
        <v>355.88657142000005</v>
      </c>
      <c r="M18" s="61">
        <f>'Consumers DCF'!L13*$B$18</f>
        <v>359.44543713420006</v>
      </c>
      <c r="N18" s="61">
        <f>'Consumers DCF'!M13*$B$18</f>
        <v>363.03989150554207</v>
      </c>
      <c r="O18" s="61">
        <f>'Consumers DCF'!N13*$B$18</f>
        <v>366.6702904205975</v>
      </c>
      <c r="P18" s="61">
        <f>'Consumers DCF'!O13*$B$18</f>
        <v>370.33699332480347</v>
      </c>
      <c r="Q18" s="61">
        <f>'Consumers DCF'!P13*$B$18</f>
        <v>374.04036325805151</v>
      </c>
      <c r="R18" s="61">
        <f>'Consumers DCF'!Q13*$B$18</f>
        <v>377.78076689063204</v>
      </c>
    </row>
    <row r="19" spans="1:18" s="35" customFormat="1">
      <c r="A19" s="56" t="str">
        <f t="shared" si="1"/>
        <v>Other</v>
      </c>
      <c r="B19" s="260">
        <f t="shared" si="1"/>
        <v>1</v>
      </c>
      <c r="E19" s="254">
        <f>'Corp DCF'!D13*$B$19</f>
        <v>1785</v>
      </c>
      <c r="F19" s="254">
        <f>'Corp DCF'!E13*$B$19</f>
        <v>1769</v>
      </c>
      <c r="G19" s="254">
        <f>'Corp DCF'!F13*$B$19</f>
        <v>4275</v>
      </c>
      <c r="H19" s="254">
        <f>'Corp DCF'!G13*$B$19</f>
        <v>11282</v>
      </c>
      <c r="I19" s="61">
        <f>'Corp DCF'!H13*$B$19</f>
        <v>13877.619999999999</v>
      </c>
      <c r="J19" s="61">
        <f>'Corp DCF'!I13*$B$19</f>
        <v>17116.521000000001</v>
      </c>
      <c r="K19" s="61">
        <f>'Corp DCF'!J13*$B$19</f>
        <v>19552.814478</v>
      </c>
      <c r="L19" s="61">
        <f>'Corp DCF'!K13*$B$19</f>
        <v>22351.276467299998</v>
      </c>
      <c r="M19" s="61">
        <f>'Corp DCF'!L13*$B$19</f>
        <v>23441.468273628197</v>
      </c>
      <c r="N19" s="61">
        <f>'Corp DCF'!M13*$B$19</f>
        <v>24585.506977829929</v>
      </c>
      <c r="O19" s="61">
        <f>'Corp DCF'!N13*$B$19</f>
        <v>23443.609719246317</v>
      </c>
      <c r="P19" s="61">
        <f>'Corp DCF'!O13*$B$19</f>
        <v>22361.043969218703</v>
      </c>
      <c r="Q19" s="61">
        <f>'Corp DCF'!P13*$B$19</f>
        <v>19220.833766784526</v>
      </c>
      <c r="R19" s="61">
        <f>'Corp DCF'!Q13*$B$19</f>
        <v>16557.101477881457</v>
      </c>
    </row>
    <row r="20" spans="1:18">
      <c r="A20" s="787" t="s">
        <v>412</v>
      </c>
      <c r="B20" s="34"/>
      <c r="C20" s="34"/>
      <c r="D20" s="34"/>
      <c r="E20" s="792">
        <f t="shared" ref="E20:R20" si="2">SUM(E17:E19)</f>
        <v>215144</v>
      </c>
      <c r="F20" s="792">
        <f t="shared" si="2"/>
        <v>193175</v>
      </c>
      <c r="G20" s="792">
        <f t="shared" si="2"/>
        <v>215683</v>
      </c>
      <c r="H20" s="792">
        <f t="shared" si="2"/>
        <v>221624</v>
      </c>
      <c r="I20" s="793">
        <f t="shared" si="2"/>
        <v>229473.03999999998</v>
      </c>
      <c r="J20" s="793">
        <f t="shared" si="2"/>
        <v>238096.64519999994</v>
      </c>
      <c r="K20" s="793">
        <f t="shared" si="2"/>
        <v>246052.20866999991</v>
      </c>
      <c r="L20" s="793">
        <f t="shared" si="2"/>
        <v>254507.87006996988</v>
      </c>
      <c r="M20" s="793">
        <f t="shared" si="2"/>
        <v>261396.6384177935</v>
      </c>
      <c r="N20" s="793">
        <f t="shared" si="2"/>
        <v>268484.16469404235</v>
      </c>
      <c r="O20" s="793">
        <f t="shared" si="2"/>
        <v>273434.28827999142</v>
      </c>
      <c r="P20" s="793">
        <f t="shared" si="2"/>
        <v>278595.98943962611</v>
      </c>
      <c r="Q20" s="793">
        <f t="shared" si="2"/>
        <v>281856.09781905223</v>
      </c>
      <c r="R20" s="793">
        <f t="shared" si="2"/>
        <v>285752.63652600697</v>
      </c>
    </row>
    <row r="21" spans="1:18">
      <c r="A21" s="56"/>
      <c r="B21" s="35"/>
      <c r="C21" s="35"/>
      <c r="D21" s="35"/>
      <c r="E21" s="249"/>
      <c r="F21" s="253"/>
      <c r="G21" s="253"/>
      <c r="H21" s="253"/>
      <c r="I21" s="99"/>
      <c r="J21" s="61"/>
      <c r="K21" s="61"/>
      <c r="L21" s="61"/>
      <c r="M21" s="61"/>
      <c r="N21" s="61"/>
      <c r="O21" s="61"/>
      <c r="P21" s="61"/>
      <c r="Q21" s="61"/>
      <c r="R21" s="61"/>
    </row>
    <row r="22" spans="1:18">
      <c r="A22" s="7" t="s">
        <v>70</v>
      </c>
      <c r="B22" s="7"/>
      <c r="C22" s="7"/>
      <c r="D22" s="90"/>
      <c r="E22" s="255">
        <f t="shared" ref="E22:R22" si="3">E14/E20</f>
        <v>2.3285845759119472</v>
      </c>
      <c r="F22" s="255">
        <f t="shared" si="3"/>
        <v>2.4657331435227126</v>
      </c>
      <c r="G22" s="255">
        <f t="shared" si="3"/>
        <v>2.2769156586286354</v>
      </c>
      <c r="H22" s="91">
        <f t="shared" si="3"/>
        <v>2.5078330866693137</v>
      </c>
      <c r="I22" s="92">
        <f t="shared" si="3"/>
        <v>2.463581517027011</v>
      </c>
      <c r="J22" s="92">
        <f t="shared" si="3"/>
        <v>2.4176453562227684</v>
      </c>
      <c r="K22" s="92">
        <f t="shared" si="3"/>
        <v>2.3783278173570408</v>
      </c>
      <c r="L22" s="92">
        <f t="shared" si="3"/>
        <v>2.3387759999651725</v>
      </c>
      <c r="M22" s="92">
        <f t="shared" si="3"/>
        <v>2.3090550927251221</v>
      </c>
      <c r="N22" s="92">
        <f t="shared" si="3"/>
        <v>2.2797763245232159</v>
      </c>
      <c r="O22" s="92">
        <f t="shared" si="3"/>
        <v>2.2611643719019288</v>
      </c>
      <c r="P22" s="92">
        <f t="shared" si="3"/>
        <v>2.2421273195374192</v>
      </c>
      <c r="Q22" s="92">
        <f t="shared" si="3"/>
        <v>2.2314648279294635</v>
      </c>
      <c r="R22" s="92">
        <f t="shared" si="3"/>
        <v>2.2182568872484412</v>
      </c>
    </row>
    <row r="23" spans="1:18">
      <c r="A23" s="633" t="s">
        <v>1</v>
      </c>
      <c r="B23" s="34"/>
      <c r="C23" s="34"/>
      <c r="D23" s="34"/>
      <c r="E23" s="792">
        <f t="shared" ref="E23:R23" si="4">E14-E20</f>
        <v>285837</v>
      </c>
      <c r="F23" s="792">
        <f t="shared" si="4"/>
        <v>283143</v>
      </c>
      <c r="G23" s="792">
        <f t="shared" si="4"/>
        <v>275409</v>
      </c>
      <c r="H23" s="792">
        <f t="shared" si="4"/>
        <v>334172</v>
      </c>
      <c r="I23" s="793">
        <f t="shared" si="4"/>
        <v>335852.49999999994</v>
      </c>
      <c r="J23" s="793">
        <f t="shared" si="4"/>
        <v>337536.60340000002</v>
      </c>
      <c r="K23" s="793">
        <f t="shared" si="4"/>
        <v>339140.60373200016</v>
      </c>
      <c r="L23" s="793">
        <f t="shared" si="4"/>
        <v>340729.02825193014</v>
      </c>
      <c r="M23" s="793">
        <f t="shared" si="4"/>
        <v>342182.60074203991</v>
      </c>
      <c r="N23" s="793">
        <f t="shared" si="4"/>
        <v>343599.67748482729</v>
      </c>
      <c r="O23" s="793">
        <f t="shared" si="4"/>
        <v>344845.58243508631</v>
      </c>
      <c r="P23" s="793">
        <f t="shared" si="4"/>
        <v>346051.68959651794</v>
      </c>
      <c r="Q23" s="793">
        <f t="shared" si="4"/>
        <v>347095.87100160919</v>
      </c>
      <c r="R23" s="794">
        <f t="shared" si="4"/>
        <v>348120.11749720853</v>
      </c>
    </row>
    <row r="24" spans="1:18">
      <c r="E24" s="249"/>
      <c r="F24" s="256"/>
      <c r="G24" s="256"/>
      <c r="H24" s="777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1:18">
      <c r="A25" t="s">
        <v>368</v>
      </c>
      <c r="B25" s="40" t="s">
        <v>84</v>
      </c>
      <c r="E25" s="254"/>
      <c r="F25" s="254"/>
      <c r="G25" s="254"/>
      <c r="H25" s="254"/>
      <c r="I25" s="61"/>
      <c r="J25" s="61"/>
      <c r="K25" s="61"/>
      <c r="L25" s="61"/>
      <c r="M25" s="61"/>
      <c r="N25" s="61"/>
      <c r="O25" s="61"/>
      <c r="P25" s="61"/>
      <c r="Q25" s="61"/>
      <c r="R25" s="61"/>
    </row>
    <row r="26" spans="1:18">
      <c r="A26" s="8" t="str">
        <f t="shared" ref="A26:B28" si="5">A17</f>
        <v>Panhandle Eastern</v>
      </c>
      <c r="B26" s="102">
        <f t="shared" si="5"/>
        <v>1</v>
      </c>
      <c r="E26" s="254" t="e">
        <f>'Pipeline Co DCF'!#REF!*$B$26</f>
        <v>#REF!</v>
      </c>
      <c r="F26" s="254" t="e">
        <f>'Pipeline Co DCF'!#REF!*$B$26</f>
        <v>#REF!</v>
      </c>
      <c r="G26" s="254" t="e">
        <f>'Pipeline Co DCF'!#REF!*$B$26</f>
        <v>#REF!</v>
      </c>
      <c r="H26" s="254" t="e">
        <f>'Pipeline Co DCF'!#REF!*$B$26</f>
        <v>#REF!</v>
      </c>
      <c r="I26" s="61" t="e">
        <f>'Pipeline Co DCF'!#REF!*$B$26</f>
        <v>#REF!</v>
      </c>
      <c r="J26" s="61" t="e">
        <f>'Pipeline Co DCF'!#REF!*$B$26</f>
        <v>#REF!</v>
      </c>
      <c r="K26" s="61" t="e">
        <f>'Pipeline Co DCF'!#REF!*$B$26</f>
        <v>#REF!</v>
      </c>
      <c r="L26" s="61" t="e">
        <f>'Pipeline Co DCF'!#REF!*$B$26</f>
        <v>#REF!</v>
      </c>
      <c r="M26" s="61" t="e">
        <f>'Pipeline Co DCF'!#REF!*$B$26</f>
        <v>#REF!</v>
      </c>
      <c r="N26" s="61" t="e">
        <f>'Pipeline Co DCF'!#REF!*$B$26</f>
        <v>#REF!</v>
      </c>
      <c r="O26" s="61" t="e">
        <f>'Pipeline Co DCF'!#REF!*$B$26</f>
        <v>#REF!</v>
      </c>
      <c r="P26" s="61" t="e">
        <f>'Pipeline Co DCF'!#REF!*$B$26</f>
        <v>#REF!</v>
      </c>
      <c r="Q26" s="61" t="e">
        <f>'Pipeline Co DCF'!#REF!*$B$26</f>
        <v>#REF!</v>
      </c>
      <c r="R26" s="61" t="e">
        <f>'Pipeline Co DCF'!#REF!*$B$26</f>
        <v>#REF!</v>
      </c>
    </row>
    <row r="27" spans="1:18">
      <c r="A27" s="8" t="str">
        <f t="shared" si="5"/>
        <v>Consumers Energy</v>
      </c>
      <c r="B27" s="102">
        <f t="shared" si="5"/>
        <v>1</v>
      </c>
      <c r="E27" s="254">
        <f>'Consumers DCF'!D19*'Unlev. Consolid'!$B$27</f>
        <v>-33</v>
      </c>
      <c r="F27" s="254">
        <f>'Consumers DCF'!E19*'Unlev. Consolid'!$B$27</f>
        <v>18</v>
      </c>
      <c r="G27" s="254">
        <f>'Consumers DCF'!F19*'Unlev. Consolid'!$B$27</f>
        <v>0</v>
      </c>
      <c r="H27" s="254">
        <f>'Consumers DCF'!G19*'Unlev. Consolid'!$B$27</f>
        <v>0</v>
      </c>
      <c r="I27" s="61">
        <f>'Consumers DCF'!H19*'Unlev. Consolid'!$B$27</f>
        <v>0</v>
      </c>
      <c r="J27" s="61">
        <f>'Consumers DCF'!I19*'Unlev. Consolid'!$B$27</f>
        <v>0</v>
      </c>
      <c r="K27" s="61">
        <f>'Consumers DCF'!J19*'Unlev. Consolid'!$B$27</f>
        <v>0</v>
      </c>
      <c r="L27" s="61">
        <f>'Consumers DCF'!K19*'Unlev. Consolid'!$B$27</f>
        <v>0</v>
      </c>
      <c r="M27" s="61">
        <f>'Consumers DCF'!L19*'Unlev. Consolid'!$B$27</f>
        <v>0</v>
      </c>
      <c r="N27" s="61">
        <f>'Consumers DCF'!M19*'Unlev. Consolid'!$B$27</f>
        <v>0</v>
      </c>
      <c r="O27" s="61">
        <f>'Consumers DCF'!N19*'Unlev. Consolid'!$B$27</f>
        <v>0</v>
      </c>
      <c r="P27" s="61">
        <f>'Consumers DCF'!O19*'Unlev. Consolid'!$B$27</f>
        <v>0</v>
      </c>
      <c r="Q27" s="61">
        <f>'Consumers DCF'!P19*'Unlev. Consolid'!$B$27</f>
        <v>0</v>
      </c>
      <c r="R27" s="61">
        <f>'Consumers DCF'!Q19*'Unlev. Consolid'!$B$27</f>
        <v>0</v>
      </c>
    </row>
    <row r="28" spans="1:18">
      <c r="A28" s="8" t="str">
        <f t="shared" si="5"/>
        <v>Other</v>
      </c>
      <c r="B28" s="102">
        <f t="shared" si="5"/>
        <v>1</v>
      </c>
      <c r="E28" s="254">
        <f>$B$28*'Corp DCF'!D19</f>
        <v>14</v>
      </c>
      <c r="F28" s="254">
        <f>$B$28*'Corp DCF'!E19</f>
        <v>25</v>
      </c>
      <c r="G28" s="254">
        <f>$B$28*'Corp DCF'!F19</f>
        <v>54</v>
      </c>
      <c r="H28" s="254">
        <f>$B$28*'Corp DCF'!G19</f>
        <v>8</v>
      </c>
      <c r="I28" s="61">
        <f>$B$28*'Corp DCF'!H19</f>
        <v>8.08</v>
      </c>
      <c r="J28" s="61">
        <f>$B$28*'Corp DCF'!I19</f>
        <v>8.1608000000000001</v>
      </c>
      <c r="K28" s="61">
        <f>$B$28*'Corp DCF'!J19</f>
        <v>8.2424079999999993</v>
      </c>
      <c r="L28" s="61">
        <f>$B$28*'Corp DCF'!K19</f>
        <v>8.3248320800000002</v>
      </c>
      <c r="M28" s="61">
        <f>$B$28*'Corp DCF'!L19</f>
        <v>8.4080804007999994</v>
      </c>
      <c r="N28" s="61">
        <f>$B$28*'Corp DCF'!M19</f>
        <v>8.4921612048079993</v>
      </c>
      <c r="O28" s="61">
        <f>$B$28*'Corp DCF'!N19</f>
        <v>8.5770828168560787</v>
      </c>
      <c r="P28" s="61">
        <f>$B$28*'Corp DCF'!O19</f>
        <v>8.6628536450246401</v>
      </c>
      <c r="Q28" s="61">
        <f>$B$28*'Corp DCF'!P19</f>
        <v>8.7494821814748871</v>
      </c>
      <c r="R28" s="61">
        <f>$B$28*'Corp DCF'!Q19</f>
        <v>8.8369770032896362</v>
      </c>
    </row>
    <row r="29" spans="1:18">
      <c r="A29" s="787" t="s">
        <v>413</v>
      </c>
      <c r="B29" s="34"/>
      <c r="C29" s="34"/>
      <c r="D29" s="34"/>
      <c r="E29" s="251" t="e">
        <f t="shared" ref="E29:R29" si="6">SUM(E26:E28)</f>
        <v>#REF!</v>
      </c>
      <c r="F29" s="251" t="e">
        <f t="shared" si="6"/>
        <v>#REF!</v>
      </c>
      <c r="G29" s="251" t="e">
        <f t="shared" si="6"/>
        <v>#REF!</v>
      </c>
      <c r="H29" s="251" t="e">
        <f t="shared" si="6"/>
        <v>#REF!</v>
      </c>
      <c r="I29" s="49" t="e">
        <f t="shared" si="6"/>
        <v>#REF!</v>
      </c>
      <c r="J29" s="49" t="e">
        <f t="shared" si="6"/>
        <v>#REF!</v>
      </c>
      <c r="K29" s="49" t="e">
        <f t="shared" si="6"/>
        <v>#REF!</v>
      </c>
      <c r="L29" s="49" t="e">
        <f t="shared" si="6"/>
        <v>#REF!</v>
      </c>
      <c r="M29" s="49" t="e">
        <f t="shared" si="6"/>
        <v>#REF!</v>
      </c>
      <c r="N29" s="49" t="e">
        <f t="shared" si="6"/>
        <v>#REF!</v>
      </c>
      <c r="O29" s="49" t="e">
        <f t="shared" si="6"/>
        <v>#REF!</v>
      </c>
      <c r="P29" s="49" t="e">
        <f t="shared" si="6"/>
        <v>#REF!</v>
      </c>
      <c r="Q29" s="49" t="e">
        <f t="shared" si="6"/>
        <v>#REF!</v>
      </c>
      <c r="R29" s="49" t="e">
        <f t="shared" si="6"/>
        <v>#REF!</v>
      </c>
    </row>
    <row r="30" spans="1:18">
      <c r="A30" s="39" t="s">
        <v>284</v>
      </c>
      <c r="B30" s="40" t="s">
        <v>84</v>
      </c>
      <c r="E30" s="16"/>
      <c r="F30" s="16"/>
      <c r="G30" s="16"/>
      <c r="H30" s="16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>
      <c r="A31" s="8" t="str">
        <f t="shared" ref="A31:B33" si="7">A26</f>
        <v>Panhandle Eastern</v>
      </c>
      <c r="B31" s="102">
        <f t="shared" si="7"/>
        <v>1</v>
      </c>
      <c r="E31" s="254" t="e">
        <f>'Pipeline Co DCF'!#REF!*$B$31</f>
        <v>#REF!</v>
      </c>
      <c r="F31" s="254" t="e">
        <f>'Pipeline Co DCF'!#REF!*$B$31</f>
        <v>#REF!</v>
      </c>
      <c r="G31" s="254" t="e">
        <f>'Pipeline Co DCF'!#REF!*$B$31</f>
        <v>#REF!</v>
      </c>
      <c r="H31" s="254" t="e">
        <f>'Pipeline Co DCF'!#REF!*$B$31</f>
        <v>#REF!</v>
      </c>
      <c r="I31" s="61" t="e">
        <f>'Pipeline Co DCF'!#REF!*$B$31</f>
        <v>#REF!</v>
      </c>
      <c r="J31" s="61" t="e">
        <f>'Pipeline Co DCF'!#REF!*$B$31</f>
        <v>#REF!</v>
      </c>
      <c r="K31" s="61" t="e">
        <f>'Pipeline Co DCF'!#REF!*$B$31</f>
        <v>#REF!</v>
      </c>
      <c r="L31" s="61" t="e">
        <f>'Pipeline Co DCF'!#REF!*$B$31</f>
        <v>#REF!</v>
      </c>
      <c r="M31" s="61" t="e">
        <f>'Pipeline Co DCF'!#REF!*$B$31</f>
        <v>#REF!</v>
      </c>
      <c r="N31" s="61" t="e">
        <f>'Pipeline Co DCF'!#REF!*$B$31</f>
        <v>#REF!</v>
      </c>
      <c r="O31" s="61" t="e">
        <f>'Pipeline Co DCF'!#REF!*$B$31</f>
        <v>#REF!</v>
      </c>
      <c r="P31" s="61" t="e">
        <f>'Pipeline Co DCF'!#REF!*$B$31</f>
        <v>#REF!</v>
      </c>
      <c r="Q31" s="61" t="e">
        <f>'Pipeline Co DCF'!#REF!*$B$31</f>
        <v>#REF!</v>
      </c>
      <c r="R31" s="61" t="e">
        <f>'Pipeline Co DCF'!#REF!*$B$31</f>
        <v>#REF!</v>
      </c>
    </row>
    <row r="32" spans="1:18">
      <c r="A32" s="8" t="str">
        <f t="shared" si="7"/>
        <v>Consumers Energy</v>
      </c>
      <c r="B32" s="102">
        <f t="shared" si="7"/>
        <v>1</v>
      </c>
      <c r="E32" s="254">
        <f>$B$32*'Consumers DCF'!D20</f>
        <v>0</v>
      </c>
      <c r="F32" s="254">
        <f>$B$32*'Consumers DCF'!E20</f>
        <v>0</v>
      </c>
      <c r="G32" s="254">
        <f>$B$32*'Consumers DCF'!F20</f>
        <v>0</v>
      </c>
      <c r="H32" s="254">
        <f>$B$32*'Consumers DCF'!G20</f>
        <v>0</v>
      </c>
      <c r="I32" s="61">
        <f>$B$32*'Consumers DCF'!H20</f>
        <v>0</v>
      </c>
      <c r="J32" s="61">
        <f>$B$32*'Consumers DCF'!I20</f>
        <v>0</v>
      </c>
      <c r="K32" s="61">
        <f>$B$32*'Consumers DCF'!J20</f>
        <v>0</v>
      </c>
      <c r="L32" s="61">
        <f>$B$32*'Consumers DCF'!K20</f>
        <v>0</v>
      </c>
      <c r="M32" s="61">
        <f>$B$32*'Consumers DCF'!L20</f>
        <v>0</v>
      </c>
      <c r="N32" s="61">
        <f>$B$32*'Consumers DCF'!M20</f>
        <v>0</v>
      </c>
      <c r="O32" s="61">
        <f>$B$32*'Consumers DCF'!N20</f>
        <v>0</v>
      </c>
      <c r="P32" s="61">
        <f>$B$32*'Consumers DCF'!O20</f>
        <v>0</v>
      </c>
      <c r="Q32" s="61">
        <f>$B$32*'Consumers DCF'!P20</f>
        <v>0</v>
      </c>
      <c r="R32" s="61">
        <f>$B$32*'Consumers DCF'!Q20</f>
        <v>0</v>
      </c>
    </row>
    <row r="33" spans="1:20">
      <c r="A33" s="8" t="str">
        <f t="shared" si="7"/>
        <v>Other</v>
      </c>
      <c r="B33" s="102">
        <f t="shared" si="7"/>
        <v>1</v>
      </c>
      <c r="E33" s="254">
        <f>$B$33*'Corp DCF'!D20</f>
        <v>0</v>
      </c>
      <c r="F33" s="254">
        <f>$B$33*'Corp DCF'!E20</f>
        <v>-84</v>
      </c>
      <c r="G33" s="254">
        <f>$B$33*'Corp DCF'!F20</f>
        <v>-329</v>
      </c>
      <c r="H33" s="254">
        <f>$B$33*'Corp DCF'!G20</f>
        <v>0</v>
      </c>
      <c r="I33" s="61">
        <f>$B$33*'Corp DCF'!H20</f>
        <v>0</v>
      </c>
      <c r="J33" s="61">
        <f>$B$33*'Corp DCF'!I20</f>
        <v>0</v>
      </c>
      <c r="K33" s="61">
        <f>$B$33*'Corp DCF'!J20</f>
        <v>0</v>
      </c>
      <c r="L33" s="61">
        <f>$B$33*'Corp DCF'!K20</f>
        <v>0</v>
      </c>
      <c r="M33" s="61">
        <f>$B$33*'Corp DCF'!L20</f>
        <v>0</v>
      </c>
      <c r="N33" s="61">
        <f>$B$33*'Corp DCF'!M20</f>
        <v>0</v>
      </c>
      <c r="O33" s="61">
        <f>$B$33*'Corp DCF'!N20</f>
        <v>0</v>
      </c>
      <c r="P33" s="61">
        <f>$B$33*'Corp DCF'!O20</f>
        <v>0</v>
      </c>
      <c r="Q33" s="61">
        <f>$B$33*'Corp DCF'!P20</f>
        <v>0</v>
      </c>
      <c r="R33" s="61">
        <f>$B$33*'Corp DCF'!Q20</f>
        <v>0</v>
      </c>
    </row>
    <row r="34" spans="1:20">
      <c r="A34" s="787" t="s">
        <v>0</v>
      </c>
      <c r="B34" s="34"/>
      <c r="C34" s="34"/>
      <c r="D34" s="34"/>
      <c r="E34" s="251" t="e">
        <f t="shared" ref="E34:R34" si="8">SUM(E31:E33)</f>
        <v>#REF!</v>
      </c>
      <c r="F34" s="251" t="e">
        <f t="shared" si="8"/>
        <v>#REF!</v>
      </c>
      <c r="G34" s="251" t="e">
        <f t="shared" si="8"/>
        <v>#REF!</v>
      </c>
      <c r="H34" s="251" t="e">
        <f t="shared" si="8"/>
        <v>#REF!</v>
      </c>
      <c r="I34" s="49" t="e">
        <f t="shared" si="8"/>
        <v>#REF!</v>
      </c>
      <c r="J34" s="49" t="e">
        <f t="shared" si="8"/>
        <v>#REF!</v>
      </c>
      <c r="K34" s="49" t="e">
        <f t="shared" si="8"/>
        <v>#REF!</v>
      </c>
      <c r="L34" s="49" t="e">
        <f t="shared" si="8"/>
        <v>#REF!</v>
      </c>
      <c r="M34" s="49" t="e">
        <f t="shared" si="8"/>
        <v>#REF!</v>
      </c>
      <c r="N34" s="49" t="e">
        <f t="shared" si="8"/>
        <v>#REF!</v>
      </c>
      <c r="O34" s="49" t="e">
        <f t="shared" si="8"/>
        <v>#REF!</v>
      </c>
      <c r="P34" s="49" t="e">
        <f t="shared" si="8"/>
        <v>#REF!</v>
      </c>
      <c r="Q34" s="49" t="e">
        <f t="shared" si="8"/>
        <v>#REF!</v>
      </c>
      <c r="R34" s="49" t="e">
        <f t="shared" si="8"/>
        <v>#REF!</v>
      </c>
    </row>
    <row r="35" spans="1:20">
      <c r="A35" s="6" t="s">
        <v>414</v>
      </c>
      <c r="B35" s="15"/>
      <c r="C35" s="15"/>
      <c r="E35" s="252">
        <f t="shared" ref="E35:R35" si="9">E56</f>
        <v>0</v>
      </c>
      <c r="F35" s="252">
        <f t="shared" si="9"/>
        <v>0</v>
      </c>
      <c r="G35" s="252">
        <f t="shared" si="9"/>
        <v>0</v>
      </c>
      <c r="H35" s="252" t="e">
        <f t="shared" si="9"/>
        <v>#REF!</v>
      </c>
      <c r="I35" s="105" t="e">
        <f t="shared" si="9"/>
        <v>#REF!</v>
      </c>
      <c r="J35" s="105" t="e">
        <f t="shared" si="9"/>
        <v>#REF!</v>
      </c>
      <c r="K35" s="105" t="e">
        <f t="shared" si="9"/>
        <v>#REF!</v>
      </c>
      <c r="L35" s="105" t="e">
        <f t="shared" si="9"/>
        <v>#REF!</v>
      </c>
      <c r="M35" s="105" t="e">
        <f t="shared" si="9"/>
        <v>#REF!</v>
      </c>
      <c r="N35" s="105" t="e">
        <f t="shared" si="9"/>
        <v>#REF!</v>
      </c>
      <c r="O35" s="105" t="e">
        <f t="shared" si="9"/>
        <v>#REF!</v>
      </c>
      <c r="P35" s="105" t="e">
        <f t="shared" si="9"/>
        <v>#REF!</v>
      </c>
      <c r="Q35" s="105" t="e">
        <f t="shared" si="9"/>
        <v>#REF!</v>
      </c>
      <c r="R35" s="105" t="e">
        <f t="shared" si="9"/>
        <v>#REF!</v>
      </c>
    </row>
    <row r="36" spans="1:20">
      <c r="A36" s="633" t="s">
        <v>2</v>
      </c>
      <c r="B36" s="34"/>
      <c r="C36" s="34"/>
      <c r="D36" s="34"/>
      <c r="E36" s="795" t="e">
        <f t="shared" ref="E36:R36" si="10">E23+E29+E34-E35</f>
        <v>#REF!</v>
      </c>
      <c r="F36" s="795" t="e">
        <f t="shared" si="10"/>
        <v>#REF!</v>
      </c>
      <c r="G36" s="795" t="e">
        <f t="shared" si="10"/>
        <v>#REF!</v>
      </c>
      <c r="H36" s="795" t="e">
        <f t="shared" si="10"/>
        <v>#REF!</v>
      </c>
      <c r="I36" s="796" t="e">
        <f t="shared" si="10"/>
        <v>#REF!</v>
      </c>
      <c r="J36" s="796" t="e">
        <f t="shared" si="10"/>
        <v>#REF!</v>
      </c>
      <c r="K36" s="796" t="e">
        <f t="shared" si="10"/>
        <v>#REF!</v>
      </c>
      <c r="L36" s="796" t="e">
        <f t="shared" si="10"/>
        <v>#REF!</v>
      </c>
      <c r="M36" s="796" t="e">
        <f t="shared" si="10"/>
        <v>#REF!</v>
      </c>
      <c r="N36" s="796" t="e">
        <f t="shared" si="10"/>
        <v>#REF!</v>
      </c>
      <c r="O36" s="796" t="e">
        <f t="shared" si="10"/>
        <v>#REF!</v>
      </c>
      <c r="P36" s="796" t="e">
        <f t="shared" si="10"/>
        <v>#REF!</v>
      </c>
      <c r="Q36" s="796" t="e">
        <f t="shared" si="10"/>
        <v>#REF!</v>
      </c>
      <c r="R36" s="796" t="e">
        <f t="shared" si="10"/>
        <v>#REF!</v>
      </c>
    </row>
    <row r="37" spans="1:20">
      <c r="E37" s="249"/>
      <c r="F37" s="256"/>
      <c r="G37" s="256"/>
      <c r="H37" s="777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spans="1:20">
      <c r="A38" s="10" t="s">
        <v>3</v>
      </c>
      <c r="E38" s="254"/>
      <c r="F38" s="254"/>
      <c r="G38" s="254"/>
      <c r="H38" s="21" t="e">
        <f t="shared" ref="H38:R38" si="11">$B$40*(H23-H61)</f>
        <v>#REF!</v>
      </c>
      <c r="I38" s="30" t="e">
        <f t="shared" si="11"/>
        <v>#REF!</v>
      </c>
      <c r="J38" s="30" t="e">
        <f t="shared" si="11"/>
        <v>#REF!</v>
      </c>
      <c r="K38" s="30" t="e">
        <f t="shared" si="11"/>
        <v>#REF!</v>
      </c>
      <c r="L38" s="30" t="e">
        <f t="shared" si="11"/>
        <v>#REF!</v>
      </c>
      <c r="M38" s="30" t="e">
        <f t="shared" si="11"/>
        <v>#REF!</v>
      </c>
      <c r="N38" s="30" t="e">
        <f t="shared" si="11"/>
        <v>#REF!</v>
      </c>
      <c r="O38" s="30" t="e">
        <f t="shared" si="11"/>
        <v>#REF!</v>
      </c>
      <c r="P38" s="30" t="e">
        <f t="shared" si="11"/>
        <v>#REF!</v>
      </c>
      <c r="Q38" s="30" t="e">
        <f t="shared" si="11"/>
        <v>#REF!</v>
      </c>
      <c r="R38" s="30" t="e">
        <f t="shared" si="11"/>
        <v>#REF!</v>
      </c>
    </row>
    <row r="39" spans="1:20" ht="15">
      <c r="A39" s="10" t="s">
        <v>4</v>
      </c>
      <c r="E39" s="257"/>
      <c r="F39" s="257"/>
      <c r="G39" s="257"/>
      <c r="H39" s="17" t="e">
        <f t="shared" ref="H39:R39" si="12">H40-H38</f>
        <v>#REF!</v>
      </c>
      <c r="I39" s="5" t="e">
        <f t="shared" si="12"/>
        <v>#REF!</v>
      </c>
      <c r="J39" s="5" t="e">
        <f t="shared" si="12"/>
        <v>#REF!</v>
      </c>
      <c r="K39" s="5" t="e">
        <f t="shared" si="12"/>
        <v>#REF!</v>
      </c>
      <c r="L39" s="5" t="e">
        <f t="shared" si="12"/>
        <v>#REF!</v>
      </c>
      <c r="M39" s="5" t="e">
        <f t="shared" si="12"/>
        <v>#REF!</v>
      </c>
      <c r="N39" s="5" t="e">
        <f t="shared" si="12"/>
        <v>#REF!</v>
      </c>
      <c r="O39" s="5" t="e">
        <f t="shared" si="12"/>
        <v>#REF!</v>
      </c>
      <c r="P39" s="5" t="e">
        <f t="shared" si="12"/>
        <v>#REF!</v>
      </c>
      <c r="Q39" s="5" t="e">
        <f t="shared" si="12"/>
        <v>#REF!</v>
      </c>
      <c r="R39" s="5" t="e">
        <f t="shared" si="12"/>
        <v>#REF!</v>
      </c>
    </row>
    <row r="40" spans="1:20">
      <c r="A40" s="11" t="s">
        <v>0</v>
      </c>
      <c r="B40" s="93">
        <f>Assumptions!D21</f>
        <v>0.38500000000000001</v>
      </c>
      <c r="C40" s="13"/>
      <c r="E40" s="252"/>
      <c r="F40" s="252"/>
      <c r="G40" s="252"/>
      <c r="H40" s="244" t="e">
        <f t="shared" ref="H40:R40" si="13">$B$40*H36</f>
        <v>#REF!</v>
      </c>
      <c r="I40" s="10" t="e">
        <f t="shared" si="13"/>
        <v>#REF!</v>
      </c>
      <c r="J40" s="10" t="e">
        <f t="shared" si="13"/>
        <v>#REF!</v>
      </c>
      <c r="K40" s="10" t="e">
        <f t="shared" si="13"/>
        <v>#REF!</v>
      </c>
      <c r="L40" s="10" t="e">
        <f t="shared" si="13"/>
        <v>#REF!</v>
      </c>
      <c r="M40" s="10" t="e">
        <f t="shared" si="13"/>
        <v>#REF!</v>
      </c>
      <c r="N40" s="10" t="e">
        <f t="shared" si="13"/>
        <v>#REF!</v>
      </c>
      <c r="O40" s="10" t="e">
        <f t="shared" si="13"/>
        <v>#REF!</v>
      </c>
      <c r="P40" s="10" t="e">
        <f t="shared" si="13"/>
        <v>#REF!</v>
      </c>
      <c r="Q40" s="10" t="e">
        <f t="shared" si="13"/>
        <v>#REF!</v>
      </c>
      <c r="R40" s="10" t="e">
        <f t="shared" si="13"/>
        <v>#REF!</v>
      </c>
    </row>
    <row r="41" spans="1:20">
      <c r="A41" s="10"/>
      <c r="E41" s="249"/>
      <c r="F41" s="249"/>
      <c r="G41" s="249"/>
      <c r="H41" s="16"/>
    </row>
    <row r="42" spans="1:20">
      <c r="A42" s="73" t="s">
        <v>13</v>
      </c>
      <c r="B42" s="34"/>
      <c r="C42" s="34"/>
      <c r="D42" s="34"/>
      <c r="E42" s="81"/>
      <c r="F42" s="81"/>
      <c r="G42" s="81"/>
      <c r="H42" s="795" t="e">
        <f t="shared" ref="H42:R42" si="14">H36-H40</f>
        <v>#REF!</v>
      </c>
      <c r="I42" s="797" t="e">
        <f t="shared" si="14"/>
        <v>#REF!</v>
      </c>
      <c r="J42" s="797" t="e">
        <f t="shared" si="14"/>
        <v>#REF!</v>
      </c>
      <c r="K42" s="797" t="e">
        <f t="shared" si="14"/>
        <v>#REF!</v>
      </c>
      <c r="L42" s="797" t="e">
        <f t="shared" si="14"/>
        <v>#REF!</v>
      </c>
      <c r="M42" s="797" t="e">
        <f t="shared" si="14"/>
        <v>#REF!</v>
      </c>
      <c r="N42" s="797" t="e">
        <f t="shared" si="14"/>
        <v>#REF!</v>
      </c>
      <c r="O42" s="797" t="e">
        <f t="shared" si="14"/>
        <v>#REF!</v>
      </c>
      <c r="P42" s="797" t="e">
        <f t="shared" si="14"/>
        <v>#REF!</v>
      </c>
      <c r="Q42" s="797" t="e">
        <f t="shared" si="14"/>
        <v>#REF!</v>
      </c>
      <c r="R42" s="798" t="e">
        <f t="shared" si="14"/>
        <v>#REF!</v>
      </c>
    </row>
    <row r="43" spans="1:20">
      <c r="A43" s="10"/>
      <c r="E43" s="249"/>
      <c r="F43" s="256"/>
      <c r="G43" s="256"/>
      <c r="H43" s="777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1"/>
      <c r="T43" s="24"/>
    </row>
    <row r="44" spans="1:20">
      <c r="A44" s="77" t="s">
        <v>365</v>
      </c>
      <c r="E44" s="254"/>
      <c r="F44" s="254"/>
      <c r="G44" s="254"/>
      <c r="H44" s="21" t="e">
        <f t="shared" ref="H44:R44" si="15">H42+H39+H35</f>
        <v>#REF!</v>
      </c>
      <c r="I44" s="61" t="e">
        <f t="shared" si="15"/>
        <v>#REF!</v>
      </c>
      <c r="J44" s="30" t="e">
        <f t="shared" si="15"/>
        <v>#REF!</v>
      </c>
      <c r="K44" s="30" t="e">
        <f t="shared" si="15"/>
        <v>#REF!</v>
      </c>
      <c r="L44" s="30" t="e">
        <f t="shared" si="15"/>
        <v>#REF!</v>
      </c>
      <c r="M44" s="30" t="e">
        <f t="shared" si="15"/>
        <v>#REF!</v>
      </c>
      <c r="N44" s="30" t="e">
        <f t="shared" si="15"/>
        <v>#REF!</v>
      </c>
      <c r="O44" s="30" t="e">
        <f t="shared" si="15"/>
        <v>#REF!</v>
      </c>
      <c r="P44" s="30" t="e">
        <f t="shared" si="15"/>
        <v>#REF!</v>
      </c>
      <c r="Q44" s="30" t="e">
        <f t="shared" si="15"/>
        <v>#REF!</v>
      </c>
      <c r="R44" s="30" t="e">
        <f t="shared" si="15"/>
        <v>#REF!</v>
      </c>
      <c r="T44" s="12"/>
    </row>
    <row r="45" spans="1:20">
      <c r="A45" s="10"/>
      <c r="E45" s="249"/>
      <c r="F45" s="249"/>
      <c r="G45" s="249"/>
      <c r="H45" s="16"/>
      <c r="T45" s="12"/>
    </row>
    <row r="46" spans="1:20">
      <c r="A46" s="77" t="s">
        <v>18</v>
      </c>
      <c r="B46" s="40" t="s">
        <v>84</v>
      </c>
      <c r="E46" s="254"/>
      <c r="F46" s="254"/>
      <c r="G46" s="254"/>
      <c r="H46" s="254" t="e">
        <f t="shared" ref="H46:R46" si="16">SUM(H47:H49)</f>
        <v>#REF!</v>
      </c>
      <c r="I46" s="61" t="e">
        <f t="shared" si="16"/>
        <v>#REF!</v>
      </c>
      <c r="J46" s="61" t="e">
        <f t="shared" si="16"/>
        <v>#REF!</v>
      </c>
      <c r="K46" s="61" t="e">
        <f t="shared" si="16"/>
        <v>#REF!</v>
      </c>
      <c r="L46" s="61" t="e">
        <f t="shared" si="16"/>
        <v>#REF!</v>
      </c>
      <c r="M46" s="61" t="e">
        <f t="shared" si="16"/>
        <v>#REF!</v>
      </c>
      <c r="N46" s="61" t="e">
        <f t="shared" si="16"/>
        <v>#REF!</v>
      </c>
      <c r="O46" s="61" t="e">
        <f t="shared" si="16"/>
        <v>#REF!</v>
      </c>
      <c r="P46" s="61" t="e">
        <f t="shared" si="16"/>
        <v>#REF!</v>
      </c>
      <c r="Q46" s="61" t="e">
        <f t="shared" si="16"/>
        <v>#REF!</v>
      </c>
      <c r="R46" s="61" t="e">
        <f t="shared" si="16"/>
        <v>#REF!</v>
      </c>
      <c r="T46" s="12"/>
    </row>
    <row r="47" spans="1:20">
      <c r="A47" s="11" t="str">
        <f>A17</f>
        <v>Panhandle Eastern</v>
      </c>
      <c r="B47" s="102">
        <f>B31</f>
        <v>1</v>
      </c>
      <c r="E47" s="254"/>
      <c r="F47" s="254"/>
      <c r="G47" s="254"/>
      <c r="H47" s="254" t="e">
        <f>'Pipeline Co DCF'!#REF!*$B$47</f>
        <v>#REF!</v>
      </c>
      <c r="I47" s="61" t="e">
        <f>'Pipeline Co DCF'!#REF!*$B$47</f>
        <v>#REF!</v>
      </c>
      <c r="J47" s="61" t="e">
        <f>'Pipeline Co DCF'!#REF!*$B$47</f>
        <v>#REF!</v>
      </c>
      <c r="K47" s="61" t="e">
        <f>'Pipeline Co DCF'!#REF!*$B$47</f>
        <v>#REF!</v>
      </c>
      <c r="L47" s="61" t="e">
        <f>'Pipeline Co DCF'!#REF!*$B$47</f>
        <v>#REF!</v>
      </c>
      <c r="M47" s="61" t="e">
        <f>'Pipeline Co DCF'!#REF!*$B$47</f>
        <v>#REF!</v>
      </c>
      <c r="N47" s="61" t="e">
        <f>'Pipeline Co DCF'!#REF!*$B$47</f>
        <v>#REF!</v>
      </c>
      <c r="O47" s="61" t="e">
        <f>'Pipeline Co DCF'!#REF!*$B$47</f>
        <v>#REF!</v>
      </c>
      <c r="P47" s="61" t="e">
        <f>'Pipeline Co DCF'!#REF!*$B$47</f>
        <v>#REF!</v>
      </c>
      <c r="Q47" s="61" t="e">
        <f>'Pipeline Co DCF'!#REF!*$B$47</f>
        <v>#REF!</v>
      </c>
      <c r="R47" s="61" t="e">
        <f>'Pipeline Co DCF'!#REF!*$B$47</f>
        <v>#REF!</v>
      </c>
      <c r="S47" s="31"/>
      <c r="T47" s="12"/>
    </row>
    <row r="48" spans="1:20">
      <c r="A48" s="11" t="str">
        <f>A18</f>
        <v>Consumers Energy</v>
      </c>
      <c r="B48" s="102">
        <f>B32</f>
        <v>1</v>
      </c>
      <c r="E48" s="254"/>
      <c r="F48" s="254"/>
      <c r="G48" s="254"/>
      <c r="H48" s="254">
        <f>'Consumers DCF'!G33*$B$48</f>
        <v>700</v>
      </c>
      <c r="I48" s="61">
        <f>'Consumers DCF'!H33*$B$48</f>
        <v>700</v>
      </c>
      <c r="J48" s="61">
        <f>'Consumers DCF'!I33*$B$48</f>
        <v>490</v>
      </c>
      <c r="K48" s="61">
        <f>'Consumers DCF'!J33*$B$48</f>
        <v>496.25</v>
      </c>
      <c r="L48" s="61">
        <f>'Consumers DCF'!K33*$B$48</f>
        <v>502.58950000000004</v>
      </c>
      <c r="M48" s="61">
        <f>'Consumers DCF'!L33*$B$48</f>
        <v>509.01993500000003</v>
      </c>
      <c r="N48" s="61">
        <f>'Consumers DCF'!M33*$B$48</f>
        <v>515.54276515000004</v>
      </c>
      <c r="O48" s="61">
        <f>'Consumers DCF'!N33*$B$48</f>
        <v>522.15947621750001</v>
      </c>
      <c r="P48" s="61">
        <f>'Consumers DCF'!O33*$B$48</f>
        <v>528.871580063995</v>
      </c>
      <c r="Q48" s="61">
        <f>'Consumers DCF'!P33*$B$48</f>
        <v>535.6806151306414</v>
      </c>
      <c r="R48" s="61">
        <f>'Consumers DCF'!Q33*$B$48</f>
        <v>542.58814693327429</v>
      </c>
      <c r="S48" s="31"/>
      <c r="T48" s="12"/>
    </row>
    <row r="49" spans="1:20">
      <c r="A49" s="11" t="str">
        <f>A19</f>
        <v>Other</v>
      </c>
      <c r="B49" s="102">
        <f>B33</f>
        <v>1</v>
      </c>
      <c r="E49" s="254"/>
      <c r="F49" s="254"/>
      <c r="G49" s="254"/>
      <c r="H49" s="254">
        <f>'Corp DCF'!G33*$B$49</f>
        <v>355</v>
      </c>
      <c r="I49" s="61">
        <f>'Corp DCF'!H33*$B$49</f>
        <v>420</v>
      </c>
      <c r="J49" s="61">
        <f>'Corp DCF'!I33*$B$49</f>
        <v>500</v>
      </c>
      <c r="K49" s="61">
        <f>'Corp DCF'!J33*$B$49</f>
        <v>512.29999999999995</v>
      </c>
      <c r="L49" s="61">
        <f>'Corp DCF'!K33*$B$49</f>
        <v>524.91800000000001</v>
      </c>
      <c r="M49" s="61">
        <f>'Corp DCF'!L33*$B$49</f>
        <v>537.86255000000017</v>
      </c>
      <c r="N49" s="61">
        <f>'Corp DCF'!M33*$B$49</f>
        <v>551.14243699999997</v>
      </c>
      <c r="O49" s="61">
        <f>'Corp DCF'!N33*$B$49</f>
        <v>564.76669172300001</v>
      </c>
      <c r="P49" s="61">
        <f>'Corp DCF'!O33*$B$49</f>
        <v>578.74459553198005</v>
      </c>
      <c r="Q49" s="61">
        <f>'Corp DCF'!P33*$B$49</f>
        <v>593.08568754652572</v>
      </c>
      <c r="R49" s="61">
        <f>'Corp DCF'!Q33*$B$49</f>
        <v>607.79977196493087</v>
      </c>
      <c r="S49" s="97">
        <f>Scenarios!C5</f>
        <v>12</v>
      </c>
      <c r="T49" s="12"/>
    </row>
    <row r="50" spans="1:20" ht="13.5" thickBot="1">
      <c r="A50" s="791" t="s">
        <v>415</v>
      </c>
      <c r="B50" s="34"/>
      <c r="C50" s="34"/>
      <c r="D50" s="34"/>
      <c r="E50" s="792">
        <f t="shared" ref="E50:R50" si="17">E44-E46</f>
        <v>0</v>
      </c>
      <c r="F50" s="792">
        <f t="shared" si="17"/>
        <v>0</v>
      </c>
      <c r="G50" s="792">
        <f t="shared" si="17"/>
        <v>0</v>
      </c>
      <c r="H50" s="792" t="e">
        <f t="shared" si="17"/>
        <v>#REF!</v>
      </c>
      <c r="I50" s="793" t="e">
        <f t="shared" si="17"/>
        <v>#REF!</v>
      </c>
      <c r="J50" s="793" t="e">
        <f t="shared" si="17"/>
        <v>#REF!</v>
      </c>
      <c r="K50" s="793" t="e">
        <f t="shared" si="17"/>
        <v>#REF!</v>
      </c>
      <c r="L50" s="793" t="e">
        <f t="shared" si="17"/>
        <v>#REF!</v>
      </c>
      <c r="M50" s="793" t="e">
        <f t="shared" si="17"/>
        <v>#REF!</v>
      </c>
      <c r="N50" s="793" t="e">
        <f t="shared" si="17"/>
        <v>#REF!</v>
      </c>
      <c r="O50" s="793" t="e">
        <f t="shared" si="17"/>
        <v>#REF!</v>
      </c>
      <c r="P50" s="793" t="e">
        <f t="shared" si="17"/>
        <v>#REF!</v>
      </c>
      <c r="Q50" s="793" t="e">
        <f t="shared" si="17"/>
        <v>#REF!</v>
      </c>
      <c r="R50" s="793" t="e">
        <f t="shared" si="17"/>
        <v>#REF!</v>
      </c>
      <c r="S50" s="94">
        <f>S49*R23</f>
        <v>4177441.4099665023</v>
      </c>
      <c r="T50" s="28"/>
    </row>
    <row r="51" spans="1:20" ht="13.5" outlineLevel="1" thickBot="1">
      <c r="A51" s="262"/>
      <c r="B51" s="35"/>
      <c r="C51" s="35"/>
      <c r="D51" s="35"/>
      <c r="E51" s="221" t="s">
        <v>123</v>
      </c>
      <c r="F51" s="263" t="e">
        <f>IRR(G51:S51)</f>
        <v>#VALUE!</v>
      </c>
      <c r="G51" s="61">
        <f>-CPurPrice</f>
        <v>-12590.948376440256</v>
      </c>
      <c r="H51" s="61" t="e">
        <f>H50</f>
        <v>#REF!</v>
      </c>
      <c r="I51" s="61" t="e">
        <f t="shared" ref="I51:S51" si="18">I50</f>
        <v>#REF!</v>
      </c>
      <c r="J51" s="61" t="e">
        <f t="shared" si="18"/>
        <v>#REF!</v>
      </c>
      <c r="K51" s="61" t="e">
        <f t="shared" si="18"/>
        <v>#REF!</v>
      </c>
      <c r="L51" s="61" t="e">
        <f t="shared" si="18"/>
        <v>#REF!</v>
      </c>
      <c r="M51" s="61" t="e">
        <f t="shared" si="18"/>
        <v>#REF!</v>
      </c>
      <c r="N51" s="61" t="e">
        <f t="shared" si="18"/>
        <v>#REF!</v>
      </c>
      <c r="O51" s="61" t="e">
        <f t="shared" si="18"/>
        <v>#REF!</v>
      </c>
      <c r="P51" s="61" t="e">
        <f t="shared" si="18"/>
        <v>#REF!</v>
      </c>
      <c r="Q51" s="61" t="e">
        <f t="shared" si="18"/>
        <v>#REF!</v>
      </c>
      <c r="R51" s="61" t="e">
        <f t="shared" si="18"/>
        <v>#REF!</v>
      </c>
      <c r="S51" s="61">
        <f t="shared" si="18"/>
        <v>4177441.4099665023</v>
      </c>
      <c r="T51" s="28"/>
    </row>
    <row r="52" spans="1:20" outlineLevel="1">
      <c r="A52" s="27"/>
      <c r="F52" s="30"/>
      <c r="G52" s="61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12"/>
      <c r="T52" s="28"/>
    </row>
    <row r="53" spans="1:20" outlineLevel="1">
      <c r="A53" s="74" t="s">
        <v>38</v>
      </c>
      <c r="B53" s="75">
        <f>Assumptions!D22</f>
        <v>40</v>
      </c>
      <c r="C53" s="75"/>
      <c r="D53" s="25">
        <f>'Fin Stats and Ratios'!K10</f>
        <v>2905569.7018819968</v>
      </c>
      <c r="E53" s="25"/>
      <c r="F53" s="30"/>
      <c r="G53" s="63"/>
      <c r="H53" s="58">
        <f>1/B53</f>
        <v>2.5000000000000001E-2</v>
      </c>
      <c r="I53" s="58">
        <f>H53</f>
        <v>2.5000000000000001E-2</v>
      </c>
      <c r="J53" s="58">
        <f t="shared" ref="J53:Q53" si="19">I53</f>
        <v>2.5000000000000001E-2</v>
      </c>
      <c r="K53" s="58">
        <f t="shared" si="19"/>
        <v>2.5000000000000001E-2</v>
      </c>
      <c r="L53" s="58">
        <f t="shared" si="19"/>
        <v>2.5000000000000001E-2</v>
      </c>
      <c r="M53" s="58">
        <f t="shared" si="19"/>
        <v>2.5000000000000001E-2</v>
      </c>
      <c r="N53" s="58">
        <f t="shared" si="19"/>
        <v>2.5000000000000001E-2</v>
      </c>
      <c r="O53" s="58">
        <f t="shared" si="19"/>
        <v>2.5000000000000001E-2</v>
      </c>
      <c r="P53" s="58">
        <f t="shared" si="19"/>
        <v>2.5000000000000001E-2</v>
      </c>
      <c r="Q53" s="58">
        <f t="shared" si="19"/>
        <v>2.5000000000000001E-2</v>
      </c>
      <c r="R53" s="59">
        <f>Q53</f>
        <v>2.5000000000000001E-2</v>
      </c>
      <c r="S53" s="12"/>
      <c r="T53" s="28"/>
    </row>
    <row r="54" spans="1:20" outlineLevel="1">
      <c r="A54" s="10" t="s">
        <v>8</v>
      </c>
      <c r="D54" s="72"/>
      <c r="E54" s="72"/>
      <c r="F54" s="30"/>
      <c r="G54" s="63"/>
      <c r="H54" s="30">
        <f>D53/B53</f>
        <v>72639.242547049915</v>
      </c>
      <c r="I54" s="30">
        <f>+H54</f>
        <v>72639.242547049915</v>
      </c>
      <c r="J54" s="30">
        <f t="shared" ref="J54:Q54" si="20">+I54</f>
        <v>72639.242547049915</v>
      </c>
      <c r="K54" s="30">
        <f t="shared" si="20"/>
        <v>72639.242547049915</v>
      </c>
      <c r="L54" s="30">
        <f t="shared" si="20"/>
        <v>72639.242547049915</v>
      </c>
      <c r="M54" s="30">
        <f t="shared" si="20"/>
        <v>72639.242547049915</v>
      </c>
      <c r="N54" s="30">
        <f t="shared" si="20"/>
        <v>72639.242547049915</v>
      </c>
      <c r="O54" s="30">
        <f t="shared" si="20"/>
        <v>72639.242547049915</v>
      </c>
      <c r="P54" s="30">
        <f t="shared" si="20"/>
        <v>72639.242547049915</v>
      </c>
      <c r="Q54" s="30">
        <f t="shared" si="20"/>
        <v>72639.242547049915</v>
      </c>
      <c r="R54" s="30">
        <f>+Q54</f>
        <v>72639.242547049915</v>
      </c>
      <c r="S54" s="12"/>
      <c r="T54" s="28"/>
    </row>
    <row r="55" spans="1:20" ht="15" outlineLevel="1">
      <c r="A55" s="10" t="s">
        <v>9</v>
      </c>
      <c r="F55" s="30"/>
      <c r="G55" s="63"/>
      <c r="H55" s="5" t="e">
        <f>($H$46*H$53)</f>
        <v>#REF!</v>
      </c>
      <c r="I55" s="5" t="e">
        <f>($H$46*I53)+($I$46*H53)</f>
        <v>#REF!</v>
      </c>
      <c r="J55" s="5" t="e">
        <f>($H$46*J53)+($I$46*I53)+($J$46*H53)</f>
        <v>#REF!</v>
      </c>
      <c r="K55" s="5" t="e">
        <f>($H$46*K53)+($I$46*J53)+($J$46*I53)+($K$46*H53)</f>
        <v>#REF!</v>
      </c>
      <c r="L55" s="5" t="e">
        <f>($H$46*L53)+($I$46*K53)+($J$46*J53)+($K$46*I53)+($L$46*H53)</f>
        <v>#REF!</v>
      </c>
      <c r="M55" s="5" t="e">
        <f>($H$46*M53)+($I$46*L53)+($J$46*K53)+($K$46*J53)+($L$46*I53)+($M$46*H53)</f>
        <v>#REF!</v>
      </c>
      <c r="N55" s="5" t="e">
        <f>($H$46*N53)+($I$46*M53)+($J$46*L53)+($K$46*K53)+($L$46*J53)+($M$46*I53)+($N$46*H53)</f>
        <v>#REF!</v>
      </c>
      <c r="O55" s="5" t="e">
        <f>($H$46*O53)+($I$46*N53)+($J$46*M53)+($K$46*L53)+($L$46*K53)+($M$46*J53)+($N$46*I53)+($O$46*H53)</f>
        <v>#REF!</v>
      </c>
      <c r="P55" s="5" t="e">
        <f>($H$46*P53)+($I$46*O53)+($J$46*N53)+($K$46*M53)+($L$46*L53)+($M$46*K53)+($N$46*J53)+($O$46*I53)+($P$46*H53)</f>
        <v>#REF!</v>
      </c>
      <c r="Q55" s="5" t="e">
        <f>($H$46*Q53)+($I$46*P53)+($J$46*O53)+($K$46*N53)+($L$46*M53)+($M$46*L53)+($N$46*K53)+($O$46*J53)+($P$46*I53)+($Q$46*H53)</f>
        <v>#REF!</v>
      </c>
      <c r="R55" s="5" t="e">
        <f>($H$46*R53)+($I$46*Q53)+($J$46*P53)+($K$46*O53)+($L$46*N53)+($M$46*M53)+($N$46*L53)+($O$46*K53)+($P$46*J53)+($Q$46*I53)+($R$46*H53)</f>
        <v>#REF!</v>
      </c>
      <c r="S55" s="12"/>
      <c r="T55" s="28"/>
    </row>
    <row r="56" spans="1:20" outlineLevel="1">
      <c r="A56" s="8" t="s">
        <v>0</v>
      </c>
      <c r="F56" s="30"/>
      <c r="G56" s="63"/>
      <c r="H56" s="30" t="e">
        <f>+H54+H55</f>
        <v>#REF!</v>
      </c>
      <c r="I56" s="30" t="e">
        <f t="shared" ref="I56:R56" si="21">+I54+I55</f>
        <v>#REF!</v>
      </c>
      <c r="J56" s="30" t="e">
        <f t="shared" si="21"/>
        <v>#REF!</v>
      </c>
      <c r="K56" s="30" t="e">
        <f t="shared" si="21"/>
        <v>#REF!</v>
      </c>
      <c r="L56" s="30" t="e">
        <f t="shared" si="21"/>
        <v>#REF!</v>
      </c>
      <c r="M56" s="30" t="e">
        <f t="shared" si="21"/>
        <v>#REF!</v>
      </c>
      <c r="N56" s="30" t="e">
        <f t="shared" si="21"/>
        <v>#REF!</v>
      </c>
      <c r="O56" s="30" t="e">
        <f t="shared" si="21"/>
        <v>#REF!</v>
      </c>
      <c r="P56" s="30" t="e">
        <f t="shared" si="21"/>
        <v>#REF!</v>
      </c>
      <c r="Q56" s="30" t="e">
        <f t="shared" si="21"/>
        <v>#REF!</v>
      </c>
      <c r="R56" s="30" t="e">
        <f t="shared" si="21"/>
        <v>#REF!</v>
      </c>
      <c r="S56" s="12"/>
      <c r="T56" s="28"/>
    </row>
    <row r="57" spans="1:20" outlineLevel="1">
      <c r="A57" s="10"/>
      <c r="F57" s="24"/>
      <c r="G57" s="62"/>
      <c r="S57" s="65"/>
      <c r="T57" s="12"/>
    </row>
    <row r="58" spans="1:20" outlineLevel="1">
      <c r="A58" s="74" t="s">
        <v>7</v>
      </c>
      <c r="F58" s="24"/>
      <c r="G58" s="62"/>
      <c r="H58" s="52">
        <v>0.05</v>
      </c>
      <c r="I58" s="53">
        <v>9.5000000000000001E-2</v>
      </c>
      <c r="J58" s="53">
        <v>8.5500000000000007E-2</v>
      </c>
      <c r="K58" s="53">
        <v>7.6999999999999999E-2</v>
      </c>
      <c r="L58" s="53">
        <v>6.93E-2</v>
      </c>
      <c r="M58" s="53">
        <v>6.2300000000000001E-2</v>
      </c>
      <c r="N58" s="53">
        <v>5.8999999999999997E-2</v>
      </c>
      <c r="O58" s="53">
        <v>5.8999999999999997E-2</v>
      </c>
      <c r="P58" s="53">
        <v>5.91E-2</v>
      </c>
      <c r="Q58" s="53">
        <v>5.8999999999999997E-2</v>
      </c>
      <c r="R58" s="54">
        <v>5.91E-2</v>
      </c>
      <c r="S58" s="64"/>
      <c r="T58" s="12"/>
    </row>
    <row r="59" spans="1:20" outlineLevel="1">
      <c r="A59" s="10" t="s">
        <v>8</v>
      </c>
      <c r="B59" s="14"/>
      <c r="C59" s="14"/>
      <c r="F59" s="24"/>
      <c r="G59" s="62"/>
      <c r="H59" s="10">
        <f>H58*$D$53</f>
        <v>145278.48509409986</v>
      </c>
      <c r="I59" s="10">
        <f t="shared" ref="I59:R59" si="22">I58*$D$53</f>
        <v>276029.12167878973</v>
      </c>
      <c r="J59" s="10">
        <f t="shared" si="22"/>
        <v>248426.20951091076</v>
      </c>
      <c r="K59" s="10">
        <f t="shared" si="22"/>
        <v>223728.86704491376</v>
      </c>
      <c r="L59" s="10">
        <f t="shared" si="22"/>
        <v>201355.98034042239</v>
      </c>
      <c r="M59" s="10">
        <f t="shared" si="22"/>
        <v>181016.99242724839</v>
      </c>
      <c r="N59" s="10">
        <f t="shared" si="22"/>
        <v>171428.61241103782</v>
      </c>
      <c r="O59" s="10">
        <f t="shared" si="22"/>
        <v>171428.61241103782</v>
      </c>
      <c r="P59" s="10">
        <f t="shared" si="22"/>
        <v>171719.16938122601</v>
      </c>
      <c r="Q59" s="10">
        <f t="shared" si="22"/>
        <v>171428.61241103782</v>
      </c>
      <c r="R59" s="10">
        <f t="shared" si="22"/>
        <v>171719.16938122601</v>
      </c>
    </row>
    <row r="60" spans="1:20" ht="15" outlineLevel="1">
      <c r="A60" s="10" t="s">
        <v>9</v>
      </c>
      <c r="B60" s="15"/>
      <c r="C60" s="15"/>
      <c r="F60" s="24"/>
      <c r="G60" s="62"/>
      <c r="H60" s="5" t="e">
        <f>($H$46*H$58)</f>
        <v>#REF!</v>
      </c>
      <c r="I60" s="5" t="e">
        <f>($H$46*I58)+($I$46*H58)</f>
        <v>#REF!</v>
      </c>
      <c r="J60" s="5" t="e">
        <f>($H$46*J58)+($I$46*I58)+($J$46*H58)</f>
        <v>#REF!</v>
      </c>
      <c r="K60" s="5" t="e">
        <f>($H$46*K58)+($I$46*J58)+($J$46*I58)+($K$46*H58)</f>
        <v>#REF!</v>
      </c>
      <c r="L60" s="5" t="e">
        <f>($H$46*L58)+($I$46*K58)+($J$46*J58)+($K$46*I58)+($L$46*H58)</f>
        <v>#REF!</v>
      </c>
      <c r="M60" s="5" t="e">
        <f>($H$46*M58)+($I$46*L58)+($J$46*K58)+($K$46*J58)+($L$46*I58)+($M$46*H58)</f>
        <v>#REF!</v>
      </c>
      <c r="N60" s="5" t="e">
        <f>($H$46*N58)+($I$46*M58)+($J$46*L58)+($K$46*K58)+($L$46*J58)+($M$46*I58)+($N$46*H58)</f>
        <v>#REF!</v>
      </c>
      <c r="O60" s="5" t="e">
        <f>($H$46*O58)+($I$46*N58)+($J$46*M58)+($K$46*L58)+($L$46*K58)+($M$46*J58)+($N$46*I58)+($O$46*H58)</f>
        <v>#REF!</v>
      </c>
      <c r="P60" s="5" t="e">
        <f>($H$46*P58)+($I$46*O58)+($J$46*N58)+($K$46*M58)+($L$46*L58)+($M$46*K58)+($N$46*J58)+($O$46*I58)+($P$46*H58)</f>
        <v>#REF!</v>
      </c>
      <c r="Q60" s="5" t="e">
        <f>($H$46*Q58)+($I$46*P58)+($J$46*O58)+($K$46*N58)+($L$46*M58)+($M$46*L58)+($N$46*K58)+($O$46*J58)+($P$46*I58)+($Q$46*H58)</f>
        <v>#REF!</v>
      </c>
      <c r="R60" s="5" t="e">
        <f>($H$46*R58)+($I$46*Q58)+($J$46*P58)+($K$46*O58)+($L$46*N58)+($M$46*M58)+($N$46*L58)+($O$46*K58)+($P$46*J58)+($Q$46*I58)+($R$46*H58)</f>
        <v>#REF!</v>
      </c>
    </row>
    <row r="61" spans="1:20" outlineLevel="1">
      <c r="A61" s="8" t="s">
        <v>0</v>
      </c>
      <c r="F61" s="24"/>
      <c r="G61" s="62"/>
      <c r="H61" s="10" t="e">
        <f>SUM(H59:H60)</f>
        <v>#REF!</v>
      </c>
      <c r="I61" s="10" t="e">
        <f t="shared" ref="I61:R61" si="23">SUM(I59:I60)</f>
        <v>#REF!</v>
      </c>
      <c r="J61" s="10" t="e">
        <f t="shared" si="23"/>
        <v>#REF!</v>
      </c>
      <c r="K61" s="25" t="e">
        <f t="shared" si="23"/>
        <v>#REF!</v>
      </c>
      <c r="L61" s="25" t="e">
        <f t="shared" si="23"/>
        <v>#REF!</v>
      </c>
      <c r="M61" s="10" t="e">
        <f t="shared" si="23"/>
        <v>#REF!</v>
      </c>
      <c r="N61" s="10" t="e">
        <f t="shared" si="23"/>
        <v>#REF!</v>
      </c>
      <c r="O61" s="10" t="e">
        <f t="shared" si="23"/>
        <v>#REF!</v>
      </c>
      <c r="P61" s="10" t="e">
        <f t="shared" si="23"/>
        <v>#REF!</v>
      </c>
      <c r="Q61" s="10" t="e">
        <f t="shared" si="23"/>
        <v>#REF!</v>
      </c>
      <c r="R61" s="10" t="e">
        <f t="shared" si="23"/>
        <v>#REF!</v>
      </c>
    </row>
    <row r="62" spans="1:20" outlineLevel="1">
      <c r="A62" s="8"/>
      <c r="F62" s="24"/>
      <c r="G62" s="45"/>
    </row>
    <row r="64" spans="1:20" ht="15">
      <c r="A64" s="799" t="s">
        <v>419</v>
      </c>
      <c r="B64" s="800"/>
      <c r="C64" s="575"/>
      <c r="D64" s="801"/>
      <c r="E64" s="801"/>
      <c r="F64" s="801"/>
      <c r="G64" s="801"/>
      <c r="H64" s="801"/>
      <c r="I64" s="801"/>
      <c r="J64" s="801"/>
      <c r="K64" s="801"/>
      <c r="L64" s="596"/>
    </row>
    <row r="65" spans="1:12">
      <c r="A65" s="576" t="s">
        <v>295</v>
      </c>
      <c r="B65" s="51">
        <f>Assumptions!D16</f>
        <v>880000</v>
      </c>
      <c r="C65" s="45" t="s">
        <v>296</v>
      </c>
      <c r="D65" s="802" t="s">
        <v>297</v>
      </c>
      <c r="E65" s="803">
        <v>0.18</v>
      </c>
      <c r="F65" s="105"/>
      <c r="H65" s="660">
        <v>1.8</v>
      </c>
      <c r="I65" s="660">
        <v>2.1</v>
      </c>
      <c r="J65" s="804">
        <f>I65*(1+$E65)</f>
        <v>2.4779999999999998</v>
      </c>
      <c r="K65" s="804">
        <f>J65*(1+$E65)</f>
        <v>2.9240399999999998</v>
      </c>
      <c r="L65" s="805">
        <f>K65*(1+$E65)</f>
        <v>3.4503671999999996</v>
      </c>
    </row>
    <row r="66" spans="1:12">
      <c r="A66" s="576" t="s">
        <v>298</v>
      </c>
      <c r="B66" s="35"/>
      <c r="C66" s="35"/>
      <c r="D66" s="51"/>
      <c r="E66" s="51"/>
      <c r="F66" s="51"/>
      <c r="H66" s="51">
        <f>H65*$B$65+'Lev. Consolid'!D23*1000</f>
        <v>2031346.6635951302</v>
      </c>
      <c r="I66" s="51">
        <f>I65*$B$65+'Lev. Consolid'!E23*1000</f>
        <v>2409464.0112285065</v>
      </c>
      <c r="J66" s="51">
        <f>J65*$B$65+'Lev. Consolid'!F23*1000</f>
        <v>2881511.7578618773</v>
      </c>
      <c r="K66" s="51">
        <f>K65*$B$65+'Lev. Consolid'!G23*1000</f>
        <v>3385413.7288652486</v>
      </c>
      <c r="L66" s="806">
        <f>L65*$B$65+'Lev. Consolid'!H23*1000</f>
        <v>3972636.8655545246</v>
      </c>
    </row>
    <row r="67" spans="1:12">
      <c r="A67" s="576" t="s">
        <v>302</v>
      </c>
      <c r="B67" s="817" t="e">
        <f>O88</f>
        <v>#REF!</v>
      </c>
      <c r="C67" s="35" t="s">
        <v>416</v>
      </c>
      <c r="D67" s="51"/>
      <c r="E67" s="51"/>
      <c r="F67" s="51"/>
      <c r="H67" s="35"/>
      <c r="I67" s="35"/>
      <c r="J67" s="35"/>
      <c r="K67" s="35"/>
      <c r="L67" s="265"/>
    </row>
    <row r="68" spans="1:12">
      <c r="A68" s="807" t="s">
        <v>303</v>
      </c>
      <c r="B68" s="553">
        <f>Assumptions!D17</f>
        <v>28.3</v>
      </c>
      <c r="C68" s="35"/>
      <c r="D68" s="51"/>
      <c r="E68" s="51"/>
      <c r="F68" s="51"/>
      <c r="H68" s="35"/>
      <c r="I68" s="35"/>
      <c r="J68" s="35"/>
      <c r="K68" s="35"/>
      <c r="L68" s="265"/>
    </row>
    <row r="69" spans="1:12">
      <c r="A69" s="576" t="s">
        <v>301</v>
      </c>
      <c r="B69" s="51" t="e">
        <f>B67*1000/B68</f>
        <v>#REF!</v>
      </c>
      <c r="C69" s="35"/>
      <c r="D69" s="51"/>
      <c r="E69" s="51"/>
      <c r="F69" s="51"/>
      <c r="H69" s="35"/>
      <c r="I69" s="35"/>
      <c r="J69" s="35"/>
      <c r="K69" s="35"/>
      <c r="L69" s="265"/>
    </row>
    <row r="70" spans="1:12">
      <c r="A70" s="576" t="s">
        <v>299</v>
      </c>
      <c r="B70" s="98" t="e">
        <f>B65+B69</f>
        <v>#REF!</v>
      </c>
      <c r="C70" s="45" t="s">
        <v>296</v>
      </c>
      <c r="D70" s="51"/>
      <c r="E70" s="51"/>
      <c r="F70" s="51"/>
      <c r="H70" s="808" t="e">
        <f>H66/$B$70</f>
        <v>#REF!</v>
      </c>
      <c r="I70" s="808" t="e">
        <f>I66/$B$70</f>
        <v>#REF!</v>
      </c>
      <c r="J70" s="808" t="e">
        <f>J66/$B$70</f>
        <v>#REF!</v>
      </c>
      <c r="K70" s="808" t="e">
        <f>K66/$B$70</f>
        <v>#REF!</v>
      </c>
      <c r="L70" s="809" t="e">
        <f>L66/$B$70</f>
        <v>#REF!</v>
      </c>
    </row>
    <row r="71" spans="1:12" ht="13.5" thickBot="1">
      <c r="A71" s="576" t="s">
        <v>300</v>
      </c>
      <c r="B71" s="98"/>
      <c r="C71" s="35"/>
      <c r="D71" s="35"/>
      <c r="E71" s="35"/>
      <c r="F71" s="35"/>
      <c r="H71" s="818" t="e">
        <f>H70-H65</f>
        <v>#REF!</v>
      </c>
      <c r="I71" s="818" t="e">
        <f>I70-I65</f>
        <v>#REF!</v>
      </c>
      <c r="J71" s="818" t="e">
        <f>J70-J65</f>
        <v>#REF!</v>
      </c>
      <c r="K71" s="818" t="e">
        <f>K70-K65</f>
        <v>#REF!</v>
      </c>
      <c r="L71" s="819" t="e">
        <f>L70-L65</f>
        <v>#REF!</v>
      </c>
    </row>
    <row r="72" spans="1:12" ht="13.5" thickTop="1">
      <c r="A72" s="577"/>
      <c r="B72" s="810"/>
      <c r="C72" s="355"/>
      <c r="D72" s="355"/>
      <c r="E72" s="355"/>
      <c r="F72" s="355"/>
      <c r="G72" s="811"/>
      <c r="H72" s="811"/>
      <c r="I72" s="811"/>
      <c r="J72" s="811"/>
      <c r="K72" s="811"/>
      <c r="L72" s="266"/>
    </row>
    <row r="73" spans="1:12" ht="15">
      <c r="A73" s="799" t="str">
        <f>'Lev. Consolid'!A39</f>
        <v>Incremental Earnings (50% Debt, 50% Equity)</v>
      </c>
      <c r="B73" s="800"/>
      <c r="C73" s="575"/>
      <c r="D73" s="801"/>
      <c r="E73" s="801"/>
      <c r="F73" s="801"/>
      <c r="G73" s="575"/>
      <c r="H73" s="801"/>
      <c r="I73" s="801"/>
      <c r="J73" s="801"/>
      <c r="K73" s="801"/>
      <c r="L73" s="812"/>
    </row>
    <row r="74" spans="1:12">
      <c r="A74" s="576" t="str">
        <f>'Lev. Consolid'!A40</f>
        <v>ENRON'S BASE EPS</v>
      </c>
      <c r="B74" s="51">
        <f>'Lev. Consolid'!B40</f>
        <v>880000</v>
      </c>
      <c r="C74" s="45" t="str">
        <f>'Lev. Consolid'!C40</f>
        <v>M Shares</v>
      </c>
      <c r="D74" s="802" t="str">
        <f>'Lev. Consolid'!D40</f>
        <v>Growth of</v>
      </c>
      <c r="E74" s="803">
        <f>'Lev. Consolid'!E40</f>
        <v>0.18</v>
      </c>
      <c r="F74" s="105"/>
      <c r="H74" s="660">
        <f>'Lev. Consolid'!G40</f>
        <v>1.8</v>
      </c>
      <c r="I74" s="660">
        <f>'Lev. Consolid'!H40</f>
        <v>2.1</v>
      </c>
      <c r="J74" s="804">
        <f>'Lev. Consolid'!I40</f>
        <v>2.4779999999999998</v>
      </c>
      <c r="K74" s="804">
        <f>'Lev. Consolid'!J40</f>
        <v>2.9240399999999998</v>
      </c>
      <c r="L74" s="805">
        <f>'Lev. Consolid'!K40</f>
        <v>3.4503671999999996</v>
      </c>
    </row>
    <row r="75" spans="1:12">
      <c r="A75" s="576" t="str">
        <f>'Lev. Consolid'!A41</f>
        <v xml:space="preserve">  Pro Forma Earnings (Inc. interest on Dividends)</v>
      </c>
      <c r="B75" s="35"/>
      <c r="C75" s="35"/>
      <c r="D75" s="51"/>
      <c r="E75" s="51"/>
      <c r="F75" s="51"/>
      <c r="H75" s="51" t="e">
        <f>'Lev. Consolid'!G41</f>
        <v>#REF!</v>
      </c>
      <c r="I75" s="51" t="e">
        <f>'Lev. Consolid'!H41</f>
        <v>#REF!</v>
      </c>
      <c r="J75" s="51" t="e">
        <f>'Lev. Consolid'!I41</f>
        <v>#REF!</v>
      </c>
      <c r="K75" s="51" t="e">
        <f>'Lev. Consolid'!J41</f>
        <v>#REF!</v>
      </c>
      <c r="L75" s="806" t="e">
        <f>'Lev. Consolid'!K41</f>
        <v>#REF!</v>
      </c>
    </row>
    <row r="76" spans="1:12">
      <c r="A76" s="576" t="str">
        <f>'Lev. Consolid'!A42</f>
        <v>Equity Investment</v>
      </c>
      <c r="B76" s="817">
        <f>'Lev. Consolid'!B42</f>
        <v>6295.4741882201279</v>
      </c>
      <c r="C76" s="35"/>
      <c r="D76" s="51"/>
      <c r="E76" s="51"/>
      <c r="F76" s="51"/>
      <c r="H76" s="35">
        <f>'Lev. Consolid'!G42</f>
        <v>0</v>
      </c>
      <c r="I76" s="35">
        <f>'Lev. Consolid'!H42</f>
        <v>0</v>
      </c>
      <c r="J76" s="35">
        <f>'Lev. Consolid'!I42</f>
        <v>0</v>
      </c>
      <c r="K76" s="35">
        <f>'Lev. Consolid'!J42</f>
        <v>0</v>
      </c>
      <c r="L76" s="265">
        <f>'Lev. Consolid'!K42</f>
        <v>0</v>
      </c>
    </row>
    <row r="77" spans="1:12">
      <c r="A77" s="807" t="str">
        <f>'Lev. Consolid'!A43</f>
        <v>Price of ENE Shares</v>
      </c>
      <c r="B77" s="553">
        <f>'Lev. Consolid'!B43</f>
        <v>28.3</v>
      </c>
      <c r="C77" s="35"/>
      <c r="D77" s="51"/>
      <c r="E77" s="51"/>
      <c r="F77" s="51"/>
      <c r="H77" s="35">
        <f>'Lev. Consolid'!G43</f>
        <v>0</v>
      </c>
      <c r="I77" s="35">
        <f>'Lev. Consolid'!H43</f>
        <v>0</v>
      </c>
      <c r="J77" s="35">
        <f>'Lev. Consolid'!I43</f>
        <v>0</v>
      </c>
      <c r="K77" s="35">
        <f>'Lev. Consolid'!J43</f>
        <v>0</v>
      </c>
      <c r="L77" s="265">
        <f>'Lev. Consolid'!K43</f>
        <v>0</v>
      </c>
    </row>
    <row r="78" spans="1:12">
      <c r="A78" s="576" t="str">
        <f>'Lev. Consolid'!A44</f>
        <v>Additional Shares</v>
      </c>
      <c r="B78" s="51">
        <f>'Lev. Consolid'!B44</f>
        <v>222454.91831166527</v>
      </c>
      <c r="C78" s="35"/>
      <c r="D78" s="51"/>
      <c r="E78" s="51"/>
      <c r="F78" s="51"/>
      <c r="H78" s="35">
        <f>'Lev. Consolid'!G44</f>
        <v>0</v>
      </c>
      <c r="I78" s="35">
        <f>'Lev. Consolid'!H44</f>
        <v>0</v>
      </c>
      <c r="J78" s="35">
        <f>'Lev. Consolid'!I44</f>
        <v>0</v>
      </c>
      <c r="K78" s="35">
        <f>'Lev. Consolid'!J44</f>
        <v>0</v>
      </c>
      <c r="L78" s="265">
        <f>'Lev. Consolid'!K44</f>
        <v>0</v>
      </c>
    </row>
    <row r="79" spans="1:12">
      <c r="A79" s="576" t="str">
        <f>'Lev. Consolid'!A45</f>
        <v>PRO FORMA EPS</v>
      </c>
      <c r="B79" s="98">
        <f>'Lev. Consolid'!B45</f>
        <v>1102454.9183116653</v>
      </c>
      <c r="C79" s="45" t="str">
        <f>'Lev. Consolid'!C45</f>
        <v>M Shares</v>
      </c>
      <c r="D79" s="51"/>
      <c r="E79" s="51"/>
      <c r="F79" s="51"/>
      <c r="H79" s="808" t="e">
        <f>'Lev. Consolid'!G45</f>
        <v>#REF!</v>
      </c>
      <c r="I79" s="808" t="e">
        <f>'Lev. Consolid'!H45</f>
        <v>#REF!</v>
      </c>
      <c r="J79" s="808" t="e">
        <f>'Lev. Consolid'!I45</f>
        <v>#REF!</v>
      </c>
      <c r="K79" s="808" t="e">
        <f>'Lev. Consolid'!J45</f>
        <v>#REF!</v>
      </c>
      <c r="L79" s="809" t="e">
        <f>'Lev. Consolid'!K45</f>
        <v>#REF!</v>
      </c>
    </row>
    <row r="80" spans="1:12" ht="13.5" thickBot="1">
      <c r="A80" s="576" t="str">
        <f>'Lev. Consolid'!A46</f>
        <v xml:space="preserve">  Incremenal EPS</v>
      </c>
      <c r="B80" s="98"/>
      <c r="C80" s="35"/>
      <c r="D80" s="35"/>
      <c r="E80" s="35"/>
      <c r="F80" s="35"/>
      <c r="H80" s="818" t="e">
        <f>'Lev. Consolid'!G46</f>
        <v>#REF!</v>
      </c>
      <c r="I80" s="818" t="e">
        <f>'Lev. Consolid'!H46</f>
        <v>#REF!</v>
      </c>
      <c r="J80" s="818" t="e">
        <f>'Lev. Consolid'!I46</f>
        <v>#REF!</v>
      </c>
      <c r="K80" s="818" t="e">
        <f>'Lev. Consolid'!J46</f>
        <v>#REF!</v>
      </c>
      <c r="L80" s="819" t="e">
        <f>'Lev. Consolid'!K46</f>
        <v>#REF!</v>
      </c>
    </row>
    <row r="81" spans="1:18" ht="13.5" thickTop="1">
      <c r="A81" s="577"/>
      <c r="B81" s="355"/>
      <c r="C81" s="355"/>
      <c r="D81" s="355"/>
      <c r="E81" s="355"/>
      <c r="F81" s="355"/>
      <c r="G81" s="355"/>
      <c r="H81" s="355"/>
      <c r="I81" s="355"/>
      <c r="J81" s="355"/>
      <c r="K81" s="355"/>
      <c r="L81" s="266"/>
    </row>
    <row r="82" spans="1:18" ht="13.5" thickBot="1"/>
    <row r="83" spans="1:18" ht="15">
      <c r="K83" s="150" t="s">
        <v>10</v>
      </c>
      <c r="L83" s="151" t="str">
        <f>(Assumptions!D14-1&amp;" EBITDA")</f>
        <v>2001 EBITDA</v>
      </c>
      <c r="M83" s="152"/>
      <c r="N83" s="996" t="s">
        <v>11</v>
      </c>
      <c r="O83" s="997"/>
      <c r="P83" s="998"/>
    </row>
    <row r="84" spans="1:18" ht="15">
      <c r="K84" s="153" t="s">
        <v>12</v>
      </c>
      <c r="L84" s="154" t="s">
        <v>19</v>
      </c>
      <c r="M84" s="155" t="s">
        <v>119</v>
      </c>
      <c r="N84" s="158">
        <f>CDRate-0.025</f>
        <v>0.1</v>
      </c>
      <c r="O84" s="156">
        <f>Scenarios!C6</f>
        <v>0.125</v>
      </c>
      <c r="P84" s="157">
        <f>CDRate+0.025</f>
        <v>0.15</v>
      </c>
    </row>
    <row r="85" spans="1:18" ht="13.5" thickBot="1">
      <c r="J85" s="104" t="s">
        <v>17</v>
      </c>
      <c r="K85" s="145"/>
      <c r="L85" s="143"/>
      <c r="M85" s="144"/>
      <c r="N85" s="145"/>
      <c r="O85" s="143"/>
      <c r="P85" s="146"/>
    </row>
    <row r="86" spans="1:18" ht="13.5" thickBot="1">
      <c r="J86" s="23" t="e">
        <f>IF(ABS(K86-O86)&lt;0.05,0,1)</f>
        <v>#REF!</v>
      </c>
      <c r="K86" s="212">
        <v>12590.948376440256</v>
      </c>
      <c r="L86" s="213">
        <f>K86/G23</f>
        <v>4.5717272770462315E-2</v>
      </c>
      <c r="M86" s="214" t="str">
        <f>Assumptions!D8</f>
        <v>ETS</v>
      </c>
      <c r="N86" s="790" t="e">
        <f>NPV(N84,$H50:$S50)</f>
        <v>#REF!</v>
      </c>
      <c r="O86" s="784" t="e">
        <f>NPV(O84,$H50:$S50)</f>
        <v>#REF!</v>
      </c>
      <c r="P86" s="215" t="e">
        <f>NPV(P84,$H50:$S50)</f>
        <v>#REF!</v>
      </c>
    </row>
    <row r="87" spans="1:18">
      <c r="J87" s="108"/>
      <c r="K87" s="245"/>
      <c r="L87" s="148"/>
      <c r="M87" s="24"/>
      <c r="N87" s="785" t="s">
        <v>261</v>
      </c>
      <c r="O87" s="786">
        <v>7934</v>
      </c>
      <c r="P87" s="149"/>
    </row>
    <row r="88" spans="1:18">
      <c r="G88" s="10"/>
      <c r="H88" s="10"/>
      <c r="I88" s="10"/>
      <c r="J88" s="10"/>
      <c r="K88" s="457"/>
      <c r="L88" s="813"/>
      <c r="M88" s="51"/>
      <c r="N88" s="11" t="s">
        <v>374</v>
      </c>
      <c r="O88" s="820" t="e">
        <f>CNPVPrice-O87</f>
        <v>#REF!</v>
      </c>
      <c r="P88" s="10"/>
      <c r="Q88" s="10"/>
      <c r="R88" s="10"/>
    </row>
    <row r="89" spans="1:18">
      <c r="K89" s="814"/>
      <c r="L89" s="264"/>
      <c r="M89" s="35"/>
    </row>
    <row r="90" spans="1:18">
      <c r="K90" s="61"/>
      <c r="L90" s="815"/>
      <c r="M90" s="35"/>
    </row>
    <row r="92" spans="1:18">
      <c r="K92" s="35"/>
      <c r="L92" s="35"/>
      <c r="M92" s="51"/>
    </row>
    <row r="93" spans="1:18">
      <c r="K93" s="35"/>
      <c r="L93" s="35"/>
      <c r="M93" s="51"/>
    </row>
    <row r="94" spans="1:18">
      <c r="K94" s="35"/>
      <c r="L94" s="35"/>
      <c r="M94" s="51"/>
    </row>
  </sheetData>
  <mergeCells count="2">
    <mergeCell ref="N83:P83"/>
    <mergeCell ref="A2:C2"/>
  </mergeCells>
  <phoneticPr fontId="0" type="noConversion"/>
  <conditionalFormatting sqref="D22">
    <cfRule type="cellIs" dxfId="4" priority="1" stopIfTrue="1" operator="notBetween">
      <formula>0.25</formula>
      <formula>-0.25</formula>
    </cfRule>
  </conditionalFormatting>
  <pageMargins left="0.5" right="0.17" top="0.5" bottom="0.5" header="0.5" footer="0.5"/>
  <pageSetup scale="47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>
    <pageSetUpPr fitToPage="1"/>
  </sheetPr>
  <dimension ref="A1:S48"/>
  <sheetViews>
    <sheetView showGridLines="0" topLeftCell="A27" zoomScale="75" zoomScaleNormal="75" workbookViewId="0">
      <selection activeCell="H48" sqref="H48"/>
    </sheetView>
  </sheetViews>
  <sheetFormatPr defaultRowHeight="12.75" outlineLevelCol="1"/>
  <cols>
    <col min="1" max="1" width="38.85546875" customWidth="1"/>
    <col min="2" max="2" width="7.85546875" hidden="1" customWidth="1" outlineLevel="1"/>
    <col min="3" max="3" width="6.7109375" hidden="1" customWidth="1" outlineLevel="1"/>
    <col min="4" max="4" width="14.5703125" style="24" bestFit="1" customWidth="1" collapsed="1"/>
    <col min="5" max="5" width="14.5703125" style="24" bestFit="1" customWidth="1"/>
    <col min="6" max="6" width="15.7109375" style="24" bestFit="1" customWidth="1"/>
    <col min="7" max="7" width="16.85546875" customWidth="1"/>
    <col min="8" max="9" width="15" bestFit="1" customWidth="1"/>
    <col min="10" max="10" width="14.5703125" bestFit="1" customWidth="1"/>
    <col min="11" max="11" width="14.5703125" customWidth="1"/>
    <col min="12" max="12" width="14" customWidth="1"/>
    <col min="13" max="14" width="13.42578125" customWidth="1"/>
    <col min="15" max="16" width="12.28515625" customWidth="1"/>
    <col min="17" max="18" width="14.5703125" customWidth="1"/>
  </cols>
  <sheetData>
    <row r="1" spans="1:19" ht="20.25">
      <c r="A1" s="969" t="str">
        <f>"Project "&amp;Assumptions!D7</f>
        <v>Project Wolverine</v>
      </c>
      <c r="B1" s="35"/>
      <c r="C1" s="35"/>
      <c r="D1" s="60"/>
      <c r="E1" s="60"/>
      <c r="F1" s="540" t="s">
        <v>136</v>
      </c>
      <c r="G1" s="561"/>
      <c r="H1" s="539"/>
    </row>
    <row r="2" spans="1:19" ht="15.75">
      <c r="A2" s="970" t="str">
        <f>'Org Chart'!B5</f>
        <v>Panhandle Eastern</v>
      </c>
      <c r="B2" s="160"/>
      <c r="C2" s="35"/>
      <c r="D2" s="47"/>
      <c r="E2" s="47"/>
      <c r="F2" s="562"/>
      <c r="G2" s="56"/>
      <c r="H2" s="175"/>
      <c r="I2" s="56"/>
      <c r="R2" s="24"/>
    </row>
    <row r="3" spans="1:19" ht="16.5" thickBot="1">
      <c r="A3" s="971" t="s">
        <v>432</v>
      </c>
      <c r="B3" s="160"/>
      <c r="C3" s="35"/>
      <c r="D3" s="47"/>
      <c r="E3" s="47"/>
      <c r="F3" s="562"/>
      <c r="G3" s="35"/>
      <c r="H3" s="175"/>
      <c r="I3" s="56"/>
      <c r="R3" s="24"/>
    </row>
    <row r="4" spans="1:19" ht="13.5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75">
      <c r="A6" s="563" t="s">
        <v>622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972">
        <v>36160</v>
      </c>
      <c r="E8" s="972">
        <v>36525</v>
      </c>
      <c r="F8" s="972">
        <v>36891</v>
      </c>
      <c r="G8" s="972">
        <v>37256</v>
      </c>
      <c r="H8" s="972">
        <v>37621</v>
      </c>
      <c r="I8" s="972">
        <v>37986</v>
      </c>
      <c r="J8" s="972">
        <v>38352</v>
      </c>
      <c r="K8" s="972">
        <v>38717</v>
      </c>
      <c r="L8" s="972">
        <v>39082</v>
      </c>
      <c r="M8" s="972">
        <v>39447</v>
      </c>
      <c r="N8" s="972">
        <v>39813</v>
      </c>
      <c r="O8" s="972">
        <v>40178</v>
      </c>
      <c r="P8" s="972">
        <v>40543</v>
      </c>
      <c r="Q8" s="972">
        <v>40908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 collapsed="1">
      <c r="A11" s="662" t="str">
        <f>'Pipeline Co IS'!A17</f>
        <v>TOTAL OPERATING REVENUE</v>
      </c>
      <c r="B11" s="88"/>
      <c r="C11" s="84"/>
      <c r="D11" s="950">
        <f>'Pipeline Co IS'!D17</f>
        <v>496000</v>
      </c>
      <c r="E11" s="950">
        <f>'Pipeline Co IS'!E17</f>
        <v>471000</v>
      </c>
      <c r="F11" s="950">
        <f>'Pipeline Co IS'!F17</f>
        <v>483000</v>
      </c>
      <c r="G11" s="950">
        <f>'Pipeline Co IS'!G17</f>
        <v>540000</v>
      </c>
      <c r="H11" s="951">
        <f>'Pipeline Co IS'!H17</f>
        <v>546740</v>
      </c>
      <c r="I11" s="951">
        <f>'Pipeline Co IS'!I17</f>
        <v>553577.79999999993</v>
      </c>
      <c r="J11" s="951">
        <f>'Pipeline Co IS'!J17</f>
        <v>560515.09400000004</v>
      </c>
      <c r="K11" s="951">
        <f>'Pipeline Co IS'!K17</f>
        <v>567553.61050000007</v>
      </c>
      <c r="L11" s="951">
        <f>'Pipeline Co IS'!L17</f>
        <v>574695.11329339992</v>
      </c>
      <c r="M11" s="951">
        <f>'Pipeline Co IS'!M17</f>
        <v>581941.40228021797</v>
      </c>
      <c r="N11" s="951">
        <f>'Pipeline Co IS'!N17</f>
        <v>589294.31430064933</v>
      </c>
      <c r="O11" s="951">
        <f>'Pipeline Co IS'!O17</f>
        <v>596755.7239895052</v>
      </c>
      <c r="P11" s="951">
        <f>'Pipeline Co IS'!P17</f>
        <v>604327.54465208203</v>
      </c>
      <c r="Q11" s="951">
        <f>'Pipeline Co IS'!Q17</f>
        <v>612011.72916203109</v>
      </c>
      <c r="R11" s="24"/>
    </row>
    <row r="12" spans="1:19">
      <c r="D12" s="247"/>
      <c r="E12" s="247"/>
      <c r="F12" s="21"/>
      <c r="G12" s="757"/>
      <c r="H12" s="30"/>
      <c r="I12" s="30"/>
      <c r="J12" s="30"/>
      <c r="K12" s="30"/>
      <c r="L12" s="4"/>
      <c r="M12" s="4"/>
      <c r="N12" s="4"/>
      <c r="O12" s="4"/>
      <c r="P12" s="4"/>
      <c r="Q12" s="4"/>
      <c r="R12" s="24"/>
    </row>
    <row r="13" spans="1:19" collapsed="1">
      <c r="A13" s="117" t="str">
        <f>'Pipeline Co IS'!A25</f>
        <v>TOTAL OPERATING EXPENSES</v>
      </c>
      <c r="B13" s="87"/>
      <c r="C13" s="35"/>
      <c r="D13" s="952">
        <f>'Pipeline Co IS'!D25</f>
        <v>213000</v>
      </c>
      <c r="E13" s="952">
        <f>'Pipeline Co IS'!E25</f>
        <v>191000</v>
      </c>
      <c r="F13" s="952">
        <f>'Pipeline Co IS'!F25</f>
        <v>211000</v>
      </c>
      <c r="G13" s="952">
        <f>'Pipeline Co IS'!G25</f>
        <v>210000</v>
      </c>
      <c r="H13" s="953">
        <f>'Pipeline Co IS'!H25</f>
        <v>215249.99999999997</v>
      </c>
      <c r="I13" s="953">
        <f>'Pipeline Co IS'!I25</f>
        <v>220631.24999999994</v>
      </c>
      <c r="J13" s="953">
        <f>'Pipeline Co IS'!J25</f>
        <v>226147.03124999991</v>
      </c>
      <c r="K13" s="953">
        <f>'Pipeline Co IS'!K25</f>
        <v>231800.70703124988</v>
      </c>
      <c r="L13" s="953">
        <f>'Pipeline Co IS'!L25</f>
        <v>237595.7247070311</v>
      </c>
      <c r="M13" s="953">
        <f>'Pipeline Co IS'!M25</f>
        <v>243535.61782470686</v>
      </c>
      <c r="N13" s="953">
        <f>'Pipeline Co IS'!N25</f>
        <v>249624.0082703245</v>
      </c>
      <c r="O13" s="953">
        <f>'Pipeline Co IS'!O25</f>
        <v>255864.6084770826</v>
      </c>
      <c r="P13" s="953">
        <f>'Pipeline Co IS'!P25</f>
        <v>262261.22368900967</v>
      </c>
      <c r="Q13" s="953">
        <f>'Pipeline Co IS'!Q25</f>
        <v>268817.75428123487</v>
      </c>
      <c r="R13" s="24"/>
    </row>
    <row r="14" spans="1:19">
      <c r="A14" s="117"/>
      <c r="B14" s="87"/>
      <c r="C14" s="35"/>
      <c r="D14" s="650"/>
      <c r="E14" s="650"/>
      <c r="F14" s="650"/>
      <c r="G14" s="650"/>
      <c r="H14" s="651"/>
      <c r="I14" s="651"/>
      <c r="J14" s="651"/>
      <c r="K14" s="651"/>
      <c r="L14" s="651"/>
      <c r="M14" s="651"/>
      <c r="N14" s="651"/>
      <c r="O14" s="651"/>
      <c r="P14" s="651"/>
      <c r="Q14" s="651"/>
      <c r="R14" s="24"/>
    </row>
    <row r="15" spans="1:19" s="35" customFormat="1">
      <c r="A15" s="6" t="str">
        <f>'Pipeline Co IS'!A31</f>
        <v>TOTAL OTHER INCOME</v>
      </c>
      <c r="B15"/>
      <c r="C15"/>
      <c r="D15" s="955">
        <f>'Pipeline Co IS'!D31</f>
        <v>24000</v>
      </c>
      <c r="E15" s="955">
        <f>'Pipeline Co IS'!E31</f>
        <v>6000</v>
      </c>
      <c r="F15" s="955">
        <f>'Pipeline Co IS'!F31</f>
        <v>8000</v>
      </c>
      <c r="G15" s="955">
        <f>'Pipeline Co IS'!G31</f>
        <v>8000</v>
      </c>
      <c r="H15" s="456">
        <f>'Pipeline Co IS'!H31</f>
        <v>8080</v>
      </c>
      <c r="I15" s="456">
        <f>'Pipeline Co IS'!I31</f>
        <v>8160.8</v>
      </c>
      <c r="J15" s="456">
        <f>'Pipeline Co IS'!J31</f>
        <v>8242.4079999999994</v>
      </c>
      <c r="K15" s="456">
        <f>'Pipeline Co IS'!K31</f>
        <v>8324.8320800000001</v>
      </c>
      <c r="L15" s="456">
        <f>'Pipeline Co IS'!L31</f>
        <v>8408.0804007999996</v>
      </c>
      <c r="M15" s="456">
        <f>'Pipeline Co IS'!M31</f>
        <v>8492.1612048079987</v>
      </c>
      <c r="N15" s="456">
        <f>'Pipeline Co IS'!N31</f>
        <v>8577.0828168560784</v>
      </c>
      <c r="O15" s="456">
        <f>'Pipeline Co IS'!O31</f>
        <v>8662.8536450246393</v>
      </c>
      <c r="P15" s="456">
        <f>'Pipeline Co IS'!P31</f>
        <v>8749.4821814748866</v>
      </c>
      <c r="Q15" s="456">
        <f>'Pipeline Co IS'!Q31</f>
        <v>8836.9770032896358</v>
      </c>
      <c r="R15" s="45"/>
    </row>
    <row r="16" spans="1:19">
      <c r="A16" s="117"/>
      <c r="B16" s="87"/>
      <c r="C16" s="35"/>
      <c r="D16" s="650"/>
      <c r="E16" s="650"/>
      <c r="F16" s="650"/>
      <c r="G16" s="650"/>
      <c r="H16" s="651"/>
      <c r="I16" s="651"/>
      <c r="J16" s="651"/>
      <c r="K16" s="651"/>
      <c r="L16" s="651"/>
      <c r="M16" s="651"/>
      <c r="N16" s="651"/>
      <c r="O16" s="651"/>
      <c r="P16" s="651"/>
      <c r="Q16" s="651"/>
      <c r="R16" s="24"/>
    </row>
    <row r="17" spans="1:18" ht="13.5" thickBot="1">
      <c r="A17" s="117" t="s">
        <v>1</v>
      </c>
      <c r="B17" s="35"/>
      <c r="C17" s="35"/>
      <c r="D17" s="688">
        <f>(D11-D13+D15)</f>
        <v>307000</v>
      </c>
      <c r="E17" s="688">
        <f t="shared" ref="E17:Q17" si="0">(E11-E13+E15)</f>
        <v>286000</v>
      </c>
      <c r="F17" s="688">
        <f t="shared" si="0"/>
        <v>280000</v>
      </c>
      <c r="G17" s="688">
        <f t="shared" si="0"/>
        <v>338000</v>
      </c>
      <c r="H17" s="689">
        <f t="shared" si="0"/>
        <v>339570</v>
      </c>
      <c r="I17" s="689">
        <f t="shared" si="0"/>
        <v>341107.35</v>
      </c>
      <c r="J17" s="689">
        <f t="shared" si="0"/>
        <v>342610.47075000015</v>
      </c>
      <c r="K17" s="689">
        <f t="shared" si="0"/>
        <v>344077.73554875021</v>
      </c>
      <c r="L17" s="689">
        <f t="shared" si="0"/>
        <v>345507.4689871688</v>
      </c>
      <c r="M17" s="689">
        <f t="shared" si="0"/>
        <v>346897.94566031912</v>
      </c>
      <c r="N17" s="689">
        <f t="shared" si="0"/>
        <v>348247.38884718093</v>
      </c>
      <c r="O17" s="689">
        <f t="shared" si="0"/>
        <v>349553.96915744728</v>
      </c>
      <c r="P17" s="689">
        <f t="shared" si="0"/>
        <v>350815.80314454727</v>
      </c>
      <c r="Q17" s="689">
        <f t="shared" si="0"/>
        <v>352030.95188408584</v>
      </c>
      <c r="R17" s="24"/>
    </row>
    <row r="18" spans="1:18" ht="13.5" thickTop="1">
      <c r="D18" s="16"/>
      <c r="E18" s="16"/>
      <c r="F18" s="16"/>
      <c r="G18" s="16"/>
      <c r="R18" s="24"/>
    </row>
    <row r="19" spans="1:18">
      <c r="A19" s="347" t="str">
        <f>'Pipeline Co IS'!A35</f>
        <v>DEPRECIATION AND AMORTIZATION</v>
      </c>
      <c r="D19" s="954">
        <f>'Pipeline Co IS'!D35</f>
        <v>56000</v>
      </c>
      <c r="E19" s="954">
        <f>'Pipeline Co IS'!E35</f>
        <v>58000</v>
      </c>
      <c r="F19" s="954">
        <f>'Pipeline Co IS'!F35</f>
        <v>65000</v>
      </c>
      <c r="G19" s="954">
        <f>'Pipeline Co IS'!G35</f>
        <v>66000</v>
      </c>
      <c r="H19" s="938">
        <f>'Pipeline Co IS'!H35</f>
        <v>58440</v>
      </c>
      <c r="I19" s="938">
        <f>'Pipeline Co IS'!I35</f>
        <v>59970.15</v>
      </c>
      <c r="J19" s="938">
        <f>'Pipeline Co IS'!J35</f>
        <v>61515.601500000004</v>
      </c>
      <c r="K19" s="938">
        <f>'Pipeline Co IS'!K35</f>
        <v>63076.507514999998</v>
      </c>
      <c r="L19" s="938">
        <f>'Pipeline Co IS'!L35</f>
        <v>64653.022590150002</v>
      </c>
      <c r="M19" s="938">
        <f>'Pipeline Co IS'!M35</f>
        <v>66245.302816051495</v>
      </c>
      <c r="N19" s="938">
        <f>'Pipeline Co IS'!N35</f>
        <v>67853.505844212021</v>
      </c>
      <c r="O19" s="938">
        <f>'Pipeline Co IS'!O35</f>
        <v>69477.790902654131</v>
      </c>
      <c r="P19" s="938">
        <f>'Pipeline Co IS'!P35</f>
        <v>71118.31881168067</v>
      </c>
      <c r="Q19" s="938">
        <f>'Pipeline Co IS'!Q35</f>
        <v>72775.251999797489</v>
      </c>
      <c r="R19" s="24"/>
    </row>
    <row r="20" spans="1:18">
      <c r="D20" s="16"/>
      <c r="E20" s="16"/>
      <c r="F20" s="16"/>
      <c r="G20" s="16"/>
      <c r="R20" s="24"/>
    </row>
    <row r="21" spans="1:18" ht="13.5" thickBot="1">
      <c r="A21" s="6" t="s">
        <v>2</v>
      </c>
      <c r="D21" s="858">
        <f>D17-D19</f>
        <v>251000</v>
      </c>
      <c r="E21" s="858">
        <f t="shared" ref="E21:Q21" si="1">E17-E19</f>
        <v>228000</v>
      </c>
      <c r="F21" s="858">
        <f t="shared" si="1"/>
        <v>215000</v>
      </c>
      <c r="G21" s="858">
        <f t="shared" si="1"/>
        <v>272000</v>
      </c>
      <c r="H21" s="859">
        <f t="shared" si="1"/>
        <v>281130</v>
      </c>
      <c r="I21" s="859">
        <f t="shared" si="1"/>
        <v>281137.19999999995</v>
      </c>
      <c r="J21" s="859">
        <f t="shared" si="1"/>
        <v>281094.86925000016</v>
      </c>
      <c r="K21" s="859">
        <f t="shared" si="1"/>
        <v>281001.2280337502</v>
      </c>
      <c r="L21" s="859">
        <f t="shared" si="1"/>
        <v>280854.44639701879</v>
      </c>
      <c r="M21" s="859">
        <f t="shared" si="1"/>
        <v>280652.64284426766</v>
      </c>
      <c r="N21" s="859">
        <f t="shared" si="1"/>
        <v>280393.88300296891</v>
      </c>
      <c r="O21" s="859">
        <f t="shared" si="1"/>
        <v>280076.17825479317</v>
      </c>
      <c r="P21" s="859">
        <f t="shared" si="1"/>
        <v>279697.48433286662</v>
      </c>
      <c r="Q21" s="859">
        <f t="shared" si="1"/>
        <v>279255.69988428836</v>
      </c>
      <c r="R21" s="24"/>
    </row>
    <row r="22" spans="1:18" ht="13.5" thickTop="1">
      <c r="D22" s="16"/>
      <c r="E22" s="16"/>
      <c r="F22" s="16"/>
      <c r="G22" s="16"/>
      <c r="R22" s="24"/>
    </row>
    <row r="23" spans="1:18" collapsed="1">
      <c r="A23" s="6" t="str">
        <f>'Pipeline Co IS'!A44</f>
        <v>TOTAL INTEREST EXPENSES</v>
      </c>
      <c r="D23" s="955">
        <f>'Pipeline Co IS'!D44</f>
        <v>77000</v>
      </c>
      <c r="E23" s="955">
        <f>'Pipeline Co IS'!E44</f>
        <v>78000</v>
      </c>
      <c r="F23" s="955">
        <f>'Pipeline Co IS'!F44</f>
        <v>85000</v>
      </c>
      <c r="G23" s="955">
        <f>'Pipeline Co IS'!G44</f>
        <v>84000</v>
      </c>
      <c r="H23" s="456">
        <f>'Pipeline Co IS'!H44</f>
        <v>89400</v>
      </c>
      <c r="I23" s="456">
        <f>'Pipeline Co IS'!I44</f>
        <v>80460</v>
      </c>
      <c r="J23" s="456">
        <f>'Pipeline Co IS'!J44</f>
        <v>71520</v>
      </c>
      <c r="K23" s="456">
        <f>'Pipeline Co IS'!K44</f>
        <v>62580</v>
      </c>
      <c r="L23" s="456">
        <f>'Pipeline Co IS'!L44</f>
        <v>53640</v>
      </c>
      <c r="M23" s="456">
        <f>'Pipeline Co IS'!M44</f>
        <v>44700</v>
      </c>
      <c r="N23" s="456">
        <f>'Pipeline Co IS'!N44</f>
        <v>35760</v>
      </c>
      <c r="O23" s="456">
        <f>'Pipeline Co IS'!O44</f>
        <v>26820</v>
      </c>
      <c r="P23" s="456">
        <f>'Pipeline Co IS'!P44</f>
        <v>17880</v>
      </c>
      <c r="Q23" s="456">
        <f>'Pipeline Co IS'!Q44</f>
        <v>8940</v>
      </c>
      <c r="R23" s="24"/>
    </row>
    <row r="24" spans="1:18">
      <c r="A24" s="6"/>
      <c r="D24" s="16"/>
      <c r="E24" s="16"/>
      <c r="F24" s="16"/>
      <c r="G24" s="16"/>
      <c r="R24" s="24"/>
    </row>
    <row r="25" spans="1:18" ht="13.5" thickBot="1">
      <c r="A25" s="6" t="str">
        <f>'Pipeline Co IS'!A46</f>
        <v>NET INCOME BEFORE INCOME TAXES</v>
      </c>
      <c r="D25" s="858">
        <f t="shared" ref="D25:Q25" si="2">D21+D15-D23</f>
        <v>198000</v>
      </c>
      <c r="E25" s="858">
        <f t="shared" si="2"/>
        <v>156000</v>
      </c>
      <c r="F25" s="858">
        <f t="shared" si="2"/>
        <v>138000</v>
      </c>
      <c r="G25" s="858">
        <f t="shared" si="2"/>
        <v>196000</v>
      </c>
      <c r="H25" s="859">
        <f t="shared" si="2"/>
        <v>199810</v>
      </c>
      <c r="I25" s="859">
        <f t="shared" si="2"/>
        <v>208837.99999999994</v>
      </c>
      <c r="J25" s="859">
        <f t="shared" si="2"/>
        <v>217817.27725000016</v>
      </c>
      <c r="K25" s="859">
        <f t="shared" si="2"/>
        <v>226746.06011375022</v>
      </c>
      <c r="L25" s="859">
        <f t="shared" si="2"/>
        <v>235622.52679781878</v>
      </c>
      <c r="M25" s="859">
        <f t="shared" si="2"/>
        <v>244444.80404907564</v>
      </c>
      <c r="N25" s="859">
        <f t="shared" si="2"/>
        <v>253210.96581982501</v>
      </c>
      <c r="O25" s="859">
        <f t="shared" si="2"/>
        <v>261919.03189981781</v>
      </c>
      <c r="P25" s="859">
        <f t="shared" si="2"/>
        <v>270566.96651434153</v>
      </c>
      <c r="Q25" s="859">
        <f t="shared" si="2"/>
        <v>279152.67688757798</v>
      </c>
      <c r="R25" s="24"/>
    </row>
    <row r="26" spans="1:18" ht="13.5" thickTop="1">
      <c r="A26" s="6"/>
      <c r="D26" s="16"/>
      <c r="E26" s="16"/>
      <c r="F26" s="16"/>
      <c r="G26" s="16"/>
      <c r="R26" s="24"/>
    </row>
    <row r="27" spans="1:18" collapsed="1">
      <c r="A27" s="6" t="str">
        <f>'Pipeline Co IS'!A53</f>
        <v>TOTAL TAXES</v>
      </c>
      <c r="D27" s="952">
        <f>'Pipeline Co IS'!D53</f>
        <v>83000</v>
      </c>
      <c r="E27" s="952">
        <f>'Pipeline Co IS'!E53</f>
        <v>76000</v>
      </c>
      <c r="F27" s="952">
        <f>'Pipeline Co IS'!F53</f>
        <v>66000</v>
      </c>
      <c r="G27" s="952">
        <f>'Pipeline Co IS'!G53</f>
        <v>92000</v>
      </c>
      <c r="H27" s="953">
        <f>'Pipeline Co IS'!H53</f>
        <v>73816.05</v>
      </c>
      <c r="I27" s="953">
        <f>'Pipeline Co IS'!I53</f>
        <v>77260.72199999998</v>
      </c>
      <c r="J27" s="953">
        <f>'Pipeline Co IS'!J53</f>
        <v>80686.324661250066</v>
      </c>
      <c r="K27" s="953">
        <f>'Pipeline Co IS'!K53</f>
        <v>84092.172792993835</v>
      </c>
      <c r="L27" s="953">
        <f>'Pipeline Co IS'!L53</f>
        <v>87477.561862852235</v>
      </c>
      <c r="M27" s="953">
        <f>'Pipeline Co IS'!M53</f>
        <v>90841.767495043052</v>
      </c>
      <c r="N27" s="953">
        <f>'Pipeline Co IS'!N53</f>
        <v>94184.044956143029</v>
      </c>
      <c r="O27" s="953">
        <f>'Pipeline Co IS'!O53</f>
        <v>97503.628628095365</v>
      </c>
      <c r="P27" s="953">
        <f>'Pipeline Co IS'!P53</f>
        <v>100799.73146815365</v>
      </c>
      <c r="Q27" s="953">
        <f>'Pipeline Co IS'!Q53</f>
        <v>104071.54445545102</v>
      </c>
      <c r="R27" s="24"/>
    </row>
    <row r="28" spans="1:18">
      <c r="A28" s="6"/>
      <c r="D28" s="16"/>
      <c r="E28" s="16"/>
      <c r="F28" s="16"/>
      <c r="G28" s="16"/>
      <c r="R28" s="24"/>
    </row>
    <row r="29" spans="1:18" ht="13.5" thickBot="1">
      <c r="A29" s="6" t="s">
        <v>13</v>
      </c>
      <c r="D29" s="858">
        <f>D25-D27</f>
        <v>115000</v>
      </c>
      <c r="E29" s="858">
        <f t="shared" ref="E29:Q29" si="3">E25-E27</f>
        <v>80000</v>
      </c>
      <c r="F29" s="858">
        <f t="shared" si="3"/>
        <v>72000</v>
      </c>
      <c r="G29" s="858">
        <f t="shared" si="3"/>
        <v>104000</v>
      </c>
      <c r="H29" s="859">
        <f t="shared" si="3"/>
        <v>125993.95</v>
      </c>
      <c r="I29" s="859">
        <f t="shared" si="3"/>
        <v>131577.27799999996</v>
      </c>
      <c r="J29" s="859">
        <f t="shared" si="3"/>
        <v>137130.95258875011</v>
      </c>
      <c r="K29" s="859">
        <f t="shared" si="3"/>
        <v>142653.88732075639</v>
      </c>
      <c r="L29" s="859">
        <f t="shared" si="3"/>
        <v>148144.96493496653</v>
      </c>
      <c r="M29" s="859">
        <f t="shared" si="3"/>
        <v>153603.03655403259</v>
      </c>
      <c r="N29" s="859">
        <f t="shared" si="3"/>
        <v>159026.920863682</v>
      </c>
      <c r="O29" s="859">
        <f t="shared" si="3"/>
        <v>164415.40327172243</v>
      </c>
      <c r="P29" s="859">
        <f t="shared" si="3"/>
        <v>169767.23504618788</v>
      </c>
      <c r="Q29" s="859">
        <f t="shared" si="3"/>
        <v>175081.13243212696</v>
      </c>
      <c r="R29" s="24"/>
    </row>
    <row r="30" spans="1:18" ht="13.5" thickTop="1">
      <c r="A30" s="6"/>
      <c r="D30" s="16"/>
      <c r="E30" s="16"/>
      <c r="F30" s="16"/>
      <c r="G30" s="16"/>
      <c r="R30" s="24"/>
    </row>
    <row r="31" spans="1:18">
      <c r="A31" s="6" t="s">
        <v>609</v>
      </c>
      <c r="D31" s="954"/>
      <c r="E31" s="954"/>
      <c r="F31" s="954"/>
      <c r="G31" s="954"/>
      <c r="H31" s="652"/>
      <c r="I31" s="652"/>
      <c r="J31" s="652"/>
      <c r="K31" s="652"/>
      <c r="L31" s="652"/>
      <c r="M31" s="652"/>
      <c r="N31" s="652"/>
      <c r="O31" s="652"/>
      <c r="P31" s="652"/>
      <c r="Q31" s="652"/>
      <c r="R31" s="24"/>
    </row>
    <row r="32" spans="1:18">
      <c r="A32" s="23" t="s">
        <v>2</v>
      </c>
      <c r="D32" s="954">
        <f>D21</f>
        <v>251000</v>
      </c>
      <c r="E32" s="954">
        <f t="shared" ref="E32:Q32" si="4">E21</f>
        <v>228000</v>
      </c>
      <c r="F32" s="954">
        <f t="shared" si="4"/>
        <v>215000</v>
      </c>
      <c r="G32" s="954">
        <f t="shared" si="4"/>
        <v>272000</v>
      </c>
      <c r="H32" s="652">
        <f t="shared" si="4"/>
        <v>281130</v>
      </c>
      <c r="I32" s="652">
        <f t="shared" si="4"/>
        <v>281137.19999999995</v>
      </c>
      <c r="J32" s="652">
        <f t="shared" si="4"/>
        <v>281094.86925000016</v>
      </c>
      <c r="K32" s="652">
        <f t="shared" si="4"/>
        <v>281001.2280337502</v>
      </c>
      <c r="L32" s="652">
        <f t="shared" si="4"/>
        <v>280854.44639701879</v>
      </c>
      <c r="M32" s="652">
        <f t="shared" si="4"/>
        <v>280652.64284426766</v>
      </c>
      <c r="N32" s="652">
        <f t="shared" si="4"/>
        <v>280393.88300296891</v>
      </c>
      <c r="O32" s="652">
        <f t="shared" si="4"/>
        <v>280076.17825479317</v>
      </c>
      <c r="P32" s="652">
        <f t="shared" si="4"/>
        <v>279697.48433286662</v>
      </c>
      <c r="Q32" s="652">
        <f t="shared" si="4"/>
        <v>279255.69988428836</v>
      </c>
    </row>
    <row r="33" spans="1:18">
      <c r="A33" s="23" t="s">
        <v>610</v>
      </c>
      <c r="D33" s="954">
        <f>D27</f>
        <v>83000</v>
      </c>
      <c r="E33" s="954">
        <f t="shared" ref="E33:Q33" si="5">E27</f>
        <v>76000</v>
      </c>
      <c r="F33" s="954">
        <f t="shared" si="5"/>
        <v>66000</v>
      </c>
      <c r="G33" s="954">
        <f t="shared" si="5"/>
        <v>92000</v>
      </c>
      <c r="H33" s="652">
        <f t="shared" si="5"/>
        <v>73816.05</v>
      </c>
      <c r="I33" s="652">
        <f t="shared" si="5"/>
        <v>77260.72199999998</v>
      </c>
      <c r="J33" s="652">
        <f t="shared" si="5"/>
        <v>80686.324661250066</v>
      </c>
      <c r="K33" s="652">
        <f t="shared" si="5"/>
        <v>84092.172792993835</v>
      </c>
      <c r="L33" s="652">
        <f t="shared" si="5"/>
        <v>87477.561862852235</v>
      </c>
      <c r="M33" s="652">
        <f t="shared" si="5"/>
        <v>90841.767495043052</v>
      </c>
      <c r="N33" s="652">
        <f t="shared" si="5"/>
        <v>94184.044956143029</v>
      </c>
      <c r="O33" s="652">
        <f t="shared" si="5"/>
        <v>97503.628628095365</v>
      </c>
      <c r="P33" s="652">
        <f t="shared" si="5"/>
        <v>100799.73146815365</v>
      </c>
      <c r="Q33" s="652">
        <f t="shared" si="5"/>
        <v>104071.54445545102</v>
      </c>
    </row>
    <row r="34" spans="1:18">
      <c r="A34" s="23" t="s">
        <v>611</v>
      </c>
      <c r="D34" s="954"/>
      <c r="E34" s="954"/>
      <c r="F34" s="954"/>
      <c r="G34" s="954"/>
      <c r="H34" s="652"/>
      <c r="I34" s="652"/>
      <c r="J34" s="652"/>
      <c r="K34" s="652"/>
      <c r="L34" s="652"/>
      <c r="M34" s="652"/>
      <c r="N34" s="652"/>
      <c r="O34" s="652"/>
      <c r="P34" s="652"/>
      <c r="Q34" s="652"/>
    </row>
    <row r="35" spans="1:18">
      <c r="A35" s="23" t="s">
        <v>612</v>
      </c>
      <c r="D35" s="954">
        <f>D19</f>
        <v>56000</v>
      </c>
      <c r="E35" s="954">
        <f t="shared" ref="E35:Q35" si="6">E19</f>
        <v>58000</v>
      </c>
      <c r="F35" s="954">
        <f t="shared" si="6"/>
        <v>65000</v>
      </c>
      <c r="G35" s="954">
        <f t="shared" si="6"/>
        <v>66000</v>
      </c>
      <c r="H35" s="652">
        <f t="shared" si="6"/>
        <v>58440</v>
      </c>
      <c r="I35" s="652">
        <f t="shared" si="6"/>
        <v>59970.15</v>
      </c>
      <c r="J35" s="652">
        <f t="shared" si="6"/>
        <v>61515.601500000004</v>
      </c>
      <c r="K35" s="652">
        <f t="shared" si="6"/>
        <v>63076.507514999998</v>
      </c>
      <c r="L35" s="652">
        <f t="shared" si="6"/>
        <v>64653.022590150002</v>
      </c>
      <c r="M35" s="652">
        <f t="shared" si="6"/>
        <v>66245.302816051495</v>
      </c>
      <c r="N35" s="652">
        <f t="shared" si="6"/>
        <v>67853.505844212021</v>
      </c>
      <c r="O35" s="652">
        <f t="shared" si="6"/>
        <v>69477.790902654131</v>
      </c>
      <c r="P35" s="652">
        <f t="shared" si="6"/>
        <v>71118.31881168067</v>
      </c>
      <c r="Q35" s="652">
        <f t="shared" si="6"/>
        <v>72775.251999797489</v>
      </c>
      <c r="R35" s="695" t="s">
        <v>616</v>
      </c>
    </row>
    <row r="36" spans="1:18">
      <c r="A36" s="23" t="s">
        <v>615</v>
      </c>
      <c r="D36" s="954">
        <f>'Pipeline Co CF'!D29</f>
        <v>4000</v>
      </c>
      <c r="E36" s="954">
        <f>'Pipeline Co CF'!E29</f>
        <v>22000</v>
      </c>
      <c r="F36" s="954">
        <f>'Pipeline Co CF'!F29</f>
        <v>-35000</v>
      </c>
      <c r="G36" s="954">
        <f>'Pipeline Co CF'!I29</f>
        <v>0</v>
      </c>
      <c r="H36" s="652">
        <f>'Pipeline Co CF'!J29</f>
        <v>-31785.561643835605</v>
      </c>
      <c r="I36" s="652">
        <f>'Pipeline Co CF'!K29</f>
        <v>-1815.7097260273949</v>
      </c>
      <c r="J36" s="652">
        <f>'Pipeline Co CF'!L29</f>
        <v>-1840.7795321918165</v>
      </c>
      <c r="K36" s="652">
        <f>'Pipeline Co CF'!M29</f>
        <v>-1866.2582766061714</v>
      </c>
      <c r="L36" s="652">
        <f>'Pipeline Co CF'!N29</f>
        <v>-1892.1538959673053</v>
      </c>
      <c r="M36" s="652">
        <f>'Pipeline Co CF'!O29</f>
        <v>-1918.474505833954</v>
      </c>
      <c r="N36" s="652">
        <f>'Pipeline Co CF'!P29</f>
        <v>-1945.2284051332463</v>
      </c>
      <c r="O36" s="652">
        <f>'Pipeline Co CF'!Q29</f>
        <v>-1972.424080790468</v>
      </c>
      <c r="P36" s="652">
        <f>'Pipeline Co CF'!R29</f>
        <v>-2000.0702124843301</v>
      </c>
      <c r="Q36" s="652">
        <f>'Pipeline Co CF'!S29</f>
        <v>-2028.1756775321301</v>
      </c>
      <c r="R36" s="695" t="s">
        <v>1</v>
      </c>
    </row>
    <row r="37" spans="1:18">
      <c r="A37" s="23" t="s">
        <v>599</v>
      </c>
      <c r="D37" s="954">
        <f>'Pipeline Co CF'!D34</f>
        <v>-85000</v>
      </c>
      <c r="E37" s="954">
        <f>'Pipeline Co CF'!E34</f>
        <v>-57000</v>
      </c>
      <c r="F37" s="954">
        <f>'Pipeline Co CF'!F34</f>
        <v>-129000</v>
      </c>
      <c r="G37" s="954">
        <f>'Pipeline Co CF'!I34</f>
        <v>-60000</v>
      </c>
      <c r="H37" s="652">
        <f>'Pipeline Co CF'!J34</f>
        <v>-60600</v>
      </c>
      <c r="I37" s="652">
        <f>'Pipeline Co CF'!K34</f>
        <v>-61206</v>
      </c>
      <c r="J37" s="652">
        <f>'Pipeline Co CF'!L34</f>
        <v>-61818.06</v>
      </c>
      <c r="K37" s="652">
        <f>'Pipeline Co CF'!M34</f>
        <v>-62436.240599999997</v>
      </c>
      <c r="L37" s="652">
        <f>'Pipeline Co CF'!N34</f>
        <v>-63060.603005999998</v>
      </c>
      <c r="M37" s="652">
        <f>'Pipeline Co CF'!O34</f>
        <v>-63691.209036059998</v>
      </c>
      <c r="N37" s="652">
        <f>'Pipeline Co CF'!P34</f>
        <v>-64328.121126420599</v>
      </c>
      <c r="O37" s="652">
        <f>'Pipeline Co CF'!Q34</f>
        <v>-64971.402337684805</v>
      </c>
      <c r="P37" s="652">
        <f>'Pipeline Co CF'!R34</f>
        <v>-65621.11636106165</v>
      </c>
      <c r="Q37" s="652">
        <f>'Pipeline Co CF'!S34</f>
        <v>-66277.327524672262</v>
      </c>
      <c r="R37" s="695" t="s">
        <v>59</v>
      </c>
    </row>
    <row r="38" spans="1:18">
      <c r="A38" s="23" t="s">
        <v>613</v>
      </c>
      <c r="D38" s="954"/>
      <c r="E38" s="954"/>
      <c r="F38" s="954">
        <f>('Pipeline Co BS'!E17+'Pipeline Co BS'!E29)-('Pipeline Co BS'!F17+'Pipeline Co BS'!F30)</f>
        <v>-19000</v>
      </c>
      <c r="G38" s="954">
        <f>('Pipeline Co BS'!F17+'Pipeline Co BS'!F29)-('Pipeline Co BS'!G17+'Pipeline Co BS'!G30)</f>
        <v>-54000</v>
      </c>
      <c r="H38" s="652">
        <f>('Pipeline Co BS'!G17+'Pipeline Co BS'!G29)-('Pipeline Co BS'!H17+'Pipeline Co BS'!H30)</f>
        <v>93000</v>
      </c>
      <c r="I38" s="652">
        <f>('Pipeline Co BS'!H17+'Pipeline Co BS'!H29)-('Pipeline Co BS'!I17+'Pipeline Co BS'!I30)</f>
        <v>0</v>
      </c>
      <c r="J38" s="652">
        <f>('Pipeline Co BS'!I17+'Pipeline Co BS'!I29)-('Pipeline Co BS'!J17+'Pipeline Co BS'!J30)</f>
        <v>-83000</v>
      </c>
      <c r="K38" s="652">
        <f>('Pipeline Co BS'!J17+'Pipeline Co BS'!J29)-('Pipeline Co BS'!K17+'Pipeline Co BS'!K30)</f>
        <v>10000</v>
      </c>
      <c r="L38" s="652">
        <f>('Pipeline Co BS'!K17+'Pipeline Co BS'!K29)-('Pipeline Co BS'!L17+'Pipeline Co BS'!L30)</f>
        <v>10000</v>
      </c>
      <c r="M38" s="652">
        <f>('Pipeline Co BS'!L17+'Pipeline Co BS'!L29)-('Pipeline Co BS'!M17+'Pipeline Co BS'!M30)</f>
        <v>10000</v>
      </c>
      <c r="N38" s="652">
        <f>('Pipeline Co BS'!M17+'Pipeline Co BS'!M29)-('Pipeline Co BS'!N17+'Pipeline Co BS'!N30)</f>
        <v>10000</v>
      </c>
      <c r="O38" s="652">
        <f>('Pipeline Co BS'!N17+'Pipeline Co BS'!N29)-('Pipeline Co BS'!O17+'Pipeline Co BS'!O30)</f>
        <v>10000</v>
      </c>
      <c r="P38" s="652">
        <f>('Pipeline Co BS'!O17+'Pipeline Co BS'!O29)-('Pipeline Co BS'!P17+'Pipeline Co BS'!P30)</f>
        <v>10000</v>
      </c>
      <c r="Q38" s="652">
        <f>('Pipeline Co BS'!P17+'Pipeline Co BS'!P29)-('Pipeline Co BS'!Q17+'Pipeline Co BS'!Q30)</f>
        <v>10000</v>
      </c>
      <c r="R38" s="696">
        <f>Assumptions!E44</f>
        <v>12</v>
      </c>
    </row>
    <row r="39" spans="1:18" ht="13.5" thickBot="1">
      <c r="A39" s="6" t="s">
        <v>614</v>
      </c>
      <c r="D39" s="858">
        <f>D32-D33+D34+D35+D36+D37+D38</f>
        <v>143000</v>
      </c>
      <c r="E39" s="858">
        <f t="shared" ref="E39:P39" si="7">E32-E33+E34+E35+E36+E37+E38</f>
        <v>175000</v>
      </c>
      <c r="F39" s="858">
        <f t="shared" si="7"/>
        <v>31000</v>
      </c>
      <c r="G39" s="858">
        <f t="shared" si="7"/>
        <v>132000</v>
      </c>
      <c r="H39" s="859">
        <f t="shared" si="7"/>
        <v>266368.38835616445</v>
      </c>
      <c r="I39" s="859">
        <f t="shared" si="7"/>
        <v>200824.91827397258</v>
      </c>
      <c r="J39" s="859">
        <f t="shared" si="7"/>
        <v>115265.30655655829</v>
      </c>
      <c r="K39" s="859">
        <f t="shared" si="7"/>
        <v>205683.0638791502</v>
      </c>
      <c r="L39" s="859">
        <f t="shared" si="7"/>
        <v>203077.15022234927</v>
      </c>
      <c r="M39" s="859">
        <f t="shared" si="7"/>
        <v>200446.49462338214</v>
      </c>
      <c r="N39" s="859">
        <f t="shared" si="7"/>
        <v>197789.99435948409</v>
      </c>
      <c r="O39" s="859">
        <f t="shared" si="7"/>
        <v>195106.51411087665</v>
      </c>
      <c r="P39" s="859">
        <f t="shared" si="7"/>
        <v>192394.88510284765</v>
      </c>
      <c r="Q39" s="859">
        <f>Q32-Q33+Q34+Q35+Q36+Q37+Q38+R39</f>
        <v>4414025.326835461</v>
      </c>
      <c r="R39" s="956">
        <f>Q17*R40</f>
        <v>4224371.4226090303</v>
      </c>
    </row>
    <row r="40" spans="1:18" ht="13.5" thickTop="1">
      <c r="A40" s="745"/>
      <c r="B40" s="35"/>
      <c r="C40" s="35"/>
      <c r="D40" s="651"/>
      <c r="E40" s="651"/>
      <c r="F40" s="651"/>
      <c r="G40" s="651"/>
      <c r="H40" s="651"/>
      <c r="I40" s="651"/>
      <c r="J40" s="651"/>
      <c r="K40" s="651"/>
      <c r="L40" s="651"/>
      <c r="M40" s="651"/>
      <c r="N40" s="651"/>
      <c r="O40" s="651"/>
      <c r="P40" s="651"/>
      <c r="Q40" s="651"/>
      <c r="R40" s="696">
        <f>Scenarios!C5</f>
        <v>12</v>
      </c>
    </row>
    <row r="41" spans="1:18">
      <c r="R41" s="778" t="s">
        <v>618</v>
      </c>
    </row>
    <row r="42" spans="1:18" ht="15">
      <c r="F42"/>
      <c r="G42" s="957" t="s">
        <v>10</v>
      </c>
      <c r="H42" s="958" t="str">
        <f>(Assumptions!D14-1&amp;" EBITDA")</f>
        <v>2001 EBITDA</v>
      </c>
      <c r="I42" s="958" t="s">
        <v>60</v>
      </c>
      <c r="J42" s="959"/>
      <c r="K42" s="1002" t="s">
        <v>617</v>
      </c>
      <c r="L42" s="1002"/>
      <c r="M42" s="1003"/>
      <c r="P42" s="1"/>
      <c r="Q42" s="1"/>
      <c r="R42" s="778" t="s">
        <v>370</v>
      </c>
    </row>
    <row r="43" spans="1:18" ht="15">
      <c r="F43"/>
      <c r="G43" s="960" t="s">
        <v>12</v>
      </c>
      <c r="H43" s="168" t="s">
        <v>19</v>
      </c>
      <c r="I43" s="168" t="s">
        <v>61</v>
      </c>
      <c r="J43" s="169"/>
      <c r="K43" s="973">
        <v>0.1</v>
      </c>
      <c r="L43" s="973">
        <v>0.125</v>
      </c>
      <c r="M43" s="974">
        <v>0.15</v>
      </c>
      <c r="P43" s="1"/>
      <c r="Q43" s="1"/>
    </row>
    <row r="44" spans="1:18">
      <c r="F44" s="8" t="s">
        <v>17</v>
      </c>
      <c r="G44" s="961"/>
      <c r="H44" s="173"/>
      <c r="I44" s="173"/>
      <c r="J44" s="162"/>
      <c r="K44" s="162"/>
      <c r="L44" s="162"/>
      <c r="M44" s="962"/>
      <c r="P44" s="1"/>
      <c r="Q44" s="1"/>
    </row>
    <row r="45" spans="1:18">
      <c r="F45">
        <f>IF(ABS(G45-L45)&lt;0.05,0,1)</f>
        <v>1</v>
      </c>
      <c r="G45" s="963">
        <v>2875629.9945915965</v>
      </c>
      <c r="H45" s="964">
        <f>G45/F17</f>
        <v>10.270107123541417</v>
      </c>
      <c r="I45" s="965" t="str">
        <f>Assumptions!D41</f>
        <v>ETS</v>
      </c>
      <c r="J45" s="966"/>
      <c r="K45" s="967">
        <f>NPV(K43,$H$39:$Q$39)</f>
        <v>2850358.898325725</v>
      </c>
      <c r="L45" s="967">
        <f>NPV(L43,$H$39:$Q$39,H8:Q8)</f>
        <v>2471429.7317711283</v>
      </c>
      <c r="M45" s="968">
        <f>NPV(M43,$H$39:$Q$39)</f>
        <v>2048397.1687291379</v>
      </c>
      <c r="P45" s="1"/>
      <c r="Q45" s="1"/>
      <c r="R45" s="1"/>
    </row>
    <row r="46" spans="1:18">
      <c r="F46"/>
      <c r="G46" s="12"/>
      <c r="H46" s="163"/>
      <c r="I46" s="163"/>
      <c r="J46" s="12"/>
      <c r="K46" s="781"/>
      <c r="L46" s="782"/>
      <c r="M46" s="78"/>
      <c r="P46" s="1"/>
      <c r="Q46" s="1"/>
      <c r="R46" s="1"/>
    </row>
    <row r="47" spans="1:18">
      <c r="F47" s="12"/>
      <c r="H47" s="1"/>
      <c r="I47" s="1"/>
      <c r="J47" s="1"/>
      <c r="K47" s="781"/>
      <c r="L47" s="78"/>
      <c r="N47" s="1"/>
      <c r="O47" s="1"/>
      <c r="P47" s="1"/>
      <c r="Q47" s="1"/>
    </row>
    <row r="48" spans="1:18">
      <c r="D48" s="12"/>
      <c r="E48" s="12"/>
      <c r="F48" s="12"/>
      <c r="G48" s="1">
        <f>Asset3PurPrice</f>
        <v>2875629.9945915965</v>
      </c>
      <c r="H48" s="12"/>
      <c r="I48" s="24"/>
      <c r="J48" s="24"/>
      <c r="K48" s="24"/>
      <c r="L48" s="24"/>
      <c r="M48" s="24"/>
      <c r="N48" s="24"/>
      <c r="O48" s="24"/>
      <c r="P48" s="24"/>
      <c r="Q48" s="24"/>
    </row>
  </sheetData>
  <mergeCells count="1">
    <mergeCell ref="K42:M42"/>
  </mergeCells>
  <phoneticPr fontId="0" type="noConversion"/>
  <conditionalFormatting sqref="C11">
    <cfRule type="cellIs" dxfId="3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7" max="16383" man="1"/>
  </rowBreak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4">
    <pageSetUpPr fitToPage="1"/>
  </sheetPr>
  <dimension ref="A1:S163"/>
  <sheetViews>
    <sheetView showGridLines="0" tabSelected="1" zoomScale="75" zoomScaleNormal="75" workbookViewId="0">
      <selection activeCell="F4" sqref="F4"/>
    </sheetView>
  </sheetViews>
  <sheetFormatPr defaultRowHeight="12.75" outlineLevelRow="1" outlineLevelCol="1"/>
  <cols>
    <col min="1" max="1" width="42.28515625" customWidth="1"/>
    <col min="2" max="2" width="10.42578125" customWidth="1" outlineLevel="1"/>
    <col min="3" max="3" width="16.28515625" customWidth="1" outlineLevel="1"/>
    <col min="4" max="4" width="15" style="24" bestFit="1" customWidth="1"/>
    <col min="5" max="5" width="14.7109375" style="24" bestFit="1" customWidth="1"/>
    <col min="6" max="6" width="15.85546875" style="24" bestFit="1" customWidth="1"/>
    <col min="7" max="7" width="15" customWidth="1"/>
    <col min="8" max="9" width="15.140625" bestFit="1" customWidth="1"/>
    <col min="10" max="10" width="1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9" ht="20.25">
      <c r="A1" s="969" t="str">
        <f>"Project "&amp;Assumptions!D7</f>
        <v>Project Wolverine</v>
      </c>
      <c r="B1" s="35"/>
      <c r="C1" s="35"/>
      <c r="D1" s="60"/>
      <c r="E1" s="60"/>
      <c r="F1" s="866" t="s">
        <v>181</v>
      </c>
      <c r="G1" s="561"/>
      <c r="H1" s="865"/>
      <c r="I1" s="865"/>
      <c r="J1" s="539"/>
    </row>
    <row r="2" spans="1:19" ht="15.75">
      <c r="A2" s="970" t="str">
        <f>'Org Chart'!B5</f>
        <v>Panhandle Eastern</v>
      </c>
      <c r="B2" s="160"/>
      <c r="C2" s="35"/>
      <c r="D2" s="47"/>
      <c r="E2" s="47"/>
      <c r="F2" s="562" t="str">
        <f>IF(AND(H63&gt;0.25,I63&gt;0.25,J63&gt;0.25,K63&gt;0.25,L64&gt;0.25,M64&gt;0.25,N63&gt;0.25,O63&gt;0.25,P63&gt;0.25,Q63&gt;0.25),"Revenue Growth Higher than 25%"," ")</f>
        <v xml:space="preserve"> </v>
      </c>
      <c r="G2" s="56"/>
      <c r="H2" s="56"/>
      <c r="I2" s="56"/>
      <c r="J2" s="131"/>
      <c r="R2" s="24"/>
    </row>
    <row r="3" spans="1:19" ht="16.5" thickBot="1">
      <c r="A3" s="971" t="s">
        <v>433</v>
      </c>
      <c r="B3" s="160"/>
      <c r="C3" s="35"/>
      <c r="D3" s="47"/>
      <c r="E3" s="47"/>
      <c r="F3" s="562" t="str">
        <f>IF(AND(H63&gt;0.25,I63&gt;0.25,J63&gt;0.25,K63&gt;0.25,L64&gt;0.25,M64&gt;0.25,N63&gt;0.25,O63&gt;0.25,P63&gt;0.25,Q63&gt;0.25),"Revenue Growth Higher than 25%"," ")</f>
        <v xml:space="preserve"> </v>
      </c>
      <c r="G3" s="35"/>
      <c r="H3" s="56"/>
      <c r="I3" s="56"/>
      <c r="J3" s="131"/>
      <c r="R3" s="24"/>
    </row>
    <row r="4" spans="1:19" ht="13.5" thickBot="1">
      <c r="A4" s="161"/>
      <c r="B4" s="160"/>
      <c r="D4" s="47"/>
      <c r="E4" s="47"/>
      <c r="F4" s="176"/>
      <c r="G4" s="177"/>
      <c r="H4" s="177"/>
      <c r="I4" s="177"/>
      <c r="J4" s="135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75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A10" s="6" t="s">
        <v>436</v>
      </c>
      <c r="D10" s="16"/>
      <c r="E10" s="16"/>
      <c r="F10" s="894"/>
      <c r="G10" s="855"/>
      <c r="H10" s="459"/>
      <c r="I10" s="459"/>
      <c r="J10" s="459"/>
      <c r="K10" s="459"/>
      <c r="L10" s="459"/>
      <c r="M10" s="459"/>
      <c r="N10" s="459"/>
      <c r="O10" s="459"/>
      <c r="P10" s="459"/>
      <c r="Q10" s="353"/>
      <c r="R10" s="1"/>
      <c r="S10" s="1"/>
    </row>
    <row r="11" spans="1:19">
      <c r="A11" t="str">
        <f t="shared" ref="A11:A16" si="0">A79</f>
        <v>Transportation &amp; Storage of NatGas</v>
      </c>
      <c r="D11" s="665">
        <f>D79</f>
        <v>468000</v>
      </c>
      <c r="E11" s="665">
        <f t="shared" ref="E11:Q11" si="1">E79</f>
        <v>441000</v>
      </c>
      <c r="F11" s="665">
        <f t="shared" si="1"/>
        <v>425000</v>
      </c>
      <c r="G11" s="876">
        <f t="shared" si="1"/>
        <v>424000</v>
      </c>
      <c r="H11" s="883">
        <f t="shared" si="1"/>
        <v>428240</v>
      </c>
      <c r="I11" s="883">
        <f t="shared" si="1"/>
        <v>432522.4</v>
      </c>
      <c r="J11" s="883">
        <f t="shared" si="1"/>
        <v>436847.62400000001</v>
      </c>
      <c r="K11" s="883">
        <f t="shared" si="1"/>
        <v>441216.10024</v>
      </c>
      <c r="L11" s="883">
        <f t="shared" si="1"/>
        <v>445628.26124239998</v>
      </c>
      <c r="M11" s="883">
        <f t="shared" si="1"/>
        <v>450084.54385482398</v>
      </c>
      <c r="N11" s="883">
        <f t="shared" si="1"/>
        <v>454585.38929337222</v>
      </c>
      <c r="O11" s="883">
        <f t="shared" si="1"/>
        <v>459131.24318630598</v>
      </c>
      <c r="P11" s="883">
        <f t="shared" si="1"/>
        <v>463722.55561816902</v>
      </c>
      <c r="Q11" s="883">
        <f t="shared" si="1"/>
        <v>468359.7811743507</v>
      </c>
      <c r="R11" s="1"/>
      <c r="S11" s="1"/>
    </row>
    <row r="12" spans="1:19">
      <c r="A12" t="str">
        <f t="shared" si="0"/>
        <v>LNG Terminalling Revenue</v>
      </c>
      <c r="D12" s="665">
        <f t="shared" ref="D12:Q16" si="2">D80</f>
        <v>0</v>
      </c>
      <c r="E12" s="665">
        <f t="shared" si="2"/>
        <v>0</v>
      </c>
      <c r="F12" s="665">
        <f t="shared" si="2"/>
        <v>0</v>
      </c>
      <c r="G12" s="876">
        <f t="shared" si="2"/>
        <v>98000</v>
      </c>
      <c r="H12" s="883">
        <f t="shared" si="2"/>
        <v>99960</v>
      </c>
      <c r="I12" s="883">
        <f t="shared" si="2"/>
        <v>101959.2</v>
      </c>
      <c r="J12" s="883">
        <f t="shared" si="2"/>
        <v>103998.38400000001</v>
      </c>
      <c r="K12" s="883">
        <f t="shared" si="2"/>
        <v>106078.35168000001</v>
      </c>
      <c r="L12" s="883">
        <f t="shared" si="2"/>
        <v>108199.91871360001</v>
      </c>
      <c r="M12" s="883">
        <f t="shared" si="2"/>
        <v>110363.91708787202</v>
      </c>
      <c r="N12" s="883">
        <f t="shared" si="2"/>
        <v>112571.19542962946</v>
      </c>
      <c r="O12" s="883">
        <f t="shared" si="2"/>
        <v>114822.61933822205</v>
      </c>
      <c r="P12" s="883">
        <f t="shared" si="2"/>
        <v>117119.0717249865</v>
      </c>
      <c r="Q12" s="883">
        <f t="shared" si="2"/>
        <v>119461.45315948623</v>
      </c>
      <c r="R12" s="1"/>
      <c r="S12" s="1"/>
    </row>
    <row r="13" spans="1:19">
      <c r="A13" t="str">
        <f t="shared" si="0"/>
        <v>Other</v>
      </c>
      <c r="D13" s="665">
        <f t="shared" si="2"/>
        <v>28000</v>
      </c>
      <c r="E13" s="665">
        <f t="shared" si="2"/>
        <v>30000</v>
      </c>
      <c r="F13" s="665">
        <f t="shared" si="2"/>
        <v>58000</v>
      </c>
      <c r="G13" s="876">
        <f t="shared" si="2"/>
        <v>18000</v>
      </c>
      <c r="H13" s="883">
        <f t="shared" si="2"/>
        <v>18540</v>
      </c>
      <c r="I13" s="883">
        <f t="shared" si="2"/>
        <v>19096.2</v>
      </c>
      <c r="J13" s="883">
        <f t="shared" si="2"/>
        <v>19669.086000000003</v>
      </c>
      <c r="K13" s="883">
        <f t="shared" si="2"/>
        <v>20259.158580000003</v>
      </c>
      <c r="L13" s="883">
        <f t="shared" si="2"/>
        <v>20866.933337400005</v>
      </c>
      <c r="M13" s="883">
        <f t="shared" si="2"/>
        <v>21492.941337522007</v>
      </c>
      <c r="N13" s="883">
        <f t="shared" si="2"/>
        <v>22137.729577647668</v>
      </c>
      <c r="O13" s="883">
        <f t="shared" si="2"/>
        <v>22801.861464977097</v>
      </c>
      <c r="P13" s="883">
        <f t="shared" si="2"/>
        <v>23485.917308926411</v>
      </c>
      <c r="Q13" s="883">
        <f t="shared" si="2"/>
        <v>24190.494828194205</v>
      </c>
      <c r="R13" s="1"/>
      <c r="S13" s="1"/>
    </row>
    <row r="14" spans="1:19" outlineLevel="1">
      <c r="A14" t="str">
        <f t="shared" si="0"/>
        <v>Revenue 4</v>
      </c>
      <c r="D14" s="665">
        <f t="shared" si="2"/>
        <v>0</v>
      </c>
      <c r="E14" s="665">
        <f t="shared" si="2"/>
        <v>0</v>
      </c>
      <c r="F14" s="665">
        <f t="shared" si="2"/>
        <v>0</v>
      </c>
      <c r="G14" s="876">
        <f t="shared" si="2"/>
        <v>0</v>
      </c>
      <c r="H14" s="883">
        <f t="shared" si="2"/>
        <v>0</v>
      </c>
      <c r="I14" s="883">
        <f t="shared" si="2"/>
        <v>0</v>
      </c>
      <c r="J14" s="883">
        <f t="shared" si="2"/>
        <v>0</v>
      </c>
      <c r="K14" s="883">
        <f t="shared" si="2"/>
        <v>0</v>
      </c>
      <c r="L14" s="883">
        <f t="shared" si="2"/>
        <v>0</v>
      </c>
      <c r="M14" s="883">
        <f t="shared" si="2"/>
        <v>0</v>
      </c>
      <c r="N14" s="883">
        <f t="shared" si="2"/>
        <v>0</v>
      </c>
      <c r="O14" s="883">
        <f t="shared" si="2"/>
        <v>0</v>
      </c>
      <c r="P14" s="883">
        <f t="shared" si="2"/>
        <v>0</v>
      </c>
      <c r="Q14" s="883">
        <f t="shared" si="2"/>
        <v>0</v>
      </c>
      <c r="R14" s="1"/>
      <c r="S14" s="1"/>
    </row>
    <row r="15" spans="1:19" outlineLevel="1">
      <c r="A15" t="str">
        <f t="shared" si="0"/>
        <v>Revenue 5</v>
      </c>
      <c r="D15" s="665">
        <f t="shared" si="2"/>
        <v>0</v>
      </c>
      <c r="E15" s="665">
        <f t="shared" si="2"/>
        <v>0</v>
      </c>
      <c r="F15" s="665">
        <f t="shared" si="2"/>
        <v>0</v>
      </c>
      <c r="G15" s="876">
        <f t="shared" si="2"/>
        <v>0</v>
      </c>
      <c r="H15" s="883">
        <f t="shared" si="2"/>
        <v>0</v>
      </c>
      <c r="I15" s="883">
        <f t="shared" si="2"/>
        <v>0</v>
      </c>
      <c r="J15" s="883">
        <f t="shared" si="2"/>
        <v>0</v>
      </c>
      <c r="K15" s="883">
        <f t="shared" si="2"/>
        <v>0</v>
      </c>
      <c r="L15" s="883">
        <f t="shared" si="2"/>
        <v>0</v>
      </c>
      <c r="M15" s="883">
        <f t="shared" si="2"/>
        <v>0</v>
      </c>
      <c r="N15" s="883">
        <f t="shared" si="2"/>
        <v>0</v>
      </c>
      <c r="O15" s="883">
        <f t="shared" si="2"/>
        <v>0</v>
      </c>
      <c r="P15" s="883">
        <f t="shared" si="2"/>
        <v>0</v>
      </c>
      <c r="Q15" s="883">
        <f t="shared" si="2"/>
        <v>0</v>
      </c>
      <c r="R15" s="24"/>
    </row>
    <row r="16" spans="1:19" outlineLevel="1">
      <c r="A16" t="str">
        <f t="shared" si="0"/>
        <v>Revenue 6</v>
      </c>
      <c r="D16" s="665">
        <f t="shared" si="2"/>
        <v>0</v>
      </c>
      <c r="E16" s="665">
        <f t="shared" si="2"/>
        <v>0</v>
      </c>
      <c r="F16" s="665">
        <f t="shared" si="2"/>
        <v>0</v>
      </c>
      <c r="G16" s="876">
        <f t="shared" si="2"/>
        <v>0</v>
      </c>
      <c r="H16" s="883">
        <f t="shared" si="2"/>
        <v>0</v>
      </c>
      <c r="I16" s="883">
        <f t="shared" si="2"/>
        <v>0</v>
      </c>
      <c r="J16" s="883">
        <f t="shared" si="2"/>
        <v>0</v>
      </c>
      <c r="K16" s="883">
        <f t="shared" si="2"/>
        <v>0</v>
      </c>
      <c r="L16" s="883">
        <f t="shared" si="2"/>
        <v>0</v>
      </c>
      <c r="M16" s="883">
        <f t="shared" si="2"/>
        <v>0</v>
      </c>
      <c r="N16" s="883">
        <f t="shared" si="2"/>
        <v>0</v>
      </c>
      <c r="O16" s="883">
        <f t="shared" si="2"/>
        <v>0</v>
      </c>
      <c r="P16" s="883">
        <f t="shared" si="2"/>
        <v>0</v>
      </c>
      <c r="Q16" s="883">
        <f t="shared" si="2"/>
        <v>0</v>
      </c>
      <c r="R16" s="24"/>
    </row>
    <row r="17" spans="1:18">
      <c r="A17" s="662" t="s">
        <v>440</v>
      </c>
      <c r="B17" s="88"/>
      <c r="C17" s="84"/>
      <c r="D17" s="861">
        <f t="shared" ref="D17:Q17" si="3">SUM(D11:D16)</f>
        <v>496000</v>
      </c>
      <c r="E17" s="861">
        <f t="shared" si="3"/>
        <v>471000</v>
      </c>
      <c r="F17" s="861">
        <f t="shared" si="3"/>
        <v>483000</v>
      </c>
      <c r="G17" s="861">
        <f t="shared" si="3"/>
        <v>540000</v>
      </c>
      <c r="H17" s="877">
        <f t="shared" si="3"/>
        <v>546740</v>
      </c>
      <c r="I17" s="877">
        <f t="shared" si="3"/>
        <v>553577.79999999993</v>
      </c>
      <c r="J17" s="877">
        <f t="shared" si="3"/>
        <v>560515.09400000004</v>
      </c>
      <c r="K17" s="877">
        <f t="shared" si="3"/>
        <v>567553.61050000007</v>
      </c>
      <c r="L17" s="877">
        <f t="shared" si="3"/>
        <v>574695.11329339992</v>
      </c>
      <c r="M17" s="877">
        <f t="shared" si="3"/>
        <v>581941.40228021797</v>
      </c>
      <c r="N17" s="877">
        <f t="shared" si="3"/>
        <v>589294.31430064933</v>
      </c>
      <c r="O17" s="877">
        <f t="shared" si="3"/>
        <v>596755.7239895052</v>
      </c>
      <c r="P17" s="877">
        <f t="shared" si="3"/>
        <v>604327.54465208203</v>
      </c>
      <c r="Q17" s="877">
        <f t="shared" si="3"/>
        <v>612011.72916203109</v>
      </c>
      <c r="R17" s="24"/>
    </row>
    <row r="18" spans="1:18">
      <c r="D18" s="247"/>
      <c r="E18" s="247"/>
      <c r="F18" s="18"/>
      <c r="G18" s="757"/>
      <c r="H18" s="12"/>
      <c r="I18" s="12"/>
      <c r="J18" s="12"/>
      <c r="K18" s="12"/>
      <c r="L18" s="1"/>
      <c r="M18" s="1"/>
      <c r="N18" s="1"/>
      <c r="O18" s="1"/>
      <c r="P18" s="1"/>
      <c r="Q18" s="1"/>
      <c r="R18" s="24"/>
    </row>
    <row r="19" spans="1:18">
      <c r="A19" s="6" t="s">
        <v>362</v>
      </c>
      <c r="D19" s="247"/>
      <c r="E19" s="247"/>
      <c r="F19" s="18"/>
      <c r="G19" s="757"/>
      <c r="H19" s="12"/>
      <c r="I19" s="12"/>
      <c r="J19" s="12"/>
      <c r="K19" s="12"/>
      <c r="L19" s="1"/>
      <c r="M19" s="1"/>
      <c r="N19" s="1"/>
      <c r="O19" s="1"/>
      <c r="P19" s="1"/>
      <c r="Q19" s="1"/>
      <c r="R19" s="24"/>
    </row>
    <row r="20" spans="1:18">
      <c r="A20" t="str">
        <f>A101</f>
        <v>Operation and Maintenance</v>
      </c>
      <c r="D20" s="665">
        <f t="shared" ref="D20:Q20" si="4">D101</f>
        <v>213000</v>
      </c>
      <c r="E20" s="665">
        <f t="shared" si="4"/>
        <v>191000</v>
      </c>
      <c r="F20" s="665">
        <f t="shared" si="4"/>
        <v>211000</v>
      </c>
      <c r="G20" s="887">
        <f t="shared" si="4"/>
        <v>210000</v>
      </c>
      <c r="H20" s="886">
        <f t="shared" si="4"/>
        <v>215249.99999999997</v>
      </c>
      <c r="I20" s="886">
        <f t="shared" si="4"/>
        <v>220631.24999999994</v>
      </c>
      <c r="J20" s="886">
        <f t="shared" si="4"/>
        <v>226147.03124999991</v>
      </c>
      <c r="K20" s="886">
        <f t="shared" si="4"/>
        <v>231800.70703124988</v>
      </c>
      <c r="L20" s="886">
        <f t="shared" si="4"/>
        <v>237595.7247070311</v>
      </c>
      <c r="M20" s="886">
        <f t="shared" si="4"/>
        <v>243535.61782470686</v>
      </c>
      <c r="N20" s="886">
        <f t="shared" si="4"/>
        <v>249624.0082703245</v>
      </c>
      <c r="O20" s="886">
        <f t="shared" si="4"/>
        <v>255864.6084770826</v>
      </c>
      <c r="P20" s="886">
        <f t="shared" si="4"/>
        <v>262261.22368900967</v>
      </c>
      <c r="Q20" s="886">
        <f t="shared" si="4"/>
        <v>268817.75428123487</v>
      </c>
      <c r="R20" s="24"/>
    </row>
    <row r="21" spans="1:18" outlineLevel="1">
      <c r="A21" t="str">
        <f>A102</f>
        <v>Expense 2</v>
      </c>
      <c r="D21" s="665">
        <f t="shared" ref="D21:Q21" si="5">D102</f>
        <v>0</v>
      </c>
      <c r="E21" s="665">
        <f t="shared" si="5"/>
        <v>0</v>
      </c>
      <c r="F21" s="665">
        <f t="shared" si="5"/>
        <v>0</v>
      </c>
      <c r="G21" s="665">
        <f t="shared" si="5"/>
        <v>0</v>
      </c>
      <c r="H21" s="886">
        <f t="shared" si="5"/>
        <v>0</v>
      </c>
      <c r="I21" s="886">
        <f t="shared" si="5"/>
        <v>0</v>
      </c>
      <c r="J21" s="886">
        <f t="shared" si="5"/>
        <v>0</v>
      </c>
      <c r="K21" s="886">
        <f t="shared" si="5"/>
        <v>0</v>
      </c>
      <c r="L21" s="886">
        <f t="shared" si="5"/>
        <v>0</v>
      </c>
      <c r="M21" s="886">
        <f t="shared" si="5"/>
        <v>0</v>
      </c>
      <c r="N21" s="886">
        <f t="shared" si="5"/>
        <v>0</v>
      </c>
      <c r="O21" s="886">
        <f t="shared" si="5"/>
        <v>0</v>
      </c>
      <c r="P21" s="886">
        <f t="shared" si="5"/>
        <v>0</v>
      </c>
      <c r="Q21" s="886">
        <f t="shared" si="5"/>
        <v>0</v>
      </c>
      <c r="R21" s="24"/>
    </row>
    <row r="22" spans="1:18" outlineLevel="1">
      <c r="A22" t="str">
        <f>A103</f>
        <v>Expense 3</v>
      </c>
      <c r="D22" s="665">
        <f t="shared" ref="D22:Q22" si="6">D103</f>
        <v>0</v>
      </c>
      <c r="E22" s="665">
        <f t="shared" si="6"/>
        <v>0</v>
      </c>
      <c r="F22" s="665">
        <f t="shared" si="6"/>
        <v>0</v>
      </c>
      <c r="G22" s="665">
        <f t="shared" si="6"/>
        <v>0</v>
      </c>
      <c r="H22" s="886">
        <f t="shared" si="6"/>
        <v>0</v>
      </c>
      <c r="I22" s="886">
        <f t="shared" si="6"/>
        <v>0</v>
      </c>
      <c r="J22" s="886">
        <f t="shared" si="6"/>
        <v>0</v>
      </c>
      <c r="K22" s="886">
        <f t="shared" si="6"/>
        <v>0</v>
      </c>
      <c r="L22" s="886">
        <f t="shared" si="6"/>
        <v>0</v>
      </c>
      <c r="M22" s="886">
        <f t="shared" si="6"/>
        <v>0</v>
      </c>
      <c r="N22" s="886">
        <f t="shared" si="6"/>
        <v>0</v>
      </c>
      <c r="O22" s="886">
        <f t="shared" si="6"/>
        <v>0</v>
      </c>
      <c r="P22" s="886">
        <f t="shared" si="6"/>
        <v>0</v>
      </c>
      <c r="Q22" s="886">
        <f t="shared" si="6"/>
        <v>0</v>
      </c>
      <c r="R22" s="24"/>
    </row>
    <row r="23" spans="1:18" outlineLevel="1">
      <c r="A23" t="str">
        <f>A104</f>
        <v>Expense 4</v>
      </c>
      <c r="D23" s="665">
        <f t="shared" ref="D23:Q23" si="7">D104</f>
        <v>0</v>
      </c>
      <c r="E23" s="665">
        <f t="shared" si="7"/>
        <v>0</v>
      </c>
      <c r="F23" s="665">
        <f t="shared" si="7"/>
        <v>0</v>
      </c>
      <c r="G23" s="665">
        <f t="shared" si="7"/>
        <v>0</v>
      </c>
      <c r="H23" s="886">
        <f t="shared" si="7"/>
        <v>0</v>
      </c>
      <c r="I23" s="886">
        <f t="shared" si="7"/>
        <v>0</v>
      </c>
      <c r="J23" s="886">
        <f t="shared" si="7"/>
        <v>0</v>
      </c>
      <c r="K23" s="886">
        <f t="shared" si="7"/>
        <v>0</v>
      </c>
      <c r="L23" s="886">
        <f t="shared" si="7"/>
        <v>0</v>
      </c>
      <c r="M23" s="886">
        <f t="shared" si="7"/>
        <v>0</v>
      </c>
      <c r="N23" s="886">
        <f t="shared" si="7"/>
        <v>0</v>
      </c>
      <c r="O23" s="886">
        <f t="shared" si="7"/>
        <v>0</v>
      </c>
      <c r="P23" s="886">
        <f t="shared" si="7"/>
        <v>0</v>
      </c>
      <c r="Q23" s="886">
        <f t="shared" si="7"/>
        <v>0</v>
      </c>
      <c r="R23" s="24"/>
    </row>
    <row r="24" spans="1:18" outlineLevel="1">
      <c r="A24" t="str">
        <f>A105</f>
        <v>Expense 5</v>
      </c>
      <c r="D24" s="665">
        <f t="shared" ref="D24:Q24" si="8">D105</f>
        <v>0</v>
      </c>
      <c r="E24" s="665">
        <f t="shared" si="8"/>
        <v>0</v>
      </c>
      <c r="F24" s="665">
        <f t="shared" si="8"/>
        <v>0</v>
      </c>
      <c r="G24" s="665">
        <f t="shared" si="8"/>
        <v>0</v>
      </c>
      <c r="H24" s="886">
        <f t="shared" si="8"/>
        <v>0</v>
      </c>
      <c r="I24" s="886">
        <f t="shared" si="8"/>
        <v>0</v>
      </c>
      <c r="J24" s="886">
        <f t="shared" si="8"/>
        <v>0</v>
      </c>
      <c r="K24" s="886">
        <f t="shared" si="8"/>
        <v>0</v>
      </c>
      <c r="L24" s="886">
        <f t="shared" si="8"/>
        <v>0</v>
      </c>
      <c r="M24" s="886">
        <f t="shared" si="8"/>
        <v>0</v>
      </c>
      <c r="N24" s="886">
        <f t="shared" si="8"/>
        <v>0</v>
      </c>
      <c r="O24" s="886">
        <f t="shared" si="8"/>
        <v>0</v>
      </c>
      <c r="P24" s="886">
        <f t="shared" si="8"/>
        <v>0</v>
      </c>
      <c r="Q24" s="886">
        <f t="shared" si="8"/>
        <v>0</v>
      </c>
      <c r="R24" s="24"/>
    </row>
    <row r="25" spans="1:18">
      <c r="A25" s="117" t="s">
        <v>441</v>
      </c>
      <c r="B25" s="87"/>
      <c r="C25" s="35"/>
      <c r="D25" s="862">
        <f t="shared" ref="D25:Q25" si="9">SUM(D20:D24)</f>
        <v>213000</v>
      </c>
      <c r="E25" s="862">
        <f t="shared" si="9"/>
        <v>191000</v>
      </c>
      <c r="F25" s="862">
        <f t="shared" si="9"/>
        <v>211000</v>
      </c>
      <c r="G25" s="862">
        <f t="shared" si="9"/>
        <v>210000</v>
      </c>
      <c r="H25" s="863">
        <f t="shared" si="9"/>
        <v>215249.99999999997</v>
      </c>
      <c r="I25" s="863">
        <f t="shared" si="9"/>
        <v>220631.24999999994</v>
      </c>
      <c r="J25" s="863">
        <f t="shared" si="9"/>
        <v>226147.03124999991</v>
      </c>
      <c r="K25" s="863">
        <f t="shared" si="9"/>
        <v>231800.70703124988</v>
      </c>
      <c r="L25" s="863">
        <f t="shared" si="9"/>
        <v>237595.7247070311</v>
      </c>
      <c r="M25" s="863">
        <f t="shared" si="9"/>
        <v>243535.61782470686</v>
      </c>
      <c r="N25" s="863">
        <f t="shared" si="9"/>
        <v>249624.0082703245</v>
      </c>
      <c r="O25" s="863">
        <f t="shared" si="9"/>
        <v>255864.6084770826</v>
      </c>
      <c r="P25" s="863">
        <f t="shared" si="9"/>
        <v>262261.22368900967</v>
      </c>
      <c r="Q25" s="863">
        <f t="shared" si="9"/>
        <v>268817.75428123487</v>
      </c>
      <c r="R25" s="24"/>
    </row>
    <row r="26" spans="1:18">
      <c r="A26" s="117"/>
      <c r="B26" s="87"/>
      <c r="C26" s="35"/>
      <c r="D26" s="650"/>
      <c r="E26" s="650"/>
      <c r="F26" s="650"/>
      <c r="G26" s="650"/>
      <c r="H26" s="651"/>
      <c r="I26" s="651"/>
      <c r="J26" s="651"/>
      <c r="K26" s="651"/>
      <c r="L26" s="651"/>
      <c r="M26" s="651"/>
      <c r="N26" s="651"/>
      <c r="O26" s="651"/>
      <c r="P26" s="651"/>
      <c r="Q26" s="651"/>
      <c r="R26" s="24"/>
    </row>
    <row r="27" spans="1:18">
      <c r="A27" s="6" t="s">
        <v>453</v>
      </c>
      <c r="D27" s="16"/>
      <c r="E27" s="16"/>
      <c r="F27" s="16"/>
      <c r="G27" s="16"/>
      <c r="R27" s="24"/>
    </row>
    <row r="28" spans="1:18">
      <c r="A28" t="s">
        <v>450</v>
      </c>
      <c r="D28" s="665">
        <f t="shared" ref="D28:Q28" si="10">D121</f>
        <v>24000</v>
      </c>
      <c r="E28" s="665">
        <f t="shared" si="10"/>
        <v>6000</v>
      </c>
      <c r="F28" s="665">
        <f t="shared" si="10"/>
        <v>8000</v>
      </c>
      <c r="G28" s="665">
        <f t="shared" si="10"/>
        <v>8000</v>
      </c>
      <c r="H28" s="882">
        <f t="shared" si="10"/>
        <v>8080</v>
      </c>
      <c r="I28" s="882">
        <f t="shared" si="10"/>
        <v>8160.8</v>
      </c>
      <c r="J28" s="882">
        <f t="shared" si="10"/>
        <v>8242.4079999999994</v>
      </c>
      <c r="K28" s="882">
        <f t="shared" si="10"/>
        <v>8324.8320800000001</v>
      </c>
      <c r="L28" s="882">
        <f t="shared" si="10"/>
        <v>8408.0804007999996</v>
      </c>
      <c r="M28" s="882">
        <f t="shared" si="10"/>
        <v>8492.1612048079987</v>
      </c>
      <c r="N28" s="882">
        <f t="shared" si="10"/>
        <v>8577.0828168560784</v>
      </c>
      <c r="O28" s="882">
        <f t="shared" si="10"/>
        <v>8662.8536450246393</v>
      </c>
      <c r="P28" s="882">
        <f t="shared" si="10"/>
        <v>8749.4821814748866</v>
      </c>
      <c r="Q28" s="882">
        <f t="shared" si="10"/>
        <v>8836.9770032896358</v>
      </c>
      <c r="R28" s="24"/>
    </row>
    <row r="29" spans="1:18" outlineLevel="1">
      <c r="A29" s="23" t="s">
        <v>454</v>
      </c>
      <c r="D29" s="665">
        <f t="shared" ref="D29:Q29" si="11">D122</f>
        <v>0</v>
      </c>
      <c r="E29" s="665">
        <f t="shared" si="11"/>
        <v>0</v>
      </c>
      <c r="F29" s="665">
        <f t="shared" si="11"/>
        <v>0</v>
      </c>
      <c r="G29" s="665">
        <f t="shared" si="11"/>
        <v>0</v>
      </c>
      <c r="H29" s="882">
        <f t="shared" si="11"/>
        <v>0</v>
      </c>
      <c r="I29" s="882">
        <f t="shared" si="11"/>
        <v>0</v>
      </c>
      <c r="J29" s="882">
        <f t="shared" si="11"/>
        <v>0</v>
      </c>
      <c r="K29" s="882">
        <f t="shared" si="11"/>
        <v>0</v>
      </c>
      <c r="L29" s="882">
        <f t="shared" si="11"/>
        <v>0</v>
      </c>
      <c r="M29" s="882">
        <f t="shared" si="11"/>
        <v>0</v>
      </c>
      <c r="N29" s="882">
        <f t="shared" si="11"/>
        <v>0</v>
      </c>
      <c r="O29" s="882">
        <f t="shared" si="11"/>
        <v>0</v>
      </c>
      <c r="P29" s="882">
        <f t="shared" si="11"/>
        <v>0</v>
      </c>
      <c r="Q29" s="882">
        <f t="shared" si="11"/>
        <v>0</v>
      </c>
      <c r="R29" s="24"/>
    </row>
    <row r="30" spans="1:18" outlineLevel="1">
      <c r="A30" s="23" t="s">
        <v>455</v>
      </c>
      <c r="D30" s="665">
        <f t="shared" ref="D30:Q30" si="12">D123</f>
        <v>0</v>
      </c>
      <c r="E30" s="665">
        <f t="shared" si="12"/>
        <v>0</v>
      </c>
      <c r="F30" s="665">
        <f t="shared" si="12"/>
        <v>0</v>
      </c>
      <c r="G30" s="665">
        <f t="shared" si="12"/>
        <v>0</v>
      </c>
      <c r="H30" s="882">
        <f t="shared" si="12"/>
        <v>0</v>
      </c>
      <c r="I30" s="882">
        <f t="shared" si="12"/>
        <v>0</v>
      </c>
      <c r="J30" s="882">
        <f t="shared" si="12"/>
        <v>0</v>
      </c>
      <c r="K30" s="882">
        <f t="shared" si="12"/>
        <v>0</v>
      </c>
      <c r="L30" s="882">
        <f t="shared" si="12"/>
        <v>0</v>
      </c>
      <c r="M30" s="882">
        <f t="shared" si="12"/>
        <v>0</v>
      </c>
      <c r="N30" s="882">
        <f t="shared" si="12"/>
        <v>0</v>
      </c>
      <c r="O30" s="882">
        <f t="shared" si="12"/>
        <v>0</v>
      </c>
      <c r="P30" s="882">
        <f t="shared" si="12"/>
        <v>0</v>
      </c>
      <c r="Q30" s="882">
        <f t="shared" si="12"/>
        <v>0</v>
      </c>
      <c r="R30" s="24"/>
    </row>
    <row r="31" spans="1:18">
      <c r="A31" s="6" t="s">
        <v>456</v>
      </c>
      <c r="D31" s="864">
        <f t="shared" ref="D31:Q31" si="13">SUM(D28:D30)</f>
        <v>24000</v>
      </c>
      <c r="E31" s="864">
        <f t="shared" si="13"/>
        <v>6000</v>
      </c>
      <c r="F31" s="864">
        <f t="shared" si="13"/>
        <v>8000</v>
      </c>
      <c r="G31" s="864">
        <f t="shared" si="13"/>
        <v>8000</v>
      </c>
      <c r="H31" s="880">
        <f t="shared" si="13"/>
        <v>8080</v>
      </c>
      <c r="I31" s="880">
        <f t="shared" si="13"/>
        <v>8160.8</v>
      </c>
      <c r="J31" s="880">
        <f t="shared" si="13"/>
        <v>8242.4079999999994</v>
      </c>
      <c r="K31" s="880">
        <f t="shared" si="13"/>
        <v>8324.8320800000001</v>
      </c>
      <c r="L31" s="880">
        <f t="shared" si="13"/>
        <v>8408.0804007999996</v>
      </c>
      <c r="M31" s="880">
        <f t="shared" si="13"/>
        <v>8492.1612048079987</v>
      </c>
      <c r="N31" s="880">
        <f t="shared" si="13"/>
        <v>8577.0828168560784</v>
      </c>
      <c r="O31" s="880">
        <f t="shared" si="13"/>
        <v>8662.8536450246393</v>
      </c>
      <c r="P31" s="880">
        <f t="shared" si="13"/>
        <v>8749.4821814748866</v>
      </c>
      <c r="Q31" s="880">
        <f t="shared" si="13"/>
        <v>8836.9770032896358</v>
      </c>
      <c r="R31" s="24"/>
    </row>
    <row r="32" spans="1:18">
      <c r="A32" s="117"/>
      <c r="B32" s="87"/>
      <c r="C32" s="35"/>
      <c r="D32" s="650"/>
      <c r="E32" s="650"/>
      <c r="F32" s="650"/>
      <c r="G32" s="650"/>
      <c r="H32" s="651"/>
      <c r="I32" s="651"/>
      <c r="J32" s="651"/>
      <c r="K32" s="651"/>
      <c r="L32" s="651"/>
      <c r="M32" s="651"/>
      <c r="N32" s="651"/>
      <c r="O32" s="651"/>
      <c r="P32" s="651"/>
      <c r="Q32" s="651"/>
      <c r="R32" s="24"/>
    </row>
    <row r="33" spans="1:18" ht="13.5" thickBot="1">
      <c r="A33" s="117" t="s">
        <v>1</v>
      </c>
      <c r="B33" s="35"/>
      <c r="C33" s="35"/>
      <c r="D33" s="688">
        <f>D17-D25+D31</f>
        <v>307000</v>
      </c>
      <c r="E33" s="688">
        <f t="shared" ref="E33:Q33" si="14">E17-E25+E31</f>
        <v>286000</v>
      </c>
      <c r="F33" s="688">
        <f t="shared" si="14"/>
        <v>280000</v>
      </c>
      <c r="G33" s="688">
        <f t="shared" si="14"/>
        <v>338000</v>
      </c>
      <c r="H33" s="689">
        <f t="shared" si="14"/>
        <v>339570</v>
      </c>
      <c r="I33" s="689">
        <f t="shared" si="14"/>
        <v>341107.35</v>
      </c>
      <c r="J33" s="689">
        <f t="shared" si="14"/>
        <v>342610.47075000015</v>
      </c>
      <c r="K33" s="689">
        <f t="shared" si="14"/>
        <v>344077.73554875021</v>
      </c>
      <c r="L33" s="689">
        <f t="shared" si="14"/>
        <v>345507.4689871688</v>
      </c>
      <c r="M33" s="689">
        <f t="shared" si="14"/>
        <v>346897.94566031912</v>
      </c>
      <c r="N33" s="689">
        <f t="shared" si="14"/>
        <v>348247.38884718093</v>
      </c>
      <c r="O33" s="689">
        <f t="shared" si="14"/>
        <v>349553.96915744728</v>
      </c>
      <c r="P33" s="689">
        <f t="shared" si="14"/>
        <v>350815.80314454727</v>
      </c>
      <c r="Q33" s="689">
        <f t="shared" si="14"/>
        <v>352030.95188408584</v>
      </c>
      <c r="R33" s="24"/>
    </row>
    <row r="34" spans="1:18" ht="13.5" thickTop="1">
      <c r="A34" s="117"/>
      <c r="B34" s="35"/>
      <c r="C34" s="35"/>
      <c r="D34" s="650"/>
      <c r="E34" s="650"/>
      <c r="F34" s="650"/>
      <c r="G34" s="650"/>
      <c r="H34" s="651"/>
      <c r="I34" s="651"/>
      <c r="J34" s="651"/>
      <c r="K34" s="651"/>
      <c r="L34" s="651"/>
      <c r="M34" s="651"/>
      <c r="N34" s="651"/>
      <c r="O34" s="651"/>
      <c r="P34" s="651"/>
      <c r="Q34" s="651"/>
      <c r="R34" s="24"/>
    </row>
    <row r="35" spans="1:18">
      <c r="A35" s="347" t="s">
        <v>449</v>
      </c>
      <c r="D35" s="665">
        <v>56000</v>
      </c>
      <c r="E35" s="665">
        <v>58000</v>
      </c>
      <c r="F35" s="665">
        <v>65000</v>
      </c>
      <c r="G35" s="876">
        <f>33000*2</f>
        <v>66000</v>
      </c>
      <c r="H35" s="938">
        <f>H140</f>
        <v>58440</v>
      </c>
      <c r="I35" s="938">
        <f t="shared" ref="I35:Q35" si="15">I140</f>
        <v>59970.15</v>
      </c>
      <c r="J35" s="938">
        <f t="shared" si="15"/>
        <v>61515.601500000004</v>
      </c>
      <c r="K35" s="938">
        <f t="shared" si="15"/>
        <v>63076.507514999998</v>
      </c>
      <c r="L35" s="938">
        <f t="shared" si="15"/>
        <v>64653.022590150002</v>
      </c>
      <c r="M35" s="938">
        <f t="shared" si="15"/>
        <v>66245.302816051495</v>
      </c>
      <c r="N35" s="938">
        <f t="shared" si="15"/>
        <v>67853.505844212021</v>
      </c>
      <c r="O35" s="938">
        <f t="shared" si="15"/>
        <v>69477.790902654131</v>
      </c>
      <c r="P35" s="938">
        <f t="shared" si="15"/>
        <v>71118.31881168067</v>
      </c>
      <c r="Q35" s="938">
        <f t="shared" si="15"/>
        <v>72775.251999797489</v>
      </c>
      <c r="R35" s="24"/>
    </row>
    <row r="36" spans="1:18">
      <c r="D36" s="16"/>
      <c r="E36" s="16"/>
      <c r="F36" s="16"/>
      <c r="G36" s="16"/>
      <c r="R36" s="24"/>
    </row>
    <row r="37" spans="1:18" ht="13.5" thickBot="1">
      <c r="A37" s="6" t="s">
        <v>2</v>
      </c>
      <c r="D37" s="858">
        <f>D33-D35</f>
        <v>251000</v>
      </c>
      <c r="E37" s="858">
        <f t="shared" ref="E37:Q37" si="16">E33-E35</f>
        <v>228000</v>
      </c>
      <c r="F37" s="858">
        <f t="shared" si="16"/>
        <v>215000</v>
      </c>
      <c r="G37" s="858">
        <f t="shared" si="16"/>
        <v>272000</v>
      </c>
      <c r="H37" s="859">
        <f t="shared" si="16"/>
        <v>281130</v>
      </c>
      <c r="I37" s="859">
        <f t="shared" si="16"/>
        <v>281137.19999999995</v>
      </c>
      <c r="J37" s="859">
        <f t="shared" si="16"/>
        <v>281094.86925000016</v>
      </c>
      <c r="K37" s="859">
        <f t="shared" si="16"/>
        <v>281001.2280337502</v>
      </c>
      <c r="L37" s="859">
        <f t="shared" si="16"/>
        <v>280854.44639701879</v>
      </c>
      <c r="M37" s="859">
        <f t="shared" si="16"/>
        <v>280652.64284426766</v>
      </c>
      <c r="N37" s="859">
        <f t="shared" si="16"/>
        <v>280393.88300296891</v>
      </c>
      <c r="O37" s="859">
        <f t="shared" si="16"/>
        <v>280076.17825479317</v>
      </c>
      <c r="P37" s="859">
        <f t="shared" si="16"/>
        <v>279697.48433286662</v>
      </c>
      <c r="Q37" s="859">
        <f t="shared" si="16"/>
        <v>279255.69988428836</v>
      </c>
      <c r="R37" s="24"/>
    </row>
    <row r="38" spans="1:18" ht="13.5" thickTop="1">
      <c r="D38" s="16"/>
      <c r="E38" s="16"/>
      <c r="F38" s="16"/>
      <c r="G38" s="16"/>
      <c r="R38" s="24"/>
    </row>
    <row r="39" spans="1:18">
      <c r="A39" s="6" t="s">
        <v>457</v>
      </c>
      <c r="D39" s="665"/>
      <c r="E39" s="665"/>
      <c r="F39" s="665"/>
      <c r="G39" s="16"/>
      <c r="R39" s="24"/>
    </row>
    <row r="40" spans="1:18">
      <c r="A40" s="23" t="s">
        <v>451</v>
      </c>
      <c r="D40" s="665">
        <v>25000</v>
      </c>
      <c r="E40" s="665">
        <v>64000</v>
      </c>
      <c r="F40" s="665">
        <v>82000</v>
      </c>
      <c r="G40" s="876">
        <f>43000*2</f>
        <v>86000</v>
      </c>
      <c r="H40" s="10">
        <f>'Pipeline Co BS'!K102</f>
        <v>89400</v>
      </c>
      <c r="I40" s="10">
        <f>'Pipeline Co BS'!L102</f>
        <v>80460</v>
      </c>
      <c r="J40" s="10">
        <f>'Pipeline Co BS'!M102</f>
        <v>71520</v>
      </c>
      <c r="K40" s="10">
        <f>'Pipeline Co BS'!N102</f>
        <v>62580</v>
      </c>
      <c r="L40" s="10">
        <f>'Pipeline Co BS'!O102</f>
        <v>53640</v>
      </c>
      <c r="M40" s="10">
        <f>'Pipeline Co BS'!P102</f>
        <v>44700</v>
      </c>
      <c r="N40" s="10">
        <f>'Pipeline Co BS'!Q102</f>
        <v>35760</v>
      </c>
      <c r="O40" s="10">
        <f>'Pipeline Co BS'!R102</f>
        <v>26820</v>
      </c>
      <c r="P40" s="10">
        <f>'Pipeline Co BS'!S102</f>
        <v>17880</v>
      </c>
      <c r="Q40" s="10">
        <f>'Pipeline Co BS'!T102</f>
        <v>8940</v>
      </c>
      <c r="R40" s="24"/>
    </row>
    <row r="41" spans="1:18">
      <c r="A41" s="23" t="s">
        <v>452</v>
      </c>
      <c r="D41" s="665">
        <v>52000</v>
      </c>
      <c r="E41" s="665">
        <v>14000</v>
      </c>
      <c r="F41" s="665">
        <v>3000</v>
      </c>
      <c r="G41" s="876">
        <f>-1000*2</f>
        <v>-2000</v>
      </c>
      <c r="H41" s="883">
        <v>0</v>
      </c>
      <c r="I41" s="883">
        <v>0</v>
      </c>
      <c r="J41" s="883">
        <v>0</v>
      </c>
      <c r="K41" s="883">
        <v>0</v>
      </c>
      <c r="L41" s="883">
        <v>0</v>
      </c>
      <c r="M41" s="883">
        <v>0</v>
      </c>
      <c r="N41" s="883">
        <v>0</v>
      </c>
      <c r="O41" s="883">
        <v>0</v>
      </c>
      <c r="P41" s="883">
        <v>0</v>
      </c>
      <c r="Q41" s="883">
        <v>0</v>
      </c>
      <c r="R41" s="24"/>
    </row>
    <row r="42" spans="1:18" hidden="1" outlineLevel="1">
      <c r="A42" s="23" t="s">
        <v>459</v>
      </c>
      <c r="D42" s="665">
        <v>0</v>
      </c>
      <c r="E42" s="665">
        <v>0</v>
      </c>
      <c r="F42" s="665">
        <v>0</v>
      </c>
      <c r="G42" s="876">
        <v>0</v>
      </c>
      <c r="R42" s="24"/>
    </row>
    <row r="43" spans="1:18" hidden="1" outlineLevel="1">
      <c r="A43" t="s">
        <v>460</v>
      </c>
      <c r="D43" s="665">
        <v>0</v>
      </c>
      <c r="E43" s="665">
        <v>0</v>
      </c>
      <c r="F43" s="665">
        <v>0</v>
      </c>
      <c r="G43" s="876">
        <v>0</v>
      </c>
      <c r="R43" s="24"/>
    </row>
    <row r="44" spans="1:18" collapsed="1">
      <c r="A44" s="6" t="s">
        <v>458</v>
      </c>
      <c r="D44" s="862">
        <f>SUM(D40:D43)</f>
        <v>77000</v>
      </c>
      <c r="E44" s="862">
        <f t="shared" ref="E44:Q44" si="17">SUM(E40:E43)</f>
        <v>78000</v>
      </c>
      <c r="F44" s="862">
        <f t="shared" si="17"/>
        <v>85000</v>
      </c>
      <c r="G44" s="862">
        <f t="shared" si="17"/>
        <v>84000</v>
      </c>
      <c r="H44" s="863">
        <f t="shared" si="17"/>
        <v>89400</v>
      </c>
      <c r="I44" s="863">
        <f t="shared" si="17"/>
        <v>80460</v>
      </c>
      <c r="J44" s="863">
        <f t="shared" si="17"/>
        <v>71520</v>
      </c>
      <c r="K44" s="863">
        <f t="shared" si="17"/>
        <v>62580</v>
      </c>
      <c r="L44" s="863">
        <f t="shared" si="17"/>
        <v>53640</v>
      </c>
      <c r="M44" s="863">
        <f t="shared" si="17"/>
        <v>44700</v>
      </c>
      <c r="N44" s="863">
        <f t="shared" si="17"/>
        <v>35760</v>
      </c>
      <c r="O44" s="863">
        <f t="shared" si="17"/>
        <v>26820</v>
      </c>
      <c r="P44" s="863">
        <f t="shared" si="17"/>
        <v>17880</v>
      </c>
      <c r="Q44" s="863">
        <f t="shared" si="17"/>
        <v>8940</v>
      </c>
      <c r="R44" s="24"/>
    </row>
    <row r="45" spans="1:18">
      <c r="D45" s="16"/>
      <c r="E45" s="16"/>
      <c r="F45" s="16"/>
      <c r="G45" s="16"/>
      <c r="R45" s="24"/>
    </row>
    <row r="46" spans="1:18" ht="13.5" thickBot="1">
      <c r="A46" s="6" t="s">
        <v>461</v>
      </c>
      <c r="D46" s="858">
        <f t="shared" ref="D46:Q46" si="18">D37+D31-D44</f>
        <v>198000</v>
      </c>
      <c r="E46" s="858">
        <f t="shared" si="18"/>
        <v>156000</v>
      </c>
      <c r="F46" s="858">
        <f t="shared" si="18"/>
        <v>138000</v>
      </c>
      <c r="G46" s="858">
        <f t="shared" si="18"/>
        <v>196000</v>
      </c>
      <c r="H46" s="859">
        <f t="shared" si="18"/>
        <v>199810</v>
      </c>
      <c r="I46" s="859">
        <f t="shared" si="18"/>
        <v>208837.99999999994</v>
      </c>
      <c r="J46" s="859">
        <f t="shared" si="18"/>
        <v>217817.27725000016</v>
      </c>
      <c r="K46" s="859">
        <f t="shared" si="18"/>
        <v>226746.06011375022</v>
      </c>
      <c r="L46" s="859">
        <f t="shared" si="18"/>
        <v>235622.52679781878</v>
      </c>
      <c r="M46" s="859">
        <f t="shared" si="18"/>
        <v>244444.80404907564</v>
      </c>
      <c r="N46" s="859">
        <f t="shared" si="18"/>
        <v>253210.96581982501</v>
      </c>
      <c r="O46" s="859">
        <f t="shared" si="18"/>
        <v>261919.03189981781</v>
      </c>
      <c r="P46" s="859">
        <f t="shared" si="18"/>
        <v>270566.96651434153</v>
      </c>
      <c r="Q46" s="859">
        <f t="shared" si="18"/>
        <v>279152.67688757798</v>
      </c>
      <c r="R46" s="24"/>
    </row>
    <row r="47" spans="1:18" ht="13.5" thickTop="1">
      <c r="D47" s="16"/>
      <c r="E47" s="16"/>
      <c r="F47" s="16"/>
      <c r="G47" s="16"/>
      <c r="R47" s="24"/>
    </row>
    <row r="48" spans="1:18">
      <c r="A48" s="6" t="s">
        <v>363</v>
      </c>
      <c r="D48" s="16"/>
      <c r="E48" s="16"/>
      <c r="F48" s="16"/>
      <c r="G48" s="16"/>
      <c r="R48" s="24"/>
    </row>
    <row r="49" spans="1:18">
      <c r="A49" s="23" t="s">
        <v>462</v>
      </c>
      <c r="D49" s="665">
        <v>57000</v>
      </c>
      <c r="E49" s="665">
        <v>47000</v>
      </c>
      <c r="F49" s="665">
        <v>43000</v>
      </c>
      <c r="G49" s="876">
        <f>32000*2</f>
        <v>64000</v>
      </c>
      <c r="H49" s="26">
        <f>H153</f>
        <v>103228.125</v>
      </c>
      <c r="I49" s="26">
        <f t="shared" ref="I49:Q49" si="19">I153</f>
        <v>80333.657343700586</v>
      </c>
      <c r="J49" s="26">
        <f t="shared" si="19"/>
        <v>80317.360004950649</v>
      </c>
      <c r="K49" s="26">
        <f t="shared" si="19"/>
        <v>80281.308136694424</v>
      </c>
      <c r="L49" s="26">
        <f t="shared" si="19"/>
        <v>80224.79720655283</v>
      </c>
      <c r="M49" s="26">
        <f t="shared" si="19"/>
        <v>80147.102838743624</v>
      </c>
      <c r="N49" s="26">
        <f t="shared" si="19"/>
        <v>80047.480299843621</v>
      </c>
      <c r="O49" s="26">
        <f t="shared" si="19"/>
        <v>79925.163971795948</v>
      </c>
      <c r="P49" s="26">
        <f t="shared" si="19"/>
        <v>79779.366811854226</v>
      </c>
      <c r="Q49" s="26">
        <f t="shared" si="19"/>
        <v>79609.279799151613</v>
      </c>
      <c r="R49" s="24"/>
    </row>
    <row r="50" spans="1:18">
      <c r="A50" s="23" t="s">
        <v>444</v>
      </c>
      <c r="D50" s="665">
        <v>26000</v>
      </c>
      <c r="E50" s="665">
        <v>29000</v>
      </c>
      <c r="F50" s="665">
        <v>23000</v>
      </c>
      <c r="G50" s="876">
        <f>14000*2</f>
        <v>28000</v>
      </c>
      <c r="R50" s="24"/>
    </row>
    <row r="51" spans="1:18">
      <c r="A51" s="23" t="s">
        <v>4</v>
      </c>
      <c r="D51" s="665">
        <v>0</v>
      </c>
      <c r="E51" s="665">
        <v>0</v>
      </c>
      <c r="F51" s="665">
        <v>0</v>
      </c>
      <c r="G51" s="876">
        <v>0</v>
      </c>
      <c r="H51" s="26">
        <f>H154</f>
        <v>-29412.074999999997</v>
      </c>
      <c r="I51" s="26">
        <f t="shared" ref="I51:Q51" si="20">I154</f>
        <v>-3072.9353437006066</v>
      </c>
      <c r="J51" s="26">
        <f t="shared" si="20"/>
        <v>368.96465629941667</v>
      </c>
      <c r="K51" s="26">
        <f t="shared" si="20"/>
        <v>3810.8646562994109</v>
      </c>
      <c r="L51" s="26">
        <f t="shared" si="20"/>
        <v>7252.764656299405</v>
      </c>
      <c r="M51" s="26">
        <f t="shared" si="20"/>
        <v>10694.664656299428</v>
      </c>
      <c r="N51" s="26">
        <f t="shared" si="20"/>
        <v>14136.564656299408</v>
      </c>
      <c r="O51" s="26">
        <f t="shared" si="20"/>
        <v>17578.464656299417</v>
      </c>
      <c r="P51" s="26">
        <f t="shared" si="20"/>
        <v>21020.364656299425</v>
      </c>
      <c r="Q51" s="26">
        <f t="shared" si="20"/>
        <v>24462.264656299405</v>
      </c>
      <c r="R51" s="24"/>
    </row>
    <row r="52" spans="1:18" hidden="1" outlineLevel="1">
      <c r="A52" s="23" t="s">
        <v>463</v>
      </c>
      <c r="D52" s="665">
        <v>0</v>
      </c>
      <c r="E52" s="665">
        <v>0</v>
      </c>
      <c r="F52" s="665">
        <v>0</v>
      </c>
      <c r="G52" s="876">
        <v>0</v>
      </c>
      <c r="R52" s="24"/>
    </row>
    <row r="53" spans="1:18" collapsed="1">
      <c r="A53" s="6" t="s">
        <v>364</v>
      </c>
      <c r="D53" s="862">
        <f>SUM(D49:D52)</f>
        <v>83000</v>
      </c>
      <c r="E53" s="862">
        <f t="shared" ref="E53:Q53" si="21">SUM(E49:E52)</f>
        <v>76000</v>
      </c>
      <c r="F53" s="862">
        <f t="shared" si="21"/>
        <v>66000</v>
      </c>
      <c r="G53" s="862">
        <f t="shared" si="21"/>
        <v>92000</v>
      </c>
      <c r="H53" s="863">
        <f t="shared" si="21"/>
        <v>73816.05</v>
      </c>
      <c r="I53" s="863">
        <f t="shared" si="21"/>
        <v>77260.72199999998</v>
      </c>
      <c r="J53" s="863">
        <f t="shared" si="21"/>
        <v>80686.324661250066</v>
      </c>
      <c r="K53" s="863">
        <f t="shared" si="21"/>
        <v>84092.172792993835</v>
      </c>
      <c r="L53" s="863">
        <f t="shared" si="21"/>
        <v>87477.561862852235</v>
      </c>
      <c r="M53" s="863">
        <f t="shared" si="21"/>
        <v>90841.767495043052</v>
      </c>
      <c r="N53" s="863">
        <f t="shared" si="21"/>
        <v>94184.044956143029</v>
      </c>
      <c r="O53" s="863">
        <f t="shared" si="21"/>
        <v>97503.628628095365</v>
      </c>
      <c r="P53" s="863">
        <f t="shared" si="21"/>
        <v>100799.73146815365</v>
      </c>
      <c r="Q53" s="863">
        <f t="shared" si="21"/>
        <v>104071.54445545102</v>
      </c>
      <c r="R53" s="24"/>
    </row>
    <row r="54" spans="1:18">
      <c r="D54" s="16"/>
      <c r="E54" s="16"/>
      <c r="F54" s="16"/>
      <c r="G54" s="16"/>
      <c r="R54" s="24"/>
    </row>
    <row r="55" spans="1:18" ht="13.5" thickBot="1">
      <c r="A55" s="6" t="s">
        <v>13</v>
      </c>
      <c r="D55" s="858">
        <f>D46-D53</f>
        <v>115000</v>
      </c>
      <c r="E55" s="858">
        <f t="shared" ref="E55:Q55" si="22">E46-E53</f>
        <v>80000</v>
      </c>
      <c r="F55" s="858">
        <f t="shared" si="22"/>
        <v>72000</v>
      </c>
      <c r="G55" s="858">
        <f t="shared" si="22"/>
        <v>104000</v>
      </c>
      <c r="H55" s="859">
        <f t="shared" si="22"/>
        <v>125993.95</v>
      </c>
      <c r="I55" s="859">
        <f t="shared" si="22"/>
        <v>131577.27799999996</v>
      </c>
      <c r="J55" s="859">
        <f t="shared" si="22"/>
        <v>137130.95258875011</v>
      </c>
      <c r="K55" s="859">
        <f t="shared" si="22"/>
        <v>142653.88732075639</v>
      </c>
      <c r="L55" s="859">
        <f t="shared" si="22"/>
        <v>148144.96493496653</v>
      </c>
      <c r="M55" s="859">
        <f t="shared" si="22"/>
        <v>153603.03655403259</v>
      </c>
      <c r="N55" s="859">
        <f t="shared" si="22"/>
        <v>159026.920863682</v>
      </c>
      <c r="O55" s="859">
        <f t="shared" si="22"/>
        <v>164415.40327172243</v>
      </c>
      <c r="P55" s="859">
        <f t="shared" si="22"/>
        <v>169767.23504618788</v>
      </c>
      <c r="Q55" s="859">
        <f t="shared" si="22"/>
        <v>175081.13243212696</v>
      </c>
      <c r="R55" s="24"/>
    </row>
    <row r="56" spans="1:18" ht="13.5" thickTop="1">
      <c r="G56" s="24"/>
      <c r="R56" s="24"/>
    </row>
    <row r="57" spans="1:18">
      <c r="A57" s="745"/>
      <c r="B57" s="35"/>
      <c r="C57" s="35"/>
      <c r="D57" s="651"/>
      <c r="E57" s="651"/>
      <c r="F57" s="651"/>
      <c r="G57" s="651"/>
      <c r="H57" s="651"/>
      <c r="I57" s="651"/>
      <c r="J57" s="651"/>
      <c r="K57" s="651"/>
      <c r="L57" s="651"/>
      <c r="M57" s="651"/>
      <c r="N57" s="651"/>
      <c r="O57" s="651"/>
      <c r="P57" s="651"/>
      <c r="Q57" s="651"/>
      <c r="R57" s="12"/>
    </row>
    <row r="58" spans="1:18" ht="15.75">
      <c r="A58" s="563" t="s">
        <v>464</v>
      </c>
      <c r="B58" s="564"/>
      <c r="C58" s="477"/>
      <c r="D58" s="565"/>
      <c r="E58" s="565"/>
      <c r="F58" s="477"/>
      <c r="G58" s="566"/>
      <c r="H58" s="566"/>
      <c r="I58" s="566"/>
      <c r="J58" s="477"/>
      <c r="K58" s="477"/>
      <c r="L58" s="477"/>
      <c r="M58" s="477"/>
      <c r="N58" s="477"/>
      <c r="O58" s="477"/>
      <c r="P58" s="477"/>
      <c r="Q58" s="477"/>
      <c r="R58" s="12"/>
    </row>
    <row r="59" spans="1:18">
      <c r="A59" s="745"/>
      <c r="C59" s="35"/>
      <c r="D59" s="560"/>
      <c r="E59" s="560"/>
      <c r="F59" s="386"/>
      <c r="G59" s="372" t="s">
        <v>263</v>
      </c>
      <c r="H59" s="391"/>
      <c r="I59" s="386"/>
      <c r="J59" s="386"/>
      <c r="K59" s="304"/>
      <c r="L59" s="386"/>
      <c r="M59" s="304"/>
      <c r="N59" s="304"/>
      <c r="O59" s="304"/>
      <c r="P59" s="304"/>
      <c r="Q59" s="355"/>
      <c r="R59" s="12"/>
    </row>
    <row r="60" spans="1:18">
      <c r="A60" s="745"/>
      <c r="C60" s="35"/>
      <c r="D60" s="316">
        <v>1998</v>
      </c>
      <c r="E60" s="316">
        <v>1999</v>
      </c>
      <c r="F60" s="316">
        <v>2000</v>
      </c>
      <c r="G60" s="316">
        <v>2001</v>
      </c>
      <c r="H60" s="352">
        <v>2002</v>
      </c>
      <c r="I60" s="352">
        <v>2003</v>
      </c>
      <c r="J60" s="352">
        <v>2004</v>
      </c>
      <c r="K60" s="352">
        <v>2005</v>
      </c>
      <c r="L60" s="352">
        <v>2006</v>
      </c>
      <c r="M60" s="356">
        <v>2007</v>
      </c>
      <c r="N60" s="356">
        <v>2008</v>
      </c>
      <c r="O60" s="356">
        <v>2009</v>
      </c>
      <c r="P60" s="356">
        <v>2010</v>
      </c>
      <c r="Q60" s="537">
        <v>2011</v>
      </c>
      <c r="R60" s="12"/>
    </row>
    <row r="61" spans="1:18">
      <c r="A61" s="745"/>
      <c r="C61" s="35"/>
      <c r="F61" s="411" t="s">
        <v>273</v>
      </c>
      <c r="G61" s="316">
        <v>1</v>
      </c>
      <c r="H61" s="352">
        <v>2</v>
      </c>
      <c r="I61" s="352">
        <v>3</v>
      </c>
      <c r="J61" s="352">
        <v>4</v>
      </c>
      <c r="K61" s="352">
        <v>5</v>
      </c>
      <c r="L61" s="352">
        <v>6</v>
      </c>
      <c r="M61" s="352">
        <v>7</v>
      </c>
      <c r="N61" s="352">
        <v>8</v>
      </c>
      <c r="O61" s="352">
        <v>9</v>
      </c>
      <c r="P61" s="352">
        <v>10</v>
      </c>
      <c r="Q61" s="452">
        <v>11</v>
      </c>
      <c r="R61" s="12"/>
    </row>
    <row r="62" spans="1:18">
      <c r="A62" s="6" t="s">
        <v>470</v>
      </c>
      <c r="C62" s="35"/>
      <c r="F62" s="411"/>
      <c r="G62" s="458"/>
      <c r="H62" s="459"/>
      <c r="I62" s="459"/>
      <c r="J62" s="459"/>
      <c r="K62" s="459"/>
      <c r="L62" s="459"/>
      <c r="M62" s="459"/>
      <c r="N62" s="459"/>
      <c r="O62" s="459"/>
      <c r="P62" s="459"/>
      <c r="Q62" s="353"/>
      <c r="R62" s="12"/>
    </row>
    <row r="63" spans="1:18">
      <c r="A63" t="s">
        <v>465</v>
      </c>
      <c r="C63" s="35"/>
      <c r="D63" s="650"/>
      <c r="E63" s="868">
        <f>(E17/D17)-1</f>
        <v>-5.0403225806451624E-2</v>
      </c>
      <c r="F63" s="868">
        <f t="shared" ref="F63:Q63" si="23">(F17/E17)-1</f>
        <v>2.5477707006369421E-2</v>
      </c>
      <c r="G63" s="868">
        <f t="shared" si="23"/>
        <v>0.11801242236024834</v>
      </c>
      <c r="H63" s="739">
        <f t="shared" si="23"/>
        <v>1.2481481481481538E-2</v>
      </c>
      <c r="I63" s="739">
        <f t="shared" si="23"/>
        <v>1.2506493031422483E-2</v>
      </c>
      <c r="J63" s="739">
        <f t="shared" si="23"/>
        <v>1.2531741699179699E-2</v>
      </c>
      <c r="K63" s="739">
        <f t="shared" si="23"/>
        <v>1.255722919033464E-2</v>
      </c>
      <c r="L63" s="739">
        <f t="shared" si="23"/>
        <v>1.2582957206647594E-2</v>
      </c>
      <c r="M63" s="739">
        <f t="shared" si="23"/>
        <v>1.2608927445531659E-2</v>
      </c>
      <c r="N63" s="739">
        <f t="shared" si="23"/>
        <v>1.2635141599515842E-2</v>
      </c>
      <c r="O63" s="739">
        <f t="shared" si="23"/>
        <v>1.2661601355700824E-2</v>
      </c>
      <c r="P63" s="739">
        <f t="shared" si="23"/>
        <v>1.2688308395195191E-2</v>
      </c>
      <c r="Q63" s="739">
        <f t="shared" si="23"/>
        <v>1.2715264392545444E-2</v>
      </c>
      <c r="R63" s="12"/>
    </row>
    <row r="64" spans="1:18">
      <c r="A64" t="s">
        <v>466</v>
      </c>
      <c r="C64" s="35"/>
      <c r="D64" s="650"/>
      <c r="E64" s="868">
        <f>(E33/D33)-1</f>
        <v>-6.8403908794788304E-2</v>
      </c>
      <c r="F64" s="868">
        <f t="shared" ref="F64:Q64" si="24">(F33/E33)-1</f>
        <v>-2.0979020979020935E-2</v>
      </c>
      <c r="G64" s="868">
        <f t="shared" si="24"/>
        <v>0.20714285714285707</v>
      </c>
      <c r="H64" s="739">
        <f t="shared" si="24"/>
        <v>4.6449704142010884E-3</v>
      </c>
      <c r="I64" s="739">
        <f t="shared" si="24"/>
        <v>4.5273434048942462E-3</v>
      </c>
      <c r="J64" s="739">
        <f t="shared" si="24"/>
        <v>4.4065915026463287E-3</v>
      </c>
      <c r="K64" s="739">
        <f t="shared" si="24"/>
        <v>4.2826034929350776E-3</v>
      </c>
      <c r="L64" s="739">
        <f t="shared" si="24"/>
        <v>4.155262868544396E-3</v>
      </c>
      <c r="M64" s="739">
        <f t="shared" si="24"/>
        <v>4.0244475097062082E-3</v>
      </c>
      <c r="N64" s="739">
        <f t="shared" si="24"/>
        <v>3.8900293407422293E-3</v>
      </c>
      <c r="O64" s="739">
        <f t="shared" si="24"/>
        <v>3.7518739611848151E-3</v>
      </c>
      <c r="P64" s="739">
        <f t="shared" si="24"/>
        <v>3.6098402491080428E-3</v>
      </c>
      <c r="Q64" s="739">
        <f t="shared" si="24"/>
        <v>3.4637799342176478E-3</v>
      </c>
      <c r="R64" s="12"/>
    </row>
    <row r="65" spans="1:18">
      <c r="A65" t="s">
        <v>467</v>
      </c>
      <c r="C65" s="7"/>
      <c r="D65" s="16"/>
      <c r="E65" s="870">
        <f>(E37/D37)-1</f>
        <v>-9.1633466135458197E-2</v>
      </c>
      <c r="F65" s="870">
        <f t="shared" ref="F65:Q65" si="25">(F37/E37)-1</f>
        <v>-5.7017543859649078E-2</v>
      </c>
      <c r="G65" s="870">
        <f t="shared" si="25"/>
        <v>0.26511627906976742</v>
      </c>
      <c r="H65" s="871">
        <f t="shared" si="25"/>
        <v>3.3566176470588127E-2</v>
      </c>
      <c r="I65" s="871">
        <f t="shared" si="25"/>
        <v>2.5610927328889588E-5</v>
      </c>
      <c r="J65" s="871">
        <f t="shared" si="25"/>
        <v>-1.5056972182903028E-4</v>
      </c>
      <c r="K65" s="871">
        <f t="shared" si="25"/>
        <v>-3.3313029334125499E-4</v>
      </c>
      <c r="L65" s="871">
        <f t="shared" si="25"/>
        <v>-5.2235229631725222E-4</v>
      </c>
      <c r="M65" s="871">
        <f t="shared" si="25"/>
        <v>-7.1853429895807341E-4</v>
      </c>
      <c r="N65" s="871">
        <f t="shared" si="25"/>
        <v>-9.2199324644282044E-4</v>
      </c>
      <c r="O65" s="871">
        <f t="shared" si="25"/>
        <v>-1.1330659027692924E-3</v>
      </c>
      <c r="P65" s="871">
        <f t="shared" si="25"/>
        <v>-1.3521104304059506E-3</v>
      </c>
      <c r="Q65" s="871">
        <f t="shared" si="25"/>
        <v>-1.5795081233282993E-3</v>
      </c>
      <c r="R65" s="869"/>
    </row>
    <row r="66" spans="1:18">
      <c r="A66" t="s">
        <v>600</v>
      </c>
      <c r="C66" s="7"/>
      <c r="D66" s="691"/>
      <c r="E66" s="870">
        <f>(E55/D55)-1</f>
        <v>-0.30434782608695654</v>
      </c>
      <c r="F66" s="870">
        <f t="shared" ref="F66:Q66" si="26">(F55/E55)-1</f>
        <v>-9.9999999999999978E-2</v>
      </c>
      <c r="G66" s="870">
        <f t="shared" si="26"/>
        <v>0.44444444444444442</v>
      </c>
      <c r="H66" s="871">
        <f t="shared" si="26"/>
        <v>0.21148028846153832</v>
      </c>
      <c r="I66" s="871">
        <f t="shared" si="26"/>
        <v>4.4314254771756545E-2</v>
      </c>
      <c r="J66" s="871">
        <f t="shared" si="26"/>
        <v>4.2208462381704948E-2</v>
      </c>
      <c r="K66" s="871">
        <f t="shared" si="26"/>
        <v>4.0274895111166664E-2</v>
      </c>
      <c r="L66" s="871">
        <f t="shared" si="26"/>
        <v>3.849230972489015E-2</v>
      </c>
      <c r="M66" s="871">
        <f t="shared" si="26"/>
        <v>3.6842775057944532E-2</v>
      </c>
      <c r="N66" s="871">
        <f t="shared" si="26"/>
        <v>3.5311048735299222E-2</v>
      </c>
      <c r="O66" s="871">
        <f t="shared" si="26"/>
        <v>3.3884089428226183E-2</v>
      </c>
      <c r="P66" s="871">
        <f t="shared" si="26"/>
        <v>3.2550671457592717E-2</v>
      </c>
      <c r="Q66" s="871">
        <f t="shared" si="26"/>
        <v>3.1301077528260057E-2</v>
      </c>
      <c r="R66" s="869"/>
    </row>
    <row r="67" spans="1:18">
      <c r="C67" s="7"/>
      <c r="D67" s="691"/>
      <c r="E67" s="691"/>
      <c r="F67" s="691"/>
      <c r="G67" s="691"/>
      <c r="H67" s="692"/>
      <c r="I67" s="692"/>
      <c r="J67" s="692"/>
      <c r="K67" s="692"/>
      <c r="L67" s="692"/>
      <c r="M67" s="692"/>
      <c r="N67" s="692"/>
      <c r="O67" s="692"/>
      <c r="P67" s="692"/>
      <c r="Q67" s="692"/>
      <c r="R67" s="869"/>
    </row>
    <row r="68" spans="1:18">
      <c r="A68" s="6" t="s">
        <v>471</v>
      </c>
      <c r="C68" s="7"/>
      <c r="D68" s="691"/>
      <c r="E68" s="691"/>
      <c r="F68" s="691"/>
      <c r="G68" s="691"/>
      <c r="H68" s="692"/>
      <c r="I68" s="692"/>
      <c r="J68" s="692"/>
      <c r="K68" s="692"/>
      <c r="L68" s="692"/>
      <c r="M68" s="692"/>
      <c r="N68" s="692"/>
      <c r="O68" s="692"/>
      <c r="P68" s="692"/>
      <c r="Q68" s="692"/>
      <c r="R68" s="869"/>
    </row>
    <row r="69" spans="1:18">
      <c r="A69" t="s">
        <v>468</v>
      </c>
      <c r="B69" s="7"/>
      <c r="C69" s="7"/>
      <c r="D69" s="872">
        <f t="shared" ref="D69:Q69" si="27">D33/D17</f>
        <v>0.61895161290322576</v>
      </c>
      <c r="E69" s="872">
        <f t="shared" si="27"/>
        <v>0.60721868365180465</v>
      </c>
      <c r="F69" s="872">
        <f t="shared" si="27"/>
        <v>0.57971014492753625</v>
      </c>
      <c r="G69" s="872">
        <f t="shared" si="27"/>
        <v>0.62592592592592589</v>
      </c>
      <c r="H69" s="873">
        <f t="shared" si="27"/>
        <v>0.62108131835973224</v>
      </c>
      <c r="I69" s="873">
        <f t="shared" si="27"/>
        <v>0.61618683046899647</v>
      </c>
      <c r="J69" s="873">
        <f t="shared" si="27"/>
        <v>0.61124218494283777</v>
      </c>
      <c r="K69" s="873">
        <f t="shared" si="27"/>
        <v>0.60624710896584133</v>
      </c>
      <c r="L69" s="873">
        <f t="shared" si="27"/>
        <v>0.60120133440351076</v>
      </c>
      <c r="M69" s="873">
        <f t="shared" si="27"/>
        <v>0.59610459799057214</v>
      </c>
      <c r="N69" s="873">
        <f t="shared" si="27"/>
        <v>0.59095664152210059</v>
      </c>
      <c r="O69" s="873">
        <f t="shared" si="27"/>
        <v>0.58575721204744524</v>
      </c>
      <c r="P69" s="873">
        <f t="shared" si="27"/>
        <v>0.58050606206691402</v>
      </c>
      <c r="Q69" s="873">
        <f t="shared" si="27"/>
        <v>0.57520294973118902</v>
      </c>
    </row>
    <row r="70" spans="1:18">
      <c r="A70" s="867" t="s">
        <v>469</v>
      </c>
      <c r="B70" s="7"/>
      <c r="C70" s="7"/>
      <c r="D70" s="872">
        <f t="shared" ref="D70:Q70" si="28">D37/D17</f>
        <v>0.50604838709677424</v>
      </c>
      <c r="E70" s="872">
        <f t="shared" si="28"/>
        <v>0.48407643312101911</v>
      </c>
      <c r="F70" s="872">
        <f t="shared" si="28"/>
        <v>0.4451345755693582</v>
      </c>
      <c r="G70" s="872">
        <f t="shared" si="28"/>
        <v>0.50370370370370365</v>
      </c>
      <c r="H70" s="873">
        <f t="shared" si="28"/>
        <v>0.51419321798295348</v>
      </c>
      <c r="I70" s="873">
        <f t="shared" si="28"/>
        <v>0.5078549031409858</v>
      </c>
      <c r="J70" s="873">
        <f t="shared" si="28"/>
        <v>0.5014938442496254</v>
      </c>
      <c r="K70" s="873">
        <f t="shared" si="28"/>
        <v>0.49510957702514724</v>
      </c>
      <c r="L70" s="873">
        <f t="shared" si="28"/>
        <v>0.48870164353326206</v>
      </c>
      <c r="M70" s="873">
        <f t="shared" si="28"/>
        <v>0.48226959234140732</v>
      </c>
      <c r="N70" s="873">
        <f t="shared" si="28"/>
        <v>0.47581297867387207</v>
      </c>
      <c r="O70" s="873">
        <f t="shared" si="28"/>
        <v>0.46933136456973257</v>
      </c>
      <c r="P70" s="873">
        <f t="shared" si="28"/>
        <v>0.46282431904356025</v>
      </c>
      <c r="Q70" s="873">
        <f t="shared" si="28"/>
        <v>0.45629141824887309</v>
      </c>
    </row>
    <row r="71" spans="1:18">
      <c r="A71" s="867" t="s">
        <v>472</v>
      </c>
      <c r="B71" s="7"/>
      <c r="C71" s="7"/>
      <c r="D71" s="874">
        <f>D17/D25</f>
        <v>2.328638497652582</v>
      </c>
      <c r="E71" s="874">
        <f t="shared" ref="E71:Q71" si="29">E17/E25</f>
        <v>2.4659685863874348</v>
      </c>
      <c r="F71" s="874">
        <f t="shared" si="29"/>
        <v>2.2890995260663507</v>
      </c>
      <c r="G71" s="874">
        <f t="shared" si="29"/>
        <v>2.5714285714285716</v>
      </c>
      <c r="H71" s="875">
        <f t="shared" si="29"/>
        <v>2.540023228803717</v>
      </c>
      <c r="I71" s="875">
        <f t="shared" si="29"/>
        <v>2.5090634259652704</v>
      </c>
      <c r="J71" s="875">
        <f t="shared" si="29"/>
        <v>2.4785427909525133</v>
      </c>
      <c r="K71" s="875">
        <f t="shared" si="29"/>
        <v>2.4484550447185915</v>
      </c>
      <c r="L71" s="875">
        <f t="shared" si="29"/>
        <v>2.4187939997743282</v>
      </c>
      <c r="M71" s="875">
        <f t="shared" si="29"/>
        <v>2.389553558851873</v>
      </c>
      <c r="N71" s="875">
        <f t="shared" si="29"/>
        <v>2.3607277135878966</v>
      </c>
      <c r="O71" s="875">
        <f t="shared" si="29"/>
        <v>2.3323105432260505</v>
      </c>
      <c r="P71" s="875">
        <f t="shared" si="29"/>
        <v>2.3042962133384073</v>
      </c>
      <c r="Q71" s="875">
        <f t="shared" si="29"/>
        <v>2.2766789745656069</v>
      </c>
    </row>
    <row r="72" spans="1:18">
      <c r="A72" s="690"/>
      <c r="B72" s="7"/>
      <c r="C72" s="7"/>
      <c r="D72" s="694"/>
      <c r="E72" s="694"/>
      <c r="F72" s="694"/>
      <c r="G72" s="694"/>
      <c r="H72" s="694"/>
      <c r="I72" s="694"/>
      <c r="J72" s="694"/>
      <c r="K72" s="694"/>
      <c r="L72" s="694"/>
      <c r="M72" s="694"/>
      <c r="N72" s="694"/>
      <c r="O72" s="694"/>
      <c r="P72" s="694"/>
      <c r="Q72" s="694"/>
    </row>
    <row r="73" spans="1:18">
      <c r="A73" s="690"/>
      <c r="B73" s="7"/>
      <c r="C73" s="7"/>
      <c r="D73" s="694"/>
      <c r="E73" s="694"/>
      <c r="F73" s="694"/>
      <c r="G73" s="694"/>
      <c r="H73" s="694"/>
      <c r="I73" s="694"/>
      <c r="J73" s="694"/>
      <c r="K73" s="694"/>
      <c r="L73" s="694"/>
      <c r="M73" s="694"/>
      <c r="N73" s="694"/>
      <c r="O73" s="694"/>
      <c r="P73" s="694"/>
      <c r="Q73" s="694"/>
    </row>
    <row r="74" spans="1:18" ht="15.75">
      <c r="A74" s="563" t="s">
        <v>63</v>
      </c>
      <c r="B74" s="442"/>
      <c r="C74" s="442"/>
      <c r="D74" s="442"/>
      <c r="E74" s="442"/>
      <c r="F74" s="442"/>
      <c r="G74" s="442"/>
      <c r="H74" s="442"/>
      <c r="I74" s="442"/>
      <c r="J74" s="442"/>
      <c r="K74" s="442"/>
      <c r="L74" s="442"/>
      <c r="M74" s="442"/>
      <c r="N74" s="442"/>
      <c r="O74" s="442"/>
      <c r="P74" s="442"/>
      <c r="Q74" s="442"/>
      <c r="R74" s="24"/>
    </row>
    <row r="75" spans="1:18">
      <c r="D75" s="560"/>
      <c r="E75" s="560"/>
      <c r="F75" s="386"/>
      <c r="G75" s="372" t="s">
        <v>263</v>
      </c>
      <c r="H75" s="391"/>
      <c r="I75" s="386"/>
      <c r="J75" s="386"/>
      <c r="K75" s="304"/>
      <c r="L75" s="386"/>
      <c r="M75" s="304"/>
      <c r="N75" s="304"/>
      <c r="O75" s="304"/>
      <c r="P75" s="304"/>
      <c r="Q75" s="355"/>
      <c r="R75" s="24"/>
    </row>
    <row r="76" spans="1:18">
      <c r="D76" s="316">
        <v>1998</v>
      </c>
      <c r="E76" s="316">
        <v>1999</v>
      </c>
      <c r="F76" s="316">
        <v>2000</v>
      </c>
      <c r="G76" s="316">
        <v>2001</v>
      </c>
      <c r="H76" s="352">
        <v>2002</v>
      </c>
      <c r="I76" s="352">
        <v>2003</v>
      </c>
      <c r="J76" s="352">
        <v>2004</v>
      </c>
      <c r="K76" s="352">
        <v>2005</v>
      </c>
      <c r="L76" s="352">
        <v>2006</v>
      </c>
      <c r="M76" s="356">
        <v>2007</v>
      </c>
      <c r="N76" s="356">
        <v>2008</v>
      </c>
      <c r="O76" s="356">
        <v>2009</v>
      </c>
      <c r="P76" s="356">
        <v>2010</v>
      </c>
      <c r="Q76" s="760">
        <v>2011</v>
      </c>
      <c r="R76" s="24"/>
    </row>
    <row r="77" spans="1:18">
      <c r="D77" s="458"/>
      <c r="E77" s="458"/>
      <c r="F77" s="411" t="s">
        <v>273</v>
      </c>
      <c r="G77" s="316">
        <v>1</v>
      </c>
      <c r="H77" s="352">
        <v>2</v>
      </c>
      <c r="I77" s="352">
        <v>3</v>
      </c>
      <c r="J77" s="352">
        <v>4</v>
      </c>
      <c r="K77" s="352">
        <v>5</v>
      </c>
      <c r="L77" s="352">
        <v>6</v>
      </c>
      <c r="M77" s="352">
        <v>7</v>
      </c>
      <c r="N77" s="352">
        <v>8</v>
      </c>
      <c r="O77" s="352">
        <v>9</v>
      </c>
      <c r="P77" s="352">
        <v>10</v>
      </c>
      <c r="Q77" s="452">
        <v>11</v>
      </c>
      <c r="R77" s="24"/>
    </row>
    <row r="78" spans="1:18">
      <c r="A78" s="6" t="s">
        <v>436</v>
      </c>
      <c r="B78" s="40" t="s">
        <v>84</v>
      </c>
      <c r="C78" s="373"/>
      <c r="F78" s="8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4"/>
    </row>
    <row r="79" spans="1:18">
      <c r="A79" s="847" t="s">
        <v>437</v>
      </c>
      <c r="B79" s="884">
        <v>1</v>
      </c>
      <c r="C79" s="373"/>
      <c r="D79" s="665">
        <v>468000</v>
      </c>
      <c r="E79" s="665">
        <v>441000</v>
      </c>
      <c r="F79" s="665">
        <v>425000</v>
      </c>
      <c r="G79" s="876">
        <f>212000*2</f>
        <v>424000</v>
      </c>
      <c r="H79" s="883">
        <f>G79*H88*$B$79</f>
        <v>428240</v>
      </c>
      <c r="I79" s="883">
        <f t="shared" ref="I79:Q79" si="30">H79*I88*$B$79</f>
        <v>432522.4</v>
      </c>
      <c r="J79" s="883">
        <f t="shared" si="30"/>
        <v>436847.62400000001</v>
      </c>
      <c r="K79" s="883">
        <f t="shared" si="30"/>
        <v>441216.10024</v>
      </c>
      <c r="L79" s="883">
        <f t="shared" si="30"/>
        <v>445628.26124239998</v>
      </c>
      <c r="M79" s="883">
        <f t="shared" si="30"/>
        <v>450084.54385482398</v>
      </c>
      <c r="N79" s="883">
        <f t="shared" si="30"/>
        <v>454585.38929337222</v>
      </c>
      <c r="O79" s="883">
        <f t="shared" si="30"/>
        <v>459131.24318630598</v>
      </c>
      <c r="P79" s="883">
        <f t="shared" si="30"/>
        <v>463722.55561816902</v>
      </c>
      <c r="Q79" s="883">
        <f t="shared" si="30"/>
        <v>468359.7811743507</v>
      </c>
      <c r="R79" s="24"/>
    </row>
    <row r="80" spans="1:18">
      <c r="A80" s="847" t="s">
        <v>474</v>
      </c>
      <c r="B80" s="884">
        <v>1</v>
      </c>
      <c r="C80" s="373"/>
      <c r="D80" s="665">
        <v>0</v>
      </c>
      <c r="E80" s="665">
        <v>0</v>
      </c>
      <c r="F80" s="665">
        <v>0</v>
      </c>
      <c r="G80" s="876">
        <f>49000*2</f>
        <v>98000</v>
      </c>
      <c r="H80" s="883">
        <f>G80*H89*$B$80</f>
        <v>99960</v>
      </c>
      <c r="I80" s="883">
        <f t="shared" ref="I80:Q80" si="31">H80*I89*$B$80</f>
        <v>101959.2</v>
      </c>
      <c r="J80" s="883">
        <f t="shared" si="31"/>
        <v>103998.38400000001</v>
      </c>
      <c r="K80" s="883">
        <f t="shared" si="31"/>
        <v>106078.35168000001</v>
      </c>
      <c r="L80" s="883">
        <f t="shared" si="31"/>
        <v>108199.91871360001</v>
      </c>
      <c r="M80" s="883">
        <f t="shared" si="31"/>
        <v>110363.91708787202</v>
      </c>
      <c r="N80" s="883">
        <f t="shared" si="31"/>
        <v>112571.19542962946</v>
      </c>
      <c r="O80" s="883">
        <f t="shared" si="31"/>
        <v>114822.61933822205</v>
      </c>
      <c r="P80" s="883">
        <f t="shared" si="31"/>
        <v>117119.0717249865</v>
      </c>
      <c r="Q80" s="883">
        <f t="shared" si="31"/>
        <v>119461.45315948623</v>
      </c>
      <c r="R80" s="24"/>
    </row>
    <row r="81" spans="1:18">
      <c r="A81" s="847" t="s">
        <v>85</v>
      </c>
      <c r="B81" s="884">
        <v>1</v>
      </c>
      <c r="C81" s="373"/>
      <c r="D81" s="665">
        <v>28000</v>
      </c>
      <c r="E81" s="665">
        <v>30000</v>
      </c>
      <c r="F81" s="665">
        <v>58000</v>
      </c>
      <c r="G81" s="876">
        <f>9000*2</f>
        <v>18000</v>
      </c>
      <c r="H81" s="883">
        <f>G81*H90*$B$81</f>
        <v>18540</v>
      </c>
      <c r="I81" s="883">
        <f t="shared" ref="I81:Q81" si="32">H81*I90*$B$81</f>
        <v>19096.2</v>
      </c>
      <c r="J81" s="883">
        <f t="shared" si="32"/>
        <v>19669.086000000003</v>
      </c>
      <c r="K81" s="883">
        <f t="shared" si="32"/>
        <v>20259.158580000003</v>
      </c>
      <c r="L81" s="883">
        <f t="shared" si="32"/>
        <v>20866.933337400005</v>
      </c>
      <c r="M81" s="883">
        <f t="shared" si="32"/>
        <v>21492.941337522007</v>
      </c>
      <c r="N81" s="883">
        <f t="shared" si="32"/>
        <v>22137.729577647668</v>
      </c>
      <c r="O81" s="883">
        <f t="shared" si="32"/>
        <v>22801.861464977097</v>
      </c>
      <c r="P81" s="883">
        <f t="shared" si="32"/>
        <v>23485.917308926411</v>
      </c>
      <c r="Q81" s="883">
        <f t="shared" si="32"/>
        <v>24190.494828194205</v>
      </c>
      <c r="R81" s="24"/>
    </row>
    <row r="82" spans="1:18">
      <c r="A82" s="847" t="s">
        <v>438</v>
      </c>
      <c r="B82" s="884">
        <v>0</v>
      </c>
      <c r="C82" s="373"/>
      <c r="D82" s="665">
        <v>0</v>
      </c>
      <c r="E82" s="665">
        <v>0</v>
      </c>
      <c r="F82" s="665">
        <v>0</v>
      </c>
      <c r="G82" s="876">
        <v>0</v>
      </c>
      <c r="H82" s="883">
        <f>G82*H91*$B$82</f>
        <v>0</v>
      </c>
      <c r="I82" s="883">
        <f t="shared" ref="I82:Q82" si="33">H82*I91*$B$82</f>
        <v>0</v>
      </c>
      <c r="J82" s="883">
        <f t="shared" si="33"/>
        <v>0</v>
      </c>
      <c r="K82" s="883">
        <f t="shared" si="33"/>
        <v>0</v>
      </c>
      <c r="L82" s="883">
        <f t="shared" si="33"/>
        <v>0</v>
      </c>
      <c r="M82" s="883">
        <f t="shared" si="33"/>
        <v>0</v>
      </c>
      <c r="N82" s="883">
        <f t="shared" si="33"/>
        <v>0</v>
      </c>
      <c r="O82" s="883">
        <f t="shared" si="33"/>
        <v>0</v>
      </c>
      <c r="P82" s="883">
        <f t="shared" si="33"/>
        <v>0</v>
      </c>
      <c r="Q82" s="883">
        <f t="shared" si="33"/>
        <v>0</v>
      </c>
      <c r="R82" s="24"/>
    </row>
    <row r="83" spans="1:18">
      <c r="A83" s="847" t="s">
        <v>439</v>
      </c>
      <c r="B83" s="884">
        <v>0</v>
      </c>
      <c r="C83" s="373"/>
      <c r="D83" s="665">
        <v>0</v>
      </c>
      <c r="E83" s="665">
        <v>0</v>
      </c>
      <c r="F83" s="665">
        <v>0</v>
      </c>
      <c r="G83" s="876">
        <v>0</v>
      </c>
      <c r="H83" s="883">
        <f>G83*H92*$B$83</f>
        <v>0</v>
      </c>
      <c r="I83" s="883">
        <f t="shared" ref="I83:Q83" si="34">H83*I92*$B$83</f>
        <v>0</v>
      </c>
      <c r="J83" s="883">
        <f t="shared" si="34"/>
        <v>0</v>
      </c>
      <c r="K83" s="883">
        <f t="shared" si="34"/>
        <v>0</v>
      </c>
      <c r="L83" s="883">
        <f t="shared" si="34"/>
        <v>0</v>
      </c>
      <c r="M83" s="883">
        <f t="shared" si="34"/>
        <v>0</v>
      </c>
      <c r="N83" s="883">
        <f t="shared" si="34"/>
        <v>0</v>
      </c>
      <c r="O83" s="883">
        <f t="shared" si="34"/>
        <v>0</v>
      </c>
      <c r="P83" s="883">
        <f t="shared" si="34"/>
        <v>0</v>
      </c>
      <c r="Q83" s="883">
        <f t="shared" si="34"/>
        <v>0</v>
      </c>
      <c r="R83" s="24"/>
    </row>
    <row r="84" spans="1:18">
      <c r="A84" s="847" t="s">
        <v>473</v>
      </c>
      <c r="B84" s="884">
        <v>0</v>
      </c>
      <c r="C84" s="373"/>
      <c r="D84" s="856">
        <v>0</v>
      </c>
      <c r="E84" s="856">
        <v>0</v>
      </c>
      <c r="F84" s="856">
        <v>0</v>
      </c>
      <c r="G84" s="881">
        <v>0</v>
      </c>
      <c r="H84" s="885">
        <f>G84*H93*$B$84</f>
        <v>0</v>
      </c>
      <c r="I84" s="885">
        <f t="shared" ref="I84:Q84" si="35">H84*I93*$B$84</f>
        <v>0</v>
      </c>
      <c r="J84" s="885">
        <f t="shared" si="35"/>
        <v>0</v>
      </c>
      <c r="K84" s="885">
        <f t="shared" si="35"/>
        <v>0</v>
      </c>
      <c r="L84" s="885">
        <f t="shared" si="35"/>
        <v>0</v>
      </c>
      <c r="M84" s="885">
        <f t="shared" si="35"/>
        <v>0</v>
      </c>
      <c r="N84" s="885">
        <f t="shared" si="35"/>
        <v>0</v>
      </c>
      <c r="O84" s="885">
        <f t="shared" si="35"/>
        <v>0</v>
      </c>
      <c r="P84" s="885">
        <f t="shared" si="35"/>
        <v>0</v>
      </c>
      <c r="Q84" s="885">
        <f t="shared" si="35"/>
        <v>0</v>
      </c>
      <c r="R84" s="24"/>
    </row>
    <row r="85" spans="1:18">
      <c r="A85" s="662" t="s">
        <v>440</v>
      </c>
      <c r="B85" s="653"/>
      <c r="C85" s="373"/>
      <c r="D85" s="650">
        <f t="shared" ref="D85:Q85" si="36">SUM(D79:D84)</f>
        <v>496000</v>
      </c>
      <c r="E85" s="650">
        <f t="shared" si="36"/>
        <v>471000</v>
      </c>
      <c r="F85" s="650">
        <f t="shared" si="36"/>
        <v>483000</v>
      </c>
      <c r="G85" s="650">
        <f t="shared" si="36"/>
        <v>540000</v>
      </c>
      <c r="H85" s="651">
        <f t="shared" si="36"/>
        <v>546740</v>
      </c>
      <c r="I85" s="651">
        <f t="shared" si="36"/>
        <v>553577.79999999993</v>
      </c>
      <c r="J85" s="651">
        <f t="shared" si="36"/>
        <v>560515.09400000004</v>
      </c>
      <c r="K85" s="651">
        <f t="shared" si="36"/>
        <v>567553.61050000007</v>
      </c>
      <c r="L85" s="651">
        <f t="shared" si="36"/>
        <v>574695.11329339992</v>
      </c>
      <c r="M85" s="651">
        <f t="shared" si="36"/>
        <v>581941.40228021797</v>
      </c>
      <c r="N85" s="651">
        <f t="shared" si="36"/>
        <v>589294.31430064933</v>
      </c>
      <c r="O85" s="651">
        <f t="shared" si="36"/>
        <v>596755.7239895052</v>
      </c>
      <c r="P85" s="651">
        <f t="shared" si="36"/>
        <v>604327.54465208203</v>
      </c>
      <c r="Q85" s="651">
        <f t="shared" si="36"/>
        <v>612011.72916203109</v>
      </c>
      <c r="R85" s="24"/>
    </row>
    <row r="86" spans="1:18">
      <c r="C86" s="373"/>
      <c r="D86" s="652"/>
      <c r="F86" s="85"/>
      <c r="G86" s="80"/>
      <c r="H86" s="80"/>
      <c r="I86" s="80"/>
      <c r="J86" s="86"/>
      <c r="K86" s="86"/>
      <c r="L86" s="80"/>
      <c r="M86" s="80"/>
      <c r="N86" s="80"/>
      <c r="O86" s="80"/>
      <c r="P86" s="80"/>
      <c r="Q86" s="80"/>
      <c r="R86" s="24"/>
    </row>
    <row r="87" spans="1:18" ht="15.75">
      <c r="A87" s="755" t="s">
        <v>395</v>
      </c>
      <c r="B87" s="477"/>
      <c r="C87" s="751"/>
      <c r="D87" s="752"/>
      <c r="E87" s="477"/>
      <c r="F87" s="753"/>
      <c r="G87" s="754"/>
      <c r="H87" s="754"/>
      <c r="I87" s="754"/>
      <c r="J87" s="754"/>
      <c r="K87" s="754"/>
      <c r="L87" s="754"/>
      <c r="M87" s="754"/>
      <c r="N87" s="754"/>
      <c r="O87" s="754"/>
      <c r="P87" s="754"/>
      <c r="Q87" s="754"/>
      <c r="R87" s="769"/>
    </row>
    <row r="88" spans="1:18">
      <c r="A88" t="s">
        <v>437</v>
      </c>
      <c r="C88" s="373"/>
      <c r="D88" s="652"/>
      <c r="F88" s="85"/>
      <c r="G88" s="747"/>
      <c r="H88" s="746">
        <v>1.01</v>
      </c>
      <c r="I88" s="746">
        <v>1.01</v>
      </c>
      <c r="J88" s="746">
        <v>1.01</v>
      </c>
      <c r="K88" s="746">
        <v>1.01</v>
      </c>
      <c r="L88" s="746">
        <v>1.01</v>
      </c>
      <c r="M88" s="746">
        <v>1.01</v>
      </c>
      <c r="N88" s="746">
        <v>1.01</v>
      </c>
      <c r="O88" s="746">
        <v>1.01</v>
      </c>
      <c r="P88" s="746">
        <v>1.01</v>
      </c>
      <c r="Q88" s="746">
        <v>1.01</v>
      </c>
      <c r="R88" s="24"/>
    </row>
    <row r="89" spans="1:18">
      <c r="A89" t="s">
        <v>474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t="s">
        <v>85</v>
      </c>
      <c r="C90" s="373"/>
      <c r="D90" s="652"/>
      <c r="F90" s="85"/>
      <c r="G90" s="747"/>
      <c r="H90" s="746">
        <v>1.03</v>
      </c>
      <c r="I90" s="746">
        <v>1.03</v>
      </c>
      <c r="J90" s="746">
        <v>1.03</v>
      </c>
      <c r="K90" s="746">
        <v>1.03</v>
      </c>
      <c r="L90" s="746">
        <v>1.03</v>
      </c>
      <c r="M90" s="746">
        <v>1.03</v>
      </c>
      <c r="N90" s="746">
        <v>1.03</v>
      </c>
      <c r="O90" s="746">
        <v>1.03</v>
      </c>
      <c r="P90" s="746">
        <v>1.03</v>
      </c>
      <c r="Q90" s="746">
        <v>1.03</v>
      </c>
      <c r="R90" s="24"/>
    </row>
    <row r="91" spans="1:18">
      <c r="A91" t="s">
        <v>438</v>
      </c>
      <c r="C91" s="373"/>
      <c r="D91" s="652"/>
      <c r="F91" s="85"/>
      <c r="G91" s="747"/>
      <c r="H91" s="746">
        <v>1</v>
      </c>
      <c r="I91" s="746">
        <v>1</v>
      </c>
      <c r="J91" s="746">
        <v>1</v>
      </c>
      <c r="K91" s="746">
        <v>1</v>
      </c>
      <c r="L91" s="746">
        <v>1</v>
      </c>
      <c r="M91" s="746">
        <v>1</v>
      </c>
      <c r="N91" s="746">
        <v>1</v>
      </c>
      <c r="O91" s="746">
        <v>1</v>
      </c>
      <c r="P91" s="746">
        <v>1</v>
      </c>
      <c r="Q91" s="746">
        <v>1</v>
      </c>
      <c r="R91" s="24"/>
    </row>
    <row r="92" spans="1:18">
      <c r="A92" t="s">
        <v>439</v>
      </c>
      <c r="C92" s="373"/>
      <c r="D92" s="652"/>
      <c r="F92" s="85"/>
      <c r="G92" s="747"/>
      <c r="H92" s="746">
        <v>1</v>
      </c>
      <c r="I92" s="746">
        <v>1</v>
      </c>
      <c r="J92" s="746">
        <v>1</v>
      </c>
      <c r="K92" s="746">
        <v>1</v>
      </c>
      <c r="L92" s="746">
        <v>1</v>
      </c>
      <c r="M92" s="746">
        <v>1</v>
      </c>
      <c r="N92" s="746">
        <v>1</v>
      </c>
      <c r="O92" s="746">
        <v>1</v>
      </c>
      <c r="P92" s="746">
        <v>1</v>
      </c>
      <c r="Q92" s="746">
        <v>1</v>
      </c>
      <c r="R92" s="24"/>
    </row>
    <row r="93" spans="1:18">
      <c r="A93" t="s">
        <v>473</v>
      </c>
      <c r="C93" s="373"/>
      <c r="D93" s="652"/>
      <c r="F93" s="85"/>
      <c r="G93" s="747"/>
      <c r="H93" s="746">
        <v>1</v>
      </c>
      <c r="I93" s="746">
        <v>1</v>
      </c>
      <c r="J93" s="746">
        <v>1</v>
      </c>
      <c r="K93" s="746">
        <v>1</v>
      </c>
      <c r="L93" s="746">
        <v>1</v>
      </c>
      <c r="M93" s="746">
        <v>1</v>
      </c>
      <c r="N93" s="746">
        <v>1</v>
      </c>
      <c r="O93" s="746">
        <v>1</v>
      </c>
      <c r="P93" s="746">
        <v>1</v>
      </c>
      <c r="Q93" s="746">
        <v>1</v>
      </c>
      <c r="R93" s="24"/>
    </row>
    <row r="94" spans="1:18">
      <c r="R94" s="24"/>
    </row>
    <row r="95" spans="1:18">
      <c r="R95" s="24"/>
    </row>
    <row r="96" spans="1:18" ht="15.75">
      <c r="A96" s="563" t="s">
        <v>304</v>
      </c>
      <c r="B96" s="442"/>
      <c r="C96" s="442"/>
      <c r="D96" s="442"/>
      <c r="E96" s="442"/>
      <c r="F96" s="442"/>
      <c r="G96" s="442"/>
      <c r="H96" s="442"/>
      <c r="I96" s="442"/>
      <c r="J96" s="442"/>
      <c r="K96" s="442"/>
      <c r="L96" s="442"/>
      <c r="M96" s="442"/>
      <c r="N96" s="442"/>
      <c r="O96" s="442"/>
      <c r="P96" s="442"/>
      <c r="Q96" s="442"/>
      <c r="R96" s="24"/>
    </row>
    <row r="97" spans="1:18" s="24" customFormat="1" ht="14.25" customHeight="1">
      <c r="A97" s="568"/>
      <c r="D97" s="560"/>
      <c r="E97" s="560"/>
      <c r="F97" s="386"/>
      <c r="G97" s="372" t="s">
        <v>263</v>
      </c>
      <c r="H97" s="391"/>
      <c r="I97" s="386"/>
      <c r="J97" s="386"/>
      <c r="K97" s="304"/>
      <c r="L97" s="386"/>
      <c r="M97" s="304"/>
      <c r="N97" s="304"/>
      <c r="O97" s="304"/>
      <c r="P97" s="304"/>
      <c r="Q97" s="355"/>
    </row>
    <row r="98" spans="1:18" s="24" customFormat="1">
      <c r="D98" s="316">
        <v>1998</v>
      </c>
      <c r="E98" s="316">
        <v>1999</v>
      </c>
      <c r="F98" s="316">
        <v>2000</v>
      </c>
      <c r="G98" s="316">
        <v>2001</v>
      </c>
      <c r="H98" s="352">
        <v>2002</v>
      </c>
      <c r="I98" s="352">
        <v>2003</v>
      </c>
      <c r="J98" s="352">
        <v>2004</v>
      </c>
      <c r="K98" s="352">
        <v>2005</v>
      </c>
      <c r="L98" s="352">
        <v>2006</v>
      </c>
      <c r="M98" s="356">
        <v>2007</v>
      </c>
      <c r="N98" s="356">
        <v>2008</v>
      </c>
      <c r="O98" s="356">
        <v>2009</v>
      </c>
      <c r="P98" s="356">
        <v>2010</v>
      </c>
      <c r="Q98" s="760">
        <v>2011</v>
      </c>
    </row>
    <row r="99" spans="1:18">
      <c r="F99" s="411" t="s">
        <v>273</v>
      </c>
      <c r="G99" s="316">
        <v>1</v>
      </c>
      <c r="H99" s="352">
        <v>2</v>
      </c>
      <c r="I99" s="352">
        <v>3</v>
      </c>
      <c r="J99" s="352">
        <v>4</v>
      </c>
      <c r="K99" s="352">
        <v>5</v>
      </c>
      <c r="L99" s="352">
        <v>6</v>
      </c>
      <c r="M99" s="352">
        <v>7</v>
      </c>
      <c r="N99" s="352">
        <v>8</v>
      </c>
      <c r="O99" s="352">
        <v>9</v>
      </c>
      <c r="P99" s="352">
        <v>10</v>
      </c>
      <c r="Q99" s="452">
        <v>11</v>
      </c>
      <c r="R99" s="24"/>
    </row>
    <row r="100" spans="1:18">
      <c r="A100" s="6" t="s">
        <v>362</v>
      </c>
      <c r="B100" s="40" t="s">
        <v>84</v>
      </c>
      <c r="C100" s="35"/>
      <c r="R100" s="24"/>
    </row>
    <row r="101" spans="1:18">
      <c r="A101" s="847" t="s">
        <v>442</v>
      </c>
      <c r="B101" s="884">
        <v>1</v>
      </c>
      <c r="C101" s="35"/>
      <c r="D101" s="665">
        <v>213000</v>
      </c>
      <c r="E101" s="665">
        <v>191000</v>
      </c>
      <c r="F101" s="665">
        <v>211000</v>
      </c>
      <c r="G101" s="878">
        <f>105000*2</f>
        <v>210000</v>
      </c>
      <c r="H101" s="883">
        <f t="shared" ref="H101:Q101" si="37">G101*H109*$B$101</f>
        <v>215249.99999999997</v>
      </c>
      <c r="I101" s="883">
        <f t="shared" si="37"/>
        <v>220631.24999999994</v>
      </c>
      <c r="J101" s="883">
        <f t="shared" si="37"/>
        <v>226147.03124999991</v>
      </c>
      <c r="K101" s="883">
        <f t="shared" si="37"/>
        <v>231800.70703124988</v>
      </c>
      <c r="L101" s="883">
        <f t="shared" si="37"/>
        <v>237595.7247070311</v>
      </c>
      <c r="M101" s="883">
        <f t="shared" si="37"/>
        <v>243535.61782470686</v>
      </c>
      <c r="N101" s="883">
        <f t="shared" si="37"/>
        <v>249624.0082703245</v>
      </c>
      <c r="O101" s="883">
        <f t="shared" si="37"/>
        <v>255864.6084770826</v>
      </c>
      <c r="P101" s="883">
        <f t="shared" si="37"/>
        <v>262261.22368900967</v>
      </c>
      <c r="Q101" s="883">
        <f t="shared" si="37"/>
        <v>268817.75428123487</v>
      </c>
      <c r="R101" s="24"/>
    </row>
    <row r="102" spans="1:18">
      <c r="A102" s="847" t="s">
        <v>447</v>
      </c>
      <c r="B102" s="884">
        <v>0</v>
      </c>
      <c r="C102" s="35"/>
      <c r="D102" s="665">
        <v>0</v>
      </c>
      <c r="E102" s="665">
        <v>0</v>
      </c>
      <c r="F102" s="665">
        <v>0</v>
      </c>
      <c r="G102" s="878">
        <v>0</v>
      </c>
      <c r="H102" s="883">
        <f t="shared" ref="H102:Q102" si="38">G102*H110*$B$102</f>
        <v>0</v>
      </c>
      <c r="I102" s="883">
        <f t="shared" si="38"/>
        <v>0</v>
      </c>
      <c r="J102" s="883">
        <f t="shared" si="38"/>
        <v>0</v>
      </c>
      <c r="K102" s="883">
        <f t="shared" si="38"/>
        <v>0</v>
      </c>
      <c r="L102" s="883">
        <f t="shared" si="38"/>
        <v>0</v>
      </c>
      <c r="M102" s="883">
        <f t="shared" si="38"/>
        <v>0</v>
      </c>
      <c r="N102" s="883">
        <f t="shared" si="38"/>
        <v>0</v>
      </c>
      <c r="O102" s="883">
        <f t="shared" si="38"/>
        <v>0</v>
      </c>
      <c r="P102" s="883">
        <f t="shared" si="38"/>
        <v>0</v>
      </c>
      <c r="Q102" s="883">
        <f t="shared" si="38"/>
        <v>0</v>
      </c>
      <c r="R102" s="24"/>
    </row>
    <row r="103" spans="1:18">
      <c r="A103" s="847" t="s">
        <v>448</v>
      </c>
      <c r="B103" s="884">
        <v>0</v>
      </c>
      <c r="C103" s="35"/>
      <c r="D103" s="665">
        <v>0</v>
      </c>
      <c r="E103" s="665">
        <v>0</v>
      </c>
      <c r="F103" s="665">
        <v>0</v>
      </c>
      <c r="G103" s="878">
        <v>0</v>
      </c>
      <c r="H103" s="883">
        <f t="shared" ref="H103:Q103" si="39">G103*H111*$B$103</f>
        <v>0</v>
      </c>
      <c r="I103" s="883">
        <f t="shared" si="39"/>
        <v>0</v>
      </c>
      <c r="J103" s="883">
        <f t="shared" si="39"/>
        <v>0</v>
      </c>
      <c r="K103" s="883">
        <f t="shared" si="39"/>
        <v>0</v>
      </c>
      <c r="L103" s="883">
        <f t="shared" si="39"/>
        <v>0</v>
      </c>
      <c r="M103" s="883">
        <f t="shared" si="39"/>
        <v>0</v>
      </c>
      <c r="N103" s="883">
        <f t="shared" si="39"/>
        <v>0</v>
      </c>
      <c r="O103" s="883">
        <f t="shared" si="39"/>
        <v>0</v>
      </c>
      <c r="P103" s="883">
        <f t="shared" si="39"/>
        <v>0</v>
      </c>
      <c r="Q103" s="883">
        <f t="shared" si="39"/>
        <v>0</v>
      </c>
      <c r="R103" s="24"/>
    </row>
    <row r="104" spans="1:18">
      <c r="A104" s="847" t="s">
        <v>445</v>
      </c>
      <c r="B104" s="884">
        <v>0</v>
      </c>
      <c r="C104" s="35"/>
      <c r="D104" s="665">
        <v>0</v>
      </c>
      <c r="E104" s="665">
        <v>0</v>
      </c>
      <c r="F104" s="665">
        <v>0</v>
      </c>
      <c r="G104" s="878">
        <v>0</v>
      </c>
      <c r="H104" s="883">
        <f t="shared" ref="H104:Q104" si="40">G104*H112*$B$104</f>
        <v>0</v>
      </c>
      <c r="I104" s="883">
        <f t="shared" si="40"/>
        <v>0</v>
      </c>
      <c r="J104" s="883">
        <f t="shared" si="40"/>
        <v>0</v>
      </c>
      <c r="K104" s="883">
        <f t="shared" si="40"/>
        <v>0</v>
      </c>
      <c r="L104" s="883">
        <f t="shared" si="40"/>
        <v>0</v>
      </c>
      <c r="M104" s="883">
        <f t="shared" si="40"/>
        <v>0</v>
      </c>
      <c r="N104" s="883">
        <f t="shared" si="40"/>
        <v>0</v>
      </c>
      <c r="O104" s="883">
        <f t="shared" si="40"/>
        <v>0</v>
      </c>
      <c r="P104" s="883">
        <f t="shared" si="40"/>
        <v>0</v>
      </c>
      <c r="Q104" s="883">
        <f t="shared" si="40"/>
        <v>0</v>
      </c>
      <c r="R104" s="24"/>
    </row>
    <row r="105" spans="1:18">
      <c r="A105" s="847" t="s">
        <v>446</v>
      </c>
      <c r="B105" s="884">
        <v>0</v>
      </c>
      <c r="C105" s="373"/>
      <c r="D105" s="856">
        <v>0</v>
      </c>
      <c r="E105" s="856">
        <v>0</v>
      </c>
      <c r="F105" s="856">
        <v>0</v>
      </c>
      <c r="G105" s="879">
        <v>0</v>
      </c>
      <c r="H105" s="885">
        <f t="shared" ref="H105:Q105" si="41">G105*H113*$B$105</f>
        <v>0</v>
      </c>
      <c r="I105" s="885">
        <f t="shared" si="41"/>
        <v>0</v>
      </c>
      <c r="J105" s="885">
        <f t="shared" si="41"/>
        <v>0</v>
      </c>
      <c r="K105" s="885">
        <f t="shared" si="41"/>
        <v>0</v>
      </c>
      <c r="L105" s="885">
        <f t="shared" si="41"/>
        <v>0</v>
      </c>
      <c r="M105" s="885">
        <f t="shared" si="41"/>
        <v>0</v>
      </c>
      <c r="N105" s="885">
        <f t="shared" si="41"/>
        <v>0</v>
      </c>
      <c r="O105" s="885">
        <f t="shared" si="41"/>
        <v>0</v>
      </c>
      <c r="P105" s="885">
        <f t="shared" si="41"/>
        <v>0</v>
      </c>
      <c r="Q105" s="885">
        <f t="shared" si="41"/>
        <v>0</v>
      </c>
      <c r="R105" s="24"/>
    </row>
    <row r="106" spans="1:18">
      <c r="A106" s="117" t="s">
        <v>441</v>
      </c>
      <c r="B106" s="762"/>
      <c r="C106" s="373"/>
      <c r="D106" s="668">
        <f t="shared" ref="D106:Q106" si="42">SUM(D101:D105)</f>
        <v>213000</v>
      </c>
      <c r="E106" s="668">
        <f t="shared" si="42"/>
        <v>191000</v>
      </c>
      <c r="F106" s="668">
        <f t="shared" si="42"/>
        <v>211000</v>
      </c>
      <c r="G106" s="668">
        <f t="shared" si="42"/>
        <v>210000</v>
      </c>
      <c r="H106" s="669">
        <f t="shared" si="42"/>
        <v>215249.99999999997</v>
      </c>
      <c r="I106" s="669">
        <f t="shared" si="42"/>
        <v>220631.24999999994</v>
      </c>
      <c r="J106" s="669">
        <f t="shared" si="42"/>
        <v>226147.03124999991</v>
      </c>
      <c r="K106" s="669">
        <f t="shared" si="42"/>
        <v>231800.70703124988</v>
      </c>
      <c r="L106" s="669">
        <f t="shared" si="42"/>
        <v>237595.7247070311</v>
      </c>
      <c r="M106" s="669">
        <f t="shared" si="42"/>
        <v>243535.61782470686</v>
      </c>
      <c r="N106" s="669">
        <f t="shared" si="42"/>
        <v>249624.0082703245</v>
      </c>
      <c r="O106" s="669">
        <f t="shared" si="42"/>
        <v>255864.6084770826</v>
      </c>
      <c r="P106" s="669">
        <f t="shared" si="42"/>
        <v>262261.22368900967</v>
      </c>
      <c r="Q106" s="669">
        <f t="shared" si="42"/>
        <v>268817.75428123487</v>
      </c>
      <c r="R106" s="24"/>
    </row>
    <row r="107" spans="1:18">
      <c r="C107" s="35"/>
      <c r="F107" s="85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24"/>
    </row>
    <row r="108" spans="1:18" ht="15.75">
      <c r="A108" s="755" t="s">
        <v>395</v>
      </c>
      <c r="B108" s="477"/>
      <c r="C108" s="751"/>
      <c r="D108" s="752"/>
      <c r="E108" s="477"/>
      <c r="F108" s="753"/>
      <c r="G108" s="754"/>
      <c r="H108" s="754"/>
      <c r="I108" s="754"/>
      <c r="J108" s="754"/>
      <c r="K108" s="754"/>
      <c r="L108" s="754"/>
      <c r="M108" s="754"/>
      <c r="N108" s="754"/>
      <c r="O108" s="754"/>
      <c r="P108" s="754"/>
      <c r="Q108" s="754"/>
      <c r="R108" s="769"/>
    </row>
    <row r="109" spans="1:18">
      <c r="A109" t="s">
        <v>442</v>
      </c>
      <c r="C109" s="373"/>
      <c r="D109" s="652"/>
      <c r="F109" s="85"/>
      <c r="G109" s="747"/>
      <c r="H109" s="746">
        <v>1.0249999999999999</v>
      </c>
      <c r="I109" s="746">
        <v>1.0249999999999999</v>
      </c>
      <c r="J109" s="746">
        <v>1.0249999999999999</v>
      </c>
      <c r="K109" s="746">
        <v>1.0249999999999999</v>
      </c>
      <c r="L109" s="746">
        <v>1.0249999999999999</v>
      </c>
      <c r="M109" s="746">
        <v>1.0249999999999999</v>
      </c>
      <c r="N109" s="746">
        <v>1.0249999999999999</v>
      </c>
      <c r="O109" s="746">
        <v>1.0249999999999999</v>
      </c>
      <c r="P109" s="746">
        <v>1.0249999999999999</v>
      </c>
      <c r="Q109" s="746">
        <v>1.0249999999999999</v>
      </c>
      <c r="R109" s="24"/>
    </row>
    <row r="110" spans="1:18">
      <c r="A110" t="s">
        <v>447</v>
      </c>
      <c r="C110" s="373"/>
      <c r="D110" s="652"/>
      <c r="F110" s="85"/>
      <c r="G110" s="747"/>
      <c r="H110" s="746">
        <v>1</v>
      </c>
      <c r="I110" s="746">
        <v>1</v>
      </c>
      <c r="J110" s="746">
        <v>1</v>
      </c>
      <c r="K110" s="746">
        <v>1</v>
      </c>
      <c r="L110" s="746">
        <v>1</v>
      </c>
      <c r="M110" s="746">
        <v>1</v>
      </c>
      <c r="N110" s="746">
        <v>1</v>
      </c>
      <c r="O110" s="746">
        <v>1</v>
      </c>
      <c r="P110" s="746">
        <v>1</v>
      </c>
      <c r="Q110" s="746">
        <v>1</v>
      </c>
      <c r="R110" s="24"/>
    </row>
    <row r="111" spans="1:18">
      <c r="A111" t="s">
        <v>448</v>
      </c>
      <c r="C111" s="373"/>
      <c r="D111" s="652"/>
      <c r="F111" s="85"/>
      <c r="G111" s="747"/>
      <c r="H111" s="746">
        <v>1</v>
      </c>
      <c r="I111" s="746">
        <v>1</v>
      </c>
      <c r="J111" s="746">
        <v>1</v>
      </c>
      <c r="K111" s="746">
        <v>1</v>
      </c>
      <c r="L111" s="746">
        <v>1</v>
      </c>
      <c r="M111" s="746">
        <v>1</v>
      </c>
      <c r="N111" s="746">
        <v>1</v>
      </c>
      <c r="O111" s="746">
        <v>1</v>
      </c>
      <c r="P111" s="746">
        <v>1</v>
      </c>
      <c r="Q111" s="746">
        <v>1</v>
      </c>
      <c r="R111" s="24"/>
    </row>
    <row r="112" spans="1:18">
      <c r="A112" t="s">
        <v>445</v>
      </c>
      <c r="C112" s="373"/>
      <c r="D112" s="652"/>
      <c r="F112" s="85"/>
      <c r="G112" s="747"/>
      <c r="H112" s="746">
        <v>1</v>
      </c>
      <c r="I112" s="746">
        <v>1</v>
      </c>
      <c r="J112" s="746">
        <v>1</v>
      </c>
      <c r="K112" s="746">
        <v>1</v>
      </c>
      <c r="L112" s="746">
        <v>1</v>
      </c>
      <c r="M112" s="746">
        <v>1</v>
      </c>
      <c r="N112" s="746">
        <v>1</v>
      </c>
      <c r="O112" s="746">
        <v>1</v>
      </c>
      <c r="P112" s="746">
        <v>1</v>
      </c>
      <c r="Q112" s="746">
        <v>1</v>
      </c>
      <c r="R112" s="24"/>
    </row>
    <row r="113" spans="1:18">
      <c r="A113" t="s">
        <v>446</v>
      </c>
      <c r="C113" s="373"/>
      <c r="D113" s="652"/>
      <c r="F113" s="85"/>
      <c r="G113" s="747"/>
      <c r="H113" s="746">
        <v>1</v>
      </c>
      <c r="I113" s="746">
        <v>1</v>
      </c>
      <c r="J113" s="746">
        <v>1</v>
      </c>
      <c r="K113" s="746">
        <v>1</v>
      </c>
      <c r="L113" s="746">
        <v>1</v>
      </c>
      <c r="M113" s="746">
        <v>1</v>
      </c>
      <c r="N113" s="746">
        <v>1</v>
      </c>
      <c r="O113" s="746">
        <v>1</v>
      </c>
      <c r="P113" s="746">
        <v>1</v>
      </c>
      <c r="Q113" s="746">
        <v>1</v>
      </c>
      <c r="R113" s="24"/>
    </row>
    <row r="114" spans="1:18">
      <c r="C114" s="373"/>
      <c r="D114" s="652"/>
      <c r="F114" s="85"/>
      <c r="G114" s="747"/>
      <c r="H114" s="747"/>
      <c r="I114" s="747"/>
      <c r="J114" s="747"/>
      <c r="K114" s="747"/>
      <c r="L114" s="747"/>
      <c r="M114" s="747"/>
      <c r="N114" s="747"/>
      <c r="O114" s="747"/>
      <c r="P114" s="747"/>
      <c r="Q114" s="747"/>
      <c r="R114" s="24"/>
    </row>
    <row r="115" spans="1:18">
      <c r="R115" s="24"/>
    </row>
    <row r="116" spans="1:18" ht="15.75">
      <c r="A116" s="563" t="s">
        <v>475</v>
      </c>
      <c r="B116" s="442"/>
      <c r="C116" s="442"/>
      <c r="D116" s="442"/>
      <c r="E116" s="442"/>
      <c r="F116" s="442"/>
      <c r="G116" s="442"/>
      <c r="H116" s="442"/>
      <c r="I116" s="442"/>
      <c r="J116" s="442"/>
      <c r="K116" s="442"/>
      <c r="L116" s="442"/>
      <c r="M116" s="442"/>
      <c r="N116" s="442"/>
      <c r="O116" s="442"/>
      <c r="P116" s="442"/>
      <c r="Q116" s="442"/>
      <c r="R116" s="24"/>
    </row>
    <row r="117" spans="1:18" s="24" customFormat="1" ht="12.75" customHeight="1">
      <c r="A117" s="568"/>
      <c r="D117" s="560"/>
      <c r="E117" s="560"/>
      <c r="F117" s="386"/>
      <c r="G117" s="372" t="s">
        <v>263</v>
      </c>
      <c r="H117" s="391"/>
      <c r="I117" s="386"/>
      <c r="J117" s="386"/>
      <c r="K117" s="304"/>
      <c r="L117" s="386"/>
      <c r="M117" s="304"/>
      <c r="N117" s="304"/>
      <c r="O117" s="304"/>
      <c r="P117" s="304"/>
      <c r="Q117" s="355"/>
    </row>
    <row r="118" spans="1:18" s="24" customFormat="1" ht="12.75" customHeight="1">
      <c r="A118" s="568"/>
      <c r="D118" s="316">
        <v>1998</v>
      </c>
      <c r="E118" s="316">
        <v>1999</v>
      </c>
      <c r="F118" s="316">
        <v>2000</v>
      </c>
      <c r="G118" s="316">
        <v>2001</v>
      </c>
      <c r="H118" s="352">
        <v>2002</v>
      </c>
      <c r="I118" s="352">
        <v>2003</v>
      </c>
      <c r="J118" s="352">
        <v>2004</v>
      </c>
      <c r="K118" s="352">
        <v>2005</v>
      </c>
      <c r="L118" s="352">
        <v>2006</v>
      </c>
      <c r="M118" s="356">
        <v>2007</v>
      </c>
      <c r="N118" s="356">
        <v>2008</v>
      </c>
      <c r="O118" s="356">
        <v>2009</v>
      </c>
      <c r="P118" s="356">
        <v>2010</v>
      </c>
      <c r="Q118" s="537">
        <v>2011</v>
      </c>
    </row>
    <row r="119" spans="1:18" s="24" customFormat="1" ht="12.75" customHeight="1">
      <c r="F119" s="567" t="s">
        <v>273</v>
      </c>
      <c r="G119" s="316">
        <v>1</v>
      </c>
      <c r="H119" s="352">
        <v>2</v>
      </c>
      <c r="I119" s="352">
        <v>3</v>
      </c>
      <c r="J119" s="352">
        <v>4</v>
      </c>
      <c r="K119" s="352">
        <v>5</v>
      </c>
      <c r="L119" s="352">
        <v>6</v>
      </c>
      <c r="M119" s="352">
        <v>7</v>
      </c>
      <c r="N119" s="352">
        <v>8</v>
      </c>
      <c r="O119" s="352">
        <v>9</v>
      </c>
      <c r="P119" s="352">
        <v>10</v>
      </c>
      <c r="Q119" s="452">
        <v>11</v>
      </c>
    </row>
    <row r="120" spans="1:18">
      <c r="A120" s="6" t="s">
        <v>453</v>
      </c>
      <c r="B120" s="40" t="s">
        <v>84</v>
      </c>
      <c r="R120" s="24"/>
    </row>
    <row r="121" spans="1:18">
      <c r="A121" s="847" t="s">
        <v>450</v>
      </c>
      <c r="B121" s="884">
        <v>1</v>
      </c>
      <c r="D121" s="665">
        <v>24000</v>
      </c>
      <c r="E121" s="665">
        <v>6000</v>
      </c>
      <c r="F121" s="665">
        <v>8000</v>
      </c>
      <c r="G121" s="876">
        <f>4000*2</f>
        <v>8000</v>
      </c>
      <c r="H121" s="883">
        <f>$B$121*G121*H127</f>
        <v>8080</v>
      </c>
      <c r="I121" s="883">
        <f t="shared" ref="I121:Q121" si="43">$B$121*H121*I127</f>
        <v>8160.8</v>
      </c>
      <c r="J121" s="883">
        <f t="shared" si="43"/>
        <v>8242.4079999999994</v>
      </c>
      <c r="K121" s="883">
        <f t="shared" si="43"/>
        <v>8324.8320800000001</v>
      </c>
      <c r="L121" s="883">
        <f t="shared" si="43"/>
        <v>8408.0804007999996</v>
      </c>
      <c r="M121" s="883">
        <f t="shared" si="43"/>
        <v>8492.1612048079987</v>
      </c>
      <c r="N121" s="883">
        <f t="shared" si="43"/>
        <v>8577.0828168560784</v>
      </c>
      <c r="O121" s="883">
        <f t="shared" si="43"/>
        <v>8662.8536450246393</v>
      </c>
      <c r="P121" s="883">
        <f t="shared" si="43"/>
        <v>8749.4821814748866</v>
      </c>
      <c r="Q121" s="883">
        <f t="shared" si="43"/>
        <v>8836.9770032896358</v>
      </c>
      <c r="R121" s="24"/>
    </row>
    <row r="122" spans="1:18">
      <c r="A122" s="847" t="s">
        <v>454</v>
      </c>
      <c r="B122" s="884">
        <v>0</v>
      </c>
      <c r="D122" s="665">
        <v>0</v>
      </c>
      <c r="E122" s="665">
        <v>0</v>
      </c>
      <c r="F122" s="665">
        <v>0</v>
      </c>
      <c r="G122" s="876">
        <v>0</v>
      </c>
      <c r="H122" s="883">
        <f>$B$122*G122*H128</f>
        <v>0</v>
      </c>
      <c r="I122" s="883">
        <f t="shared" ref="I122:Q122" si="44">$B$122*H122*I128</f>
        <v>0</v>
      </c>
      <c r="J122" s="883">
        <f t="shared" si="44"/>
        <v>0</v>
      </c>
      <c r="K122" s="883">
        <f t="shared" si="44"/>
        <v>0</v>
      </c>
      <c r="L122" s="883">
        <f t="shared" si="44"/>
        <v>0</v>
      </c>
      <c r="M122" s="883">
        <f t="shared" si="44"/>
        <v>0</v>
      </c>
      <c r="N122" s="883">
        <f t="shared" si="44"/>
        <v>0</v>
      </c>
      <c r="O122" s="883">
        <f t="shared" si="44"/>
        <v>0</v>
      </c>
      <c r="P122" s="883">
        <f t="shared" si="44"/>
        <v>0</v>
      </c>
      <c r="Q122" s="883">
        <f t="shared" si="44"/>
        <v>0</v>
      </c>
      <c r="R122" s="24"/>
    </row>
    <row r="123" spans="1:18">
      <c r="A123" s="847" t="s">
        <v>455</v>
      </c>
      <c r="B123" s="884">
        <v>0</v>
      </c>
      <c r="D123" s="856">
        <v>0</v>
      </c>
      <c r="E123" s="856">
        <v>0</v>
      </c>
      <c r="F123" s="856">
        <v>0</v>
      </c>
      <c r="G123" s="881">
        <v>0</v>
      </c>
      <c r="H123" s="885">
        <f>$B$123*G123*H129</f>
        <v>0</v>
      </c>
      <c r="I123" s="885">
        <f t="shared" ref="I123:Q123" si="45">$B$123*H123*I129</f>
        <v>0</v>
      </c>
      <c r="J123" s="885">
        <f t="shared" si="45"/>
        <v>0</v>
      </c>
      <c r="K123" s="885">
        <f t="shared" si="45"/>
        <v>0</v>
      </c>
      <c r="L123" s="885">
        <f t="shared" si="45"/>
        <v>0</v>
      </c>
      <c r="M123" s="885">
        <f t="shared" si="45"/>
        <v>0</v>
      </c>
      <c r="N123" s="885">
        <f t="shared" si="45"/>
        <v>0</v>
      </c>
      <c r="O123" s="885">
        <f t="shared" si="45"/>
        <v>0</v>
      </c>
      <c r="P123" s="885">
        <f t="shared" si="45"/>
        <v>0</v>
      </c>
      <c r="Q123" s="885">
        <f t="shared" si="45"/>
        <v>0</v>
      </c>
      <c r="R123" s="24"/>
    </row>
    <row r="124" spans="1:18">
      <c r="A124" s="740" t="s">
        <v>456</v>
      </c>
      <c r="D124" s="668">
        <f t="shared" ref="D124:Q124" si="46">SUM(D121:D123)</f>
        <v>24000</v>
      </c>
      <c r="E124" s="668">
        <f t="shared" si="46"/>
        <v>6000</v>
      </c>
      <c r="F124" s="668">
        <f t="shared" si="46"/>
        <v>8000</v>
      </c>
      <c r="G124" s="668">
        <f t="shared" si="46"/>
        <v>8000</v>
      </c>
      <c r="H124" s="669">
        <f t="shared" si="46"/>
        <v>8080</v>
      </c>
      <c r="I124" s="669">
        <f t="shared" si="46"/>
        <v>8160.8</v>
      </c>
      <c r="J124" s="669">
        <f t="shared" si="46"/>
        <v>8242.4079999999994</v>
      </c>
      <c r="K124" s="669">
        <f t="shared" si="46"/>
        <v>8324.8320800000001</v>
      </c>
      <c r="L124" s="669">
        <f t="shared" si="46"/>
        <v>8408.0804007999996</v>
      </c>
      <c r="M124" s="669">
        <f t="shared" si="46"/>
        <v>8492.1612048079987</v>
      </c>
      <c r="N124" s="669">
        <f t="shared" si="46"/>
        <v>8577.0828168560784</v>
      </c>
      <c r="O124" s="669">
        <f t="shared" si="46"/>
        <v>8662.8536450246393</v>
      </c>
      <c r="P124" s="669">
        <f t="shared" si="46"/>
        <v>8749.4821814748866</v>
      </c>
      <c r="Q124" s="669">
        <f t="shared" si="46"/>
        <v>8836.9770032896358</v>
      </c>
      <c r="R124" s="24"/>
    </row>
    <row r="125" spans="1:18">
      <c r="A125" s="39"/>
      <c r="D125" s="764"/>
      <c r="E125" s="764"/>
      <c r="F125" s="764"/>
      <c r="G125" s="669"/>
      <c r="H125" s="669"/>
      <c r="I125" s="669"/>
      <c r="J125" s="669"/>
      <c r="K125" s="669"/>
      <c r="L125" s="669"/>
      <c r="M125" s="669"/>
      <c r="N125" s="669"/>
      <c r="O125" s="669"/>
      <c r="P125" s="669"/>
      <c r="Q125" s="669"/>
      <c r="R125" s="24"/>
    </row>
    <row r="126" spans="1:18" ht="15.75">
      <c r="A126" s="755" t="s">
        <v>395</v>
      </c>
      <c r="B126" s="477"/>
      <c r="C126" s="751"/>
      <c r="D126" s="752"/>
      <c r="E126" s="477"/>
      <c r="F126" s="753"/>
      <c r="G126" s="754"/>
      <c r="H126" s="754"/>
      <c r="I126" s="754"/>
      <c r="J126" s="754"/>
      <c r="K126" s="754"/>
      <c r="L126" s="754"/>
      <c r="M126" s="754"/>
      <c r="N126" s="754"/>
      <c r="O126" s="754"/>
      <c r="P126" s="754"/>
      <c r="Q126" s="754"/>
      <c r="R126" s="769"/>
    </row>
    <row r="127" spans="1:18">
      <c r="A127" s="889" t="s">
        <v>450</v>
      </c>
      <c r="C127" s="373"/>
      <c r="D127" s="652"/>
      <c r="F127" s="85"/>
      <c r="G127" s="747"/>
      <c r="H127" s="746">
        <v>1.01</v>
      </c>
      <c r="I127" s="746">
        <v>1.01</v>
      </c>
      <c r="J127" s="746">
        <v>1.01</v>
      </c>
      <c r="K127" s="746">
        <v>1.01</v>
      </c>
      <c r="L127" s="746">
        <v>1.01</v>
      </c>
      <c r="M127" s="746">
        <v>1.01</v>
      </c>
      <c r="N127" s="746">
        <v>1.01</v>
      </c>
      <c r="O127" s="746">
        <v>1.01</v>
      </c>
      <c r="P127" s="746">
        <v>1.01</v>
      </c>
      <c r="Q127" s="746">
        <v>1.01</v>
      </c>
      <c r="R127" s="24"/>
    </row>
    <row r="128" spans="1:18">
      <c r="A128" s="889" t="s">
        <v>454</v>
      </c>
      <c r="C128" s="373"/>
      <c r="D128" s="652"/>
      <c r="F128" s="85"/>
      <c r="G128" s="747"/>
      <c r="H128" s="746">
        <v>1</v>
      </c>
      <c r="I128" s="746">
        <v>1</v>
      </c>
      <c r="J128" s="746">
        <v>1</v>
      </c>
      <c r="K128" s="746">
        <v>1</v>
      </c>
      <c r="L128" s="746">
        <v>1</v>
      </c>
      <c r="M128" s="746">
        <v>1</v>
      </c>
      <c r="N128" s="746">
        <v>1</v>
      </c>
      <c r="O128" s="746">
        <v>1</v>
      </c>
      <c r="P128" s="746">
        <v>1</v>
      </c>
      <c r="Q128" s="746">
        <v>1</v>
      </c>
      <c r="R128" s="24"/>
    </row>
    <row r="129" spans="1:18">
      <c r="A129" s="889" t="s">
        <v>455</v>
      </c>
      <c r="C129" s="373"/>
      <c r="D129" s="652"/>
      <c r="F129" s="85"/>
      <c r="G129" s="747"/>
      <c r="H129" s="746">
        <v>1</v>
      </c>
      <c r="I129" s="746">
        <v>1</v>
      </c>
      <c r="J129" s="746">
        <v>1</v>
      </c>
      <c r="K129" s="746">
        <v>1</v>
      </c>
      <c r="L129" s="746">
        <v>1</v>
      </c>
      <c r="M129" s="746">
        <v>1</v>
      </c>
      <c r="N129" s="746">
        <v>1</v>
      </c>
      <c r="O129" s="746">
        <v>1</v>
      </c>
      <c r="P129" s="746">
        <v>1</v>
      </c>
      <c r="Q129" s="746">
        <v>1</v>
      </c>
      <c r="R129" s="24"/>
    </row>
    <row r="130" spans="1:18">
      <c r="A130" s="889"/>
      <c r="C130" s="373"/>
      <c r="D130" s="652"/>
      <c r="F130" s="85"/>
      <c r="G130" s="747"/>
      <c r="H130" s="747"/>
      <c r="I130" s="747"/>
      <c r="J130" s="747"/>
      <c r="K130" s="747"/>
      <c r="L130" s="747"/>
      <c r="M130" s="747"/>
      <c r="N130" s="747"/>
      <c r="O130" s="747"/>
      <c r="P130" s="747"/>
      <c r="Q130" s="747"/>
      <c r="R130" s="24"/>
    </row>
    <row r="131" spans="1:18">
      <c r="A131" s="6"/>
      <c r="C131" s="373"/>
      <c r="D131" s="652"/>
      <c r="F131" s="85"/>
      <c r="G131" s="747"/>
      <c r="H131" s="747"/>
      <c r="I131" s="747"/>
      <c r="J131" s="747"/>
      <c r="K131" s="747"/>
      <c r="L131" s="747"/>
      <c r="M131" s="747"/>
      <c r="N131" s="747"/>
      <c r="O131" s="747"/>
      <c r="P131" s="747"/>
      <c r="Q131" s="747"/>
      <c r="R131" s="24"/>
    </row>
    <row r="132" spans="1:18" ht="15.75">
      <c r="A132" s="563" t="s">
        <v>381</v>
      </c>
      <c r="B132" s="477"/>
      <c r="C132" s="477"/>
      <c r="D132" s="477"/>
      <c r="E132" s="477"/>
      <c r="F132" s="477"/>
      <c r="G132" s="477"/>
      <c r="H132" s="477"/>
      <c r="I132" s="477"/>
      <c r="J132" s="477"/>
      <c r="K132" s="477"/>
      <c r="L132" s="477"/>
      <c r="M132" s="477"/>
      <c r="N132" s="477"/>
      <c r="O132" s="477"/>
      <c r="P132" s="477"/>
      <c r="Q132" s="477"/>
      <c r="R132" s="24"/>
    </row>
    <row r="133" spans="1:18">
      <c r="D133" s="560"/>
      <c r="E133" s="560"/>
      <c r="F133" s="386"/>
      <c r="G133" s="372" t="s">
        <v>263</v>
      </c>
      <c r="H133" s="391"/>
      <c r="I133" s="386"/>
      <c r="J133" s="386"/>
      <c r="K133" s="304"/>
      <c r="L133" s="386"/>
      <c r="M133" s="304"/>
      <c r="N133" s="304"/>
      <c r="O133" s="304"/>
      <c r="P133" s="304"/>
      <c r="Q133" s="355"/>
    </row>
    <row r="134" spans="1:18">
      <c r="D134" s="316">
        <v>1998</v>
      </c>
      <c r="E134" s="316">
        <v>1999</v>
      </c>
      <c r="F134" s="316">
        <v>2000</v>
      </c>
      <c r="G134" s="316">
        <v>2001</v>
      </c>
      <c r="H134" s="352">
        <v>2002</v>
      </c>
      <c r="I134" s="352">
        <v>2003</v>
      </c>
      <c r="J134" s="352">
        <v>2004</v>
      </c>
      <c r="K134" s="352">
        <v>2005</v>
      </c>
      <c r="L134" s="352">
        <v>2006</v>
      </c>
      <c r="M134" s="356">
        <v>2007</v>
      </c>
      <c r="N134" s="356">
        <v>2008</v>
      </c>
      <c r="O134" s="356">
        <v>2009</v>
      </c>
      <c r="P134" s="356">
        <v>2010</v>
      </c>
      <c r="Q134" s="537">
        <v>2011</v>
      </c>
    </row>
    <row r="135" spans="1:18">
      <c r="F135" s="567" t="s">
        <v>273</v>
      </c>
      <c r="G135" s="316">
        <v>1</v>
      </c>
      <c r="H135" s="459">
        <v>2</v>
      </c>
      <c r="I135" s="459">
        <v>3</v>
      </c>
      <c r="J135" s="459">
        <v>4</v>
      </c>
      <c r="K135" s="459">
        <v>5</v>
      </c>
      <c r="L135" s="459">
        <v>6</v>
      </c>
      <c r="M135" s="459">
        <v>7</v>
      </c>
      <c r="N135" s="459">
        <v>8</v>
      </c>
      <c r="O135" s="459">
        <v>9</v>
      </c>
      <c r="P135" s="459">
        <v>10</v>
      </c>
      <c r="Q135" s="933">
        <v>11</v>
      </c>
    </row>
    <row r="136" spans="1:18">
      <c r="A136" s="74" t="s">
        <v>38</v>
      </c>
      <c r="B136" s="23"/>
      <c r="D136" s="47"/>
      <c r="E136" s="47"/>
      <c r="F136" s="12"/>
      <c r="G136" s="24"/>
      <c r="H136" s="934">
        <f>1/Assumptions!$D$22</f>
        <v>2.5000000000000001E-2</v>
      </c>
      <c r="I136" s="934">
        <f>1/Assumptions!$D$22</f>
        <v>2.5000000000000001E-2</v>
      </c>
      <c r="J136" s="934">
        <f>1/Assumptions!$D$22</f>
        <v>2.5000000000000001E-2</v>
      </c>
      <c r="K136" s="934">
        <f>1/Assumptions!$D$22</f>
        <v>2.5000000000000001E-2</v>
      </c>
      <c r="L136" s="934">
        <f>1/Assumptions!$D$22</f>
        <v>2.5000000000000001E-2</v>
      </c>
      <c r="M136" s="934">
        <f>1/Assumptions!$D$22</f>
        <v>2.5000000000000001E-2</v>
      </c>
      <c r="N136" s="934">
        <f>1/Assumptions!$D$22</f>
        <v>2.5000000000000001E-2</v>
      </c>
      <c r="O136" s="934">
        <f>1/Assumptions!$D$22</f>
        <v>2.5000000000000001E-2</v>
      </c>
      <c r="P136" s="934">
        <f>1/Assumptions!$D$22</f>
        <v>2.5000000000000001E-2</v>
      </c>
      <c r="Q136" s="934">
        <f>1/Assumptions!$D$22</f>
        <v>2.5000000000000001E-2</v>
      </c>
      <c r="R136" s="932"/>
    </row>
    <row r="137" spans="1:18">
      <c r="A137" s="2" t="s">
        <v>602</v>
      </c>
      <c r="B137" s="931"/>
      <c r="C137" s="766"/>
      <c r="D137" s="246"/>
      <c r="E137" s="246"/>
      <c r="F137" s="18"/>
      <c r="G137" s="16"/>
      <c r="H137" s="30">
        <f>'Pipeline Co BS'!J26/Assumptions!$D$22</f>
        <v>38850</v>
      </c>
      <c r="I137" s="30">
        <f t="shared" ref="I137:Q137" si="47">+H137</f>
        <v>38850</v>
      </c>
      <c r="J137" s="30">
        <f t="shared" si="47"/>
        <v>38850</v>
      </c>
      <c r="K137" s="30">
        <f t="shared" si="47"/>
        <v>38850</v>
      </c>
      <c r="L137" s="30">
        <f t="shared" si="47"/>
        <v>38850</v>
      </c>
      <c r="M137" s="30">
        <f t="shared" si="47"/>
        <v>38850</v>
      </c>
      <c r="N137" s="30">
        <f t="shared" si="47"/>
        <v>38850</v>
      </c>
      <c r="O137" s="30">
        <f t="shared" si="47"/>
        <v>38850</v>
      </c>
      <c r="P137" s="30">
        <f t="shared" si="47"/>
        <v>38850</v>
      </c>
      <c r="Q137" s="30">
        <f t="shared" si="47"/>
        <v>38850</v>
      </c>
      <c r="R137" s="61"/>
    </row>
    <row r="138" spans="1:18">
      <c r="A138" s="2" t="s">
        <v>603</v>
      </c>
      <c r="B138" s="931"/>
      <c r="C138" s="766"/>
      <c r="D138" s="246"/>
      <c r="E138" s="246"/>
      <c r="F138" s="18"/>
      <c r="G138" s="16"/>
      <c r="H138" s="30">
        <f>'Pipeline Co BS'!J27/Assumptions!$D$22</f>
        <v>18075</v>
      </c>
      <c r="I138" s="30">
        <f>H138</f>
        <v>18075</v>
      </c>
      <c r="J138" s="30">
        <f t="shared" ref="J138:Q138" si="48">I138</f>
        <v>18075</v>
      </c>
      <c r="K138" s="30">
        <f t="shared" si="48"/>
        <v>18075</v>
      </c>
      <c r="L138" s="30">
        <f t="shared" si="48"/>
        <v>18075</v>
      </c>
      <c r="M138" s="30">
        <f t="shared" si="48"/>
        <v>18075</v>
      </c>
      <c r="N138" s="30">
        <f t="shared" si="48"/>
        <v>18075</v>
      </c>
      <c r="O138" s="30">
        <f t="shared" si="48"/>
        <v>18075</v>
      </c>
      <c r="P138" s="30">
        <f t="shared" si="48"/>
        <v>18075</v>
      </c>
      <c r="Q138" s="30">
        <f t="shared" si="48"/>
        <v>18075</v>
      </c>
      <c r="R138" s="61"/>
    </row>
    <row r="139" spans="1:18">
      <c r="A139" s="2" t="s">
        <v>9</v>
      </c>
      <c r="D139" s="767"/>
      <c r="E139" s="767"/>
      <c r="F139" s="254"/>
      <c r="G139" s="16"/>
      <c r="H139" s="718">
        <f>-(('Pipeline Co CF'!J69*H136))</f>
        <v>1515</v>
      </c>
      <c r="I139" s="718">
        <f>-(('Pipeline Co CF'!K69*I136)+('Pipeline Co CF'!J69*H136))</f>
        <v>3045.15</v>
      </c>
      <c r="J139" s="718">
        <f>-(('Pipeline Co CF'!L69*J136)+('Pipeline Co CF'!K69*I136)+('Pipeline Co CF'!J69*H136))</f>
        <v>4590.6015000000007</v>
      </c>
      <c r="K139" s="718">
        <f>-((K136*'Pipeline Co CF'!M69)+('Pipeline Co CF'!L69*J136)+('Pipeline Co CF'!K69*I136)+('Pipeline Co CF'!J69*H136))</f>
        <v>6151.5075150000002</v>
      </c>
      <c r="L139" s="718">
        <f>-((L136*'Pipeline Co CF'!N69)+(K136*'Pipeline Co CF'!M69)+('Pipeline Co CF'!L69*J136)+('Pipeline Co CF'!K69*I136)+('Pipeline Co CF'!J69*H136))</f>
        <v>7728.0225901499998</v>
      </c>
      <c r="M139" s="718">
        <f>-((M136*'Pipeline Co CF'!O69)+(L136*'Pipeline Co CF'!N69)+(K136*'Pipeline Co CF'!M69)+('Pipeline Co CF'!L69*J136)+('Pipeline Co CF'!K69*I136)+('Pipeline Co CF'!J69*H136))</f>
        <v>9320.3028160515005</v>
      </c>
      <c r="N139" s="718">
        <f>-((N136*'Pipeline Co CF'!P69)+(M136*'Pipeline Co CF'!O69)+(L136*'Pipeline Co CF'!N69)+(K136*'Pipeline Co CF'!M69)+('Pipeline Co CF'!L69*J136)+('Pipeline Co CF'!K69*I136)+('Pipeline Co CF'!J69*H136))</f>
        <v>10928.505844212015</v>
      </c>
      <c r="O139" s="718">
        <f>-(('Pipeline Co CF'!Q69*'Pipeline Co IS'!O136)+(N136*'Pipeline Co CF'!P69)+(M136*'Pipeline Co CF'!O69)+(L136*'Pipeline Co CF'!N69)+(K136*'Pipeline Co CF'!M69)+('Pipeline Co CF'!L69*J136)+('Pipeline Co CF'!K69*I136)+('Pipeline Co CF'!J69*H136))</f>
        <v>12552.790902654137</v>
      </c>
      <c r="P139" s="718">
        <f>-((P136*'Pipeline Co CF'!R69)+('Pipeline Co CF'!Q69*'Pipeline Co IS'!O136)+(N136*'Pipeline Co CF'!P69)+(M136*'Pipeline Co CF'!O69)+(L136*'Pipeline Co CF'!N69)+(K136*'Pipeline Co CF'!M69)+('Pipeline Co CF'!L69*J136)+('Pipeline Co CF'!K69*I136)+('Pipeline Co CF'!J69*H136))</f>
        <v>14193.318811680676</v>
      </c>
      <c r="Q139" s="718">
        <f>-((Q136*'Pipeline Co CF'!S69)+(P136*'Pipeline Co CF'!R69)+('Pipeline Co CF'!Q69*'Pipeline Co IS'!O136)+(N136*'Pipeline Co CF'!P69)+(M136*'Pipeline Co CF'!O69)+(L136*'Pipeline Co CF'!N69)+(K136*'Pipeline Co CF'!M69)+('Pipeline Co CF'!L69*J136)+('Pipeline Co CF'!K69*I136)+('Pipeline Co CF'!J69*H136))</f>
        <v>15850.251999797483</v>
      </c>
      <c r="R139" s="61"/>
    </row>
    <row r="140" spans="1:18">
      <c r="A140" s="39" t="s">
        <v>282</v>
      </c>
      <c r="D140" s="246"/>
      <c r="E140" s="246"/>
      <c r="F140" s="18"/>
      <c r="G140" s="16"/>
      <c r="H140" s="719">
        <f t="shared" ref="H140:Q140" si="49">SUM(H137:H139)</f>
        <v>58440</v>
      </c>
      <c r="I140" s="719">
        <f t="shared" si="49"/>
        <v>59970.15</v>
      </c>
      <c r="J140" s="719">
        <f t="shared" si="49"/>
        <v>61515.601500000004</v>
      </c>
      <c r="K140" s="669">
        <f t="shared" si="49"/>
        <v>63076.507514999998</v>
      </c>
      <c r="L140" s="669">
        <f t="shared" si="49"/>
        <v>64653.022590150002</v>
      </c>
      <c r="M140" s="719">
        <f t="shared" si="49"/>
        <v>66245.302816051495</v>
      </c>
      <c r="N140" s="719">
        <f t="shared" si="49"/>
        <v>67853.505844212021</v>
      </c>
      <c r="O140" s="719">
        <f t="shared" si="49"/>
        <v>69477.790902654131</v>
      </c>
      <c r="P140" s="719">
        <f t="shared" si="49"/>
        <v>71118.31881168067</v>
      </c>
      <c r="Q140" s="719">
        <f t="shared" si="49"/>
        <v>72775.251999797489</v>
      </c>
      <c r="R140" s="529"/>
    </row>
    <row r="141" spans="1:18">
      <c r="A141" s="1"/>
      <c r="D141" s="246"/>
      <c r="E141" s="246"/>
      <c r="F141" s="18"/>
      <c r="G141" s="18"/>
      <c r="H141" s="1"/>
      <c r="I141" s="1"/>
      <c r="J141" s="12"/>
      <c r="K141" s="12"/>
      <c r="L141" s="1"/>
      <c r="M141" s="1"/>
      <c r="N141" s="1"/>
      <c r="O141" s="1"/>
      <c r="P141" s="1"/>
      <c r="Q141" s="1"/>
      <c r="R141" s="35"/>
    </row>
    <row r="142" spans="1:18">
      <c r="A142" s="77" t="s">
        <v>7</v>
      </c>
      <c r="D142" s="246"/>
      <c r="E142" s="246"/>
      <c r="F142" s="18"/>
      <c r="G142" s="16"/>
      <c r="H142" s="975">
        <v>4.4999999999999998E-2</v>
      </c>
      <c r="I142" s="976">
        <v>4.4999999999999998E-2</v>
      </c>
      <c r="J142" s="985">
        <v>4.4999999999999998E-2</v>
      </c>
      <c r="K142" s="976">
        <v>4.4999999999999998E-2</v>
      </c>
      <c r="L142" s="985">
        <v>4.4999999999999998E-2</v>
      </c>
      <c r="M142" s="976">
        <v>4.4999999999999998E-2</v>
      </c>
      <c r="N142" s="985">
        <v>4.4999999999999998E-2</v>
      </c>
      <c r="O142" s="976">
        <v>4.4999999999999998E-2</v>
      </c>
      <c r="P142" s="985">
        <v>4.4999999999999998E-2</v>
      </c>
      <c r="Q142" s="984">
        <v>4.4999999999999998E-2</v>
      </c>
      <c r="R142" s="946"/>
    </row>
    <row r="143" spans="1:18">
      <c r="A143" s="2" t="s">
        <v>606</v>
      </c>
      <c r="B143" s="14"/>
      <c r="D143" s="246"/>
      <c r="E143" s="246"/>
      <c r="F143" s="18"/>
      <c r="G143" s="16"/>
      <c r="H143" s="1">
        <f>'Pipeline Co BS'!J26*H142</f>
        <v>69930</v>
      </c>
      <c r="I143" s="1">
        <f>'Pipeline Co DCF'!$G$48*I142</f>
        <v>129403.34975662184</v>
      </c>
      <c r="J143" s="1">
        <f>'Pipeline Co DCF'!$G$48*J142</f>
        <v>129403.34975662184</v>
      </c>
      <c r="K143" s="1">
        <f>'Pipeline Co DCF'!$G$48*K142</f>
        <v>129403.34975662184</v>
      </c>
      <c r="L143" s="1">
        <f>'Pipeline Co DCF'!$G$48*L142</f>
        <v>129403.34975662184</v>
      </c>
      <c r="M143" s="1">
        <f>'Pipeline Co DCF'!$G$48*M142</f>
        <v>129403.34975662184</v>
      </c>
      <c r="N143" s="1">
        <f>'Pipeline Co DCF'!$G$48*N142</f>
        <v>129403.34975662184</v>
      </c>
      <c r="O143" s="1">
        <f>'Pipeline Co DCF'!$G$48*O142</f>
        <v>129403.34975662184</v>
      </c>
      <c r="P143" s="1">
        <f>'Pipeline Co DCF'!$G$48*P142</f>
        <v>129403.34975662184</v>
      </c>
      <c r="Q143" s="1">
        <f>'Pipeline Co DCF'!$G$48*Q142</f>
        <v>129403.34975662184</v>
      </c>
      <c r="R143" s="1"/>
    </row>
    <row r="144" spans="1:18">
      <c r="A144" s="2" t="s">
        <v>607</v>
      </c>
      <c r="B144" s="14"/>
      <c r="D144" s="246"/>
      <c r="E144" s="246"/>
      <c r="F144" s="18"/>
      <c r="G144" s="16"/>
      <c r="H144" s="1">
        <v>0</v>
      </c>
      <c r="I144" s="1">
        <f>H144</f>
        <v>0</v>
      </c>
      <c r="J144" s="1">
        <f t="shared" ref="J144:Q144" si="50">I144</f>
        <v>0</v>
      </c>
      <c r="K144" s="1">
        <f t="shared" si="50"/>
        <v>0</v>
      </c>
      <c r="L144" s="1">
        <f t="shared" si="50"/>
        <v>0</v>
      </c>
      <c r="M144" s="1">
        <f t="shared" si="50"/>
        <v>0</v>
      </c>
      <c r="N144" s="1">
        <f t="shared" si="50"/>
        <v>0</v>
      </c>
      <c r="O144" s="1">
        <f t="shared" si="50"/>
        <v>0</v>
      </c>
      <c r="P144" s="1">
        <f t="shared" si="50"/>
        <v>0</v>
      </c>
      <c r="Q144" s="1">
        <f t="shared" si="50"/>
        <v>0</v>
      </c>
      <c r="R144" s="1"/>
    </row>
    <row r="145" spans="1:18" ht="15">
      <c r="A145" s="2" t="s">
        <v>9</v>
      </c>
      <c r="B145" s="15"/>
      <c r="D145" s="248"/>
      <c r="E145" s="248"/>
      <c r="F145" s="18"/>
      <c r="G145" s="16"/>
      <c r="H145" s="718">
        <f>H139</f>
        <v>1515</v>
      </c>
      <c r="I145" s="718">
        <f t="shared" ref="I145:Q145" si="51">I139</f>
        <v>3045.15</v>
      </c>
      <c r="J145" s="718">
        <f t="shared" si="51"/>
        <v>4590.6015000000007</v>
      </c>
      <c r="K145" s="718">
        <f t="shared" si="51"/>
        <v>6151.5075150000002</v>
      </c>
      <c r="L145" s="718">
        <f t="shared" si="51"/>
        <v>7728.0225901499998</v>
      </c>
      <c r="M145" s="718">
        <f t="shared" si="51"/>
        <v>9320.3028160515005</v>
      </c>
      <c r="N145" s="718">
        <f t="shared" si="51"/>
        <v>10928.505844212015</v>
      </c>
      <c r="O145" s="718">
        <f t="shared" si="51"/>
        <v>12552.790902654137</v>
      </c>
      <c r="P145" s="718">
        <f t="shared" si="51"/>
        <v>14193.318811680676</v>
      </c>
      <c r="Q145" s="718">
        <f t="shared" si="51"/>
        <v>15850.251999797483</v>
      </c>
      <c r="R145" s="5"/>
    </row>
    <row r="146" spans="1:18">
      <c r="A146" s="39" t="s">
        <v>281</v>
      </c>
      <c r="D146" s="246"/>
      <c r="E146" s="246"/>
      <c r="F146" s="18"/>
      <c r="G146" s="16"/>
      <c r="H146" s="719">
        <f t="shared" ref="H146:Q146" si="52">SUM(H143:H145)</f>
        <v>71445</v>
      </c>
      <c r="I146" s="719">
        <f t="shared" si="52"/>
        <v>132448.49975662184</v>
      </c>
      <c r="J146" s="719">
        <f t="shared" si="52"/>
        <v>133993.95125662183</v>
      </c>
      <c r="K146" s="669">
        <f t="shared" si="52"/>
        <v>135554.85727162185</v>
      </c>
      <c r="L146" s="669">
        <f t="shared" si="52"/>
        <v>137131.37234677185</v>
      </c>
      <c r="M146" s="719">
        <f t="shared" si="52"/>
        <v>138723.65257267334</v>
      </c>
      <c r="N146" s="719">
        <f t="shared" si="52"/>
        <v>140331.85560083386</v>
      </c>
      <c r="O146" s="719">
        <f t="shared" si="52"/>
        <v>141956.14065927599</v>
      </c>
      <c r="P146" s="719">
        <f t="shared" si="52"/>
        <v>143596.66856830253</v>
      </c>
      <c r="Q146" s="719">
        <f t="shared" si="52"/>
        <v>145253.60175641932</v>
      </c>
      <c r="R146" s="1"/>
    </row>
    <row r="149" spans="1:18" ht="15.75">
      <c r="A149" s="563" t="s">
        <v>476</v>
      </c>
      <c r="B149" s="477"/>
      <c r="C149" s="477"/>
      <c r="D149" s="477"/>
      <c r="E149" s="477"/>
      <c r="F149" s="477"/>
      <c r="G149" s="477"/>
      <c r="H149" s="477"/>
      <c r="I149" s="477"/>
      <c r="J149" s="477"/>
      <c r="K149" s="477"/>
      <c r="L149" s="477"/>
      <c r="M149" s="477"/>
      <c r="N149" s="477"/>
      <c r="O149" s="477"/>
      <c r="P149" s="477"/>
      <c r="Q149" s="477"/>
    </row>
    <row r="150" spans="1:18">
      <c r="D150" s="560"/>
      <c r="E150" s="560"/>
      <c r="F150" s="386"/>
      <c r="G150" s="372" t="s">
        <v>263</v>
      </c>
      <c r="H150" s="391"/>
      <c r="I150" s="386"/>
      <c r="J150" s="386"/>
      <c r="K150" s="304"/>
      <c r="L150" s="386"/>
      <c r="M150" s="304"/>
      <c r="N150" s="304"/>
      <c r="O150" s="304"/>
      <c r="P150" s="304"/>
      <c r="Q150" s="355"/>
    </row>
    <row r="151" spans="1:18">
      <c r="D151" s="316">
        <v>1998</v>
      </c>
      <c r="E151" s="316">
        <v>1999</v>
      </c>
      <c r="F151" s="316">
        <v>2000</v>
      </c>
      <c r="G151" s="316">
        <v>2001</v>
      </c>
      <c r="H151" s="352">
        <v>2002</v>
      </c>
      <c r="I151" s="352">
        <v>2003</v>
      </c>
      <c r="J151" s="352">
        <v>2004</v>
      </c>
      <c r="K151" s="352">
        <v>2005</v>
      </c>
      <c r="L151" s="352">
        <v>2006</v>
      </c>
      <c r="M151" s="356">
        <v>2007</v>
      </c>
      <c r="N151" s="356">
        <v>2008</v>
      </c>
      <c r="O151" s="356">
        <v>2009</v>
      </c>
      <c r="P151" s="356">
        <v>2010</v>
      </c>
      <c r="Q151" s="537">
        <v>2011</v>
      </c>
    </row>
    <row r="152" spans="1:18">
      <c r="F152" s="567" t="s">
        <v>273</v>
      </c>
      <c r="G152" s="450">
        <v>1</v>
      </c>
      <c r="H152" s="451">
        <v>2</v>
      </c>
      <c r="I152" s="451">
        <v>3</v>
      </c>
      <c r="J152" s="451">
        <v>4</v>
      </c>
      <c r="K152" s="451">
        <v>5</v>
      </c>
      <c r="L152" s="451">
        <v>6</v>
      </c>
      <c r="M152" s="451">
        <v>7</v>
      </c>
      <c r="N152" s="451">
        <v>8</v>
      </c>
      <c r="O152" s="451">
        <v>9</v>
      </c>
      <c r="P152" s="451">
        <v>10</v>
      </c>
      <c r="Q152" s="452">
        <v>11</v>
      </c>
    </row>
    <row r="153" spans="1:18">
      <c r="A153" t="s">
        <v>605</v>
      </c>
      <c r="D153" s="16"/>
      <c r="E153" s="16"/>
      <c r="F153" s="16"/>
      <c r="G153" s="16"/>
      <c r="H153" s="30">
        <f>Assumptions!$D$21*('Pipeline Co IS'!H33-'Pipeline Co IS'!H146)</f>
        <v>103228.125</v>
      </c>
      <c r="I153" s="30">
        <f>Assumptions!$D$21*('Pipeline Co IS'!I33-'Pipeline Co IS'!I146)</f>
        <v>80333.657343700586</v>
      </c>
      <c r="J153" s="30">
        <f>Assumptions!$D$21*('Pipeline Co IS'!J33-'Pipeline Co IS'!J146)</f>
        <v>80317.360004950649</v>
      </c>
      <c r="K153" s="30">
        <f>Assumptions!$D$21*('Pipeline Co IS'!K33-'Pipeline Co IS'!K146)</f>
        <v>80281.308136694424</v>
      </c>
      <c r="L153" s="30">
        <f>Assumptions!$D$21*('Pipeline Co IS'!L33-'Pipeline Co IS'!L146)</f>
        <v>80224.79720655283</v>
      </c>
      <c r="M153" s="30">
        <f>Assumptions!$D$21*('Pipeline Co IS'!M33-'Pipeline Co IS'!M146)</f>
        <v>80147.102838743624</v>
      </c>
      <c r="N153" s="30">
        <f>Assumptions!$D$21*('Pipeline Co IS'!N33-'Pipeline Co IS'!N146)</f>
        <v>80047.480299843621</v>
      </c>
      <c r="O153" s="30">
        <f>Assumptions!$D$21*('Pipeline Co IS'!O33-'Pipeline Co IS'!O146)</f>
        <v>79925.163971795948</v>
      </c>
      <c r="P153" s="30">
        <f>Assumptions!$D$21*('Pipeline Co IS'!P33-'Pipeline Co IS'!P146)</f>
        <v>79779.366811854226</v>
      </c>
      <c r="Q153" s="30">
        <f>Assumptions!$D$21*('Pipeline Co IS'!Q33-'Pipeline Co IS'!Q146)</f>
        <v>79609.279799151613</v>
      </c>
    </row>
    <row r="154" spans="1:18">
      <c r="A154" t="s">
        <v>4</v>
      </c>
      <c r="D154" s="611"/>
      <c r="E154" s="611"/>
      <c r="F154" s="611"/>
      <c r="G154" s="611"/>
      <c r="H154" s="718">
        <f>H155-H153</f>
        <v>-29412.074999999997</v>
      </c>
      <c r="I154" s="718">
        <f t="shared" ref="I154:Q154" si="53">I155-I153</f>
        <v>-3072.9353437006066</v>
      </c>
      <c r="J154" s="718">
        <f t="shared" si="53"/>
        <v>368.96465629941667</v>
      </c>
      <c r="K154" s="718">
        <f t="shared" si="53"/>
        <v>3810.8646562994109</v>
      </c>
      <c r="L154" s="718">
        <f t="shared" si="53"/>
        <v>7252.764656299405</v>
      </c>
      <c r="M154" s="718">
        <f t="shared" si="53"/>
        <v>10694.664656299428</v>
      </c>
      <c r="N154" s="718">
        <f t="shared" si="53"/>
        <v>14136.564656299408</v>
      </c>
      <c r="O154" s="718">
        <f t="shared" si="53"/>
        <v>17578.464656299417</v>
      </c>
      <c r="P154" s="718">
        <f t="shared" si="53"/>
        <v>21020.364656299425</v>
      </c>
      <c r="Q154" s="718">
        <f t="shared" si="53"/>
        <v>24462.264656299405</v>
      </c>
    </row>
    <row r="155" spans="1:18">
      <c r="A155" s="6" t="s">
        <v>608</v>
      </c>
      <c r="D155" s="977"/>
      <c r="E155" s="977"/>
      <c r="F155" s="977"/>
      <c r="G155" s="977"/>
      <c r="H155" s="719">
        <f>Assumptions!$D$21*('Pipeline Co IS'!H37-H44)</f>
        <v>73816.05</v>
      </c>
      <c r="I155" s="719">
        <f>Assumptions!$D$21*('Pipeline Co IS'!I37-I44)</f>
        <v>77260.72199999998</v>
      </c>
      <c r="J155" s="719">
        <f>Assumptions!$D$21*('Pipeline Co IS'!J37-J44)</f>
        <v>80686.324661250066</v>
      </c>
      <c r="K155" s="719">
        <f>Assumptions!$D$21*('Pipeline Co IS'!K37-K44)</f>
        <v>84092.172792993835</v>
      </c>
      <c r="L155" s="719">
        <f>Assumptions!$D$21*('Pipeline Co IS'!L37-L44)</f>
        <v>87477.561862852235</v>
      </c>
      <c r="M155" s="719">
        <f>Assumptions!$D$21*('Pipeline Co IS'!M37-M44)</f>
        <v>90841.767495043052</v>
      </c>
      <c r="N155" s="719">
        <f>Assumptions!$D$21*('Pipeline Co IS'!N37-N44)</f>
        <v>94184.044956143029</v>
      </c>
      <c r="O155" s="719">
        <f>Assumptions!$D$21*('Pipeline Co IS'!O37-O44)</f>
        <v>97503.628628095365</v>
      </c>
      <c r="P155" s="719">
        <f>Assumptions!$D$21*('Pipeline Co IS'!P37-P44)</f>
        <v>100799.73146815365</v>
      </c>
      <c r="Q155" s="719">
        <f>Assumptions!$D$21*('Pipeline Co IS'!Q37-Q44)</f>
        <v>104071.54445545102</v>
      </c>
    </row>
    <row r="158" spans="1:18">
      <c r="B158" s="948"/>
      <c r="C158" s="948"/>
      <c r="D158" s="948"/>
      <c r="E158" s="948"/>
      <c r="F158" s="948"/>
    </row>
    <row r="163" spans="2:3">
      <c r="B163" s="947"/>
      <c r="C163" s="949"/>
    </row>
  </sheetData>
  <phoneticPr fontId="0" type="noConversion"/>
  <conditionalFormatting sqref="C17">
    <cfRule type="cellIs" dxfId="2" priority="1" stopIfTrue="1" operator="notBetween">
      <formula>0.25</formula>
      <formula>-0.25</formula>
    </cfRule>
  </conditionalFormatting>
  <pageMargins left="0.17" right="0.17" top="0.62" bottom="0.3" header="0.23" footer="0.2"/>
  <pageSetup scale="58" orientation="landscape" r:id="rId1"/>
  <headerFooter alignWithMargins="0">
    <oddFooter>&amp;R&amp;F
&amp;A
&amp;D, &amp;T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AA102"/>
  <sheetViews>
    <sheetView showGridLines="0" topLeftCell="A67" zoomScale="75" workbookViewId="0"/>
  </sheetViews>
  <sheetFormatPr defaultRowHeight="12.75" outlineLevelRow="1"/>
  <cols>
    <col min="1" max="1" width="35.42578125" customWidth="1"/>
    <col min="2" max="2" width="8.85546875" customWidth="1"/>
    <col min="3" max="3" width="1.42578125" customWidth="1"/>
    <col min="4" max="4" width="11.28515625" customWidth="1"/>
    <col min="5" max="5" width="13.85546875" bestFit="1" customWidth="1"/>
    <col min="6" max="6" width="16.85546875" bestFit="1" customWidth="1"/>
    <col min="7" max="7" width="14.5703125" customWidth="1"/>
    <col min="8" max="8" width="12.5703125" customWidth="1"/>
    <col min="9" max="9" width="13.5703125" customWidth="1"/>
    <col min="10" max="10" width="13.140625" customWidth="1"/>
    <col min="11" max="13" width="13.42578125" bestFit="1" customWidth="1"/>
    <col min="14" max="15" width="13.140625" bestFit="1" customWidth="1"/>
    <col min="16" max="16" width="13.85546875" bestFit="1" customWidth="1"/>
    <col min="17" max="17" width="13.140625" bestFit="1" customWidth="1"/>
    <col min="18" max="18" width="13.42578125" bestFit="1" customWidth="1"/>
    <col min="19" max="20" width="13.85546875" bestFit="1" customWidth="1"/>
  </cols>
  <sheetData>
    <row r="1" spans="1:22" ht="20.25">
      <c r="A1" s="969" t="str">
        <f>"Project "&amp;Assumptions!D7</f>
        <v>Project Wolverine</v>
      </c>
      <c r="B1" s="35"/>
      <c r="C1" s="35"/>
      <c r="D1" s="35"/>
      <c r="F1" s="866" t="s">
        <v>181</v>
      </c>
      <c r="G1" s="561"/>
      <c r="H1" s="865"/>
      <c r="I1" s="865"/>
      <c r="J1" s="539"/>
    </row>
    <row r="2" spans="1:22" ht="15.75">
      <c r="A2" s="970" t="str">
        <f>'Org Chart'!B5</f>
        <v>Panhandle Eastern</v>
      </c>
      <c r="B2" s="160"/>
      <c r="C2" s="35"/>
      <c r="D2" s="35"/>
      <c r="F2" s="562"/>
      <c r="G2" s="56"/>
      <c r="H2" s="56"/>
      <c r="I2" s="56"/>
      <c r="J2" s="131"/>
    </row>
    <row r="3" spans="1:22" ht="16.5" thickBot="1">
      <c r="A3" s="971" t="s">
        <v>434</v>
      </c>
      <c r="B3" s="160"/>
      <c r="C3" s="35"/>
      <c r="D3" s="35"/>
      <c r="F3" s="562"/>
      <c r="G3" s="35"/>
      <c r="H3" s="56"/>
      <c r="I3" s="56"/>
      <c r="J3" s="131"/>
    </row>
    <row r="4" spans="1:22" ht="13.5" thickBot="1">
      <c r="F4" s="176"/>
      <c r="G4" s="177"/>
      <c r="H4" s="177"/>
      <c r="I4" s="177"/>
      <c r="J4" s="135"/>
    </row>
    <row r="6" spans="1:22" ht="15.75">
      <c r="A6" s="563" t="s">
        <v>510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  <c r="S6" s="442"/>
      <c r="T6" s="442"/>
    </row>
    <row r="7" spans="1:22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55"/>
      <c r="S7" s="355"/>
      <c r="T7" s="355"/>
    </row>
    <row r="8" spans="1:22">
      <c r="D8" s="316">
        <v>1998</v>
      </c>
      <c r="E8" s="316">
        <v>1999</v>
      </c>
      <c r="F8" s="316">
        <v>2000</v>
      </c>
      <c r="G8" s="316">
        <v>2001</v>
      </c>
      <c r="H8" s="1004" t="s">
        <v>538</v>
      </c>
      <c r="I8" s="1005"/>
      <c r="J8" s="352" t="s">
        <v>544</v>
      </c>
      <c r="K8" s="352">
        <v>2002</v>
      </c>
      <c r="L8" s="352">
        <v>2003</v>
      </c>
      <c r="M8" s="352">
        <v>2004</v>
      </c>
      <c r="N8" s="352">
        <v>2005</v>
      </c>
      <c r="O8" s="352">
        <v>2006</v>
      </c>
      <c r="P8" s="356">
        <v>2007</v>
      </c>
      <c r="Q8" s="356">
        <v>2008</v>
      </c>
      <c r="R8" s="356">
        <v>2009</v>
      </c>
      <c r="S8" s="356">
        <v>2010</v>
      </c>
      <c r="T8" s="537">
        <v>2011</v>
      </c>
    </row>
    <row r="9" spans="1:22">
      <c r="D9" s="24"/>
      <c r="E9" s="24"/>
      <c r="F9" s="411" t="s">
        <v>273</v>
      </c>
      <c r="G9" s="316">
        <v>1</v>
      </c>
      <c r="H9" s="899" t="s">
        <v>539</v>
      </c>
      <c r="I9" s="900" t="s">
        <v>540</v>
      </c>
      <c r="J9" s="352">
        <v>1</v>
      </c>
      <c r="K9" s="352">
        <v>2</v>
      </c>
      <c r="L9" s="352">
        <v>3</v>
      </c>
      <c r="M9" s="352">
        <v>4</v>
      </c>
      <c r="N9" s="352">
        <v>5</v>
      </c>
      <c r="O9" s="352">
        <v>6</v>
      </c>
      <c r="P9" s="352">
        <v>7</v>
      </c>
      <c r="Q9" s="352">
        <v>8</v>
      </c>
      <c r="R9" s="352">
        <v>9</v>
      </c>
      <c r="S9" s="352">
        <v>10</v>
      </c>
      <c r="T9" s="452">
        <v>11</v>
      </c>
    </row>
    <row r="10" spans="1:22">
      <c r="A10" s="6" t="s">
        <v>485</v>
      </c>
      <c r="D10" s="16"/>
      <c r="E10" s="16"/>
      <c r="F10" s="894"/>
      <c r="G10" s="855"/>
      <c r="H10" s="576"/>
      <c r="I10" s="901"/>
      <c r="J10" s="459"/>
      <c r="K10" s="459"/>
      <c r="L10" s="459"/>
      <c r="M10" s="459"/>
      <c r="N10" s="459"/>
      <c r="O10" s="459"/>
      <c r="P10" s="459"/>
      <c r="Q10" s="459"/>
      <c r="R10" s="459"/>
      <c r="S10" s="459"/>
      <c r="T10" s="353"/>
    </row>
    <row r="11" spans="1:22">
      <c r="A11" s="890" t="s">
        <v>477</v>
      </c>
      <c r="D11" s="665"/>
      <c r="E11" s="665">
        <v>0</v>
      </c>
      <c r="F11" s="665">
        <v>0</v>
      </c>
      <c r="G11" s="665">
        <v>0</v>
      </c>
      <c r="H11" s="907">
        <v>310000</v>
      </c>
      <c r="I11" s="907">
        <f>SUM(I40:I42)</f>
        <v>-60000</v>
      </c>
      <c r="J11" s="26">
        <f>'Pipeline Co CF'!I62</f>
        <v>250000</v>
      </c>
      <c r="K11" s="26">
        <f>'Pipeline Co CF'!J62</f>
        <v>127436.31335616439</v>
      </c>
      <c r="L11" s="26">
        <f>'Pipeline Co CF'!K62</f>
        <v>67689.096286436354</v>
      </c>
      <c r="M11" s="26">
        <f>'Pipeline Co CF'!L62</f>
        <v>17845.775499294061</v>
      </c>
      <c r="N11" s="26">
        <f>'Pipeline Co CF'!M62</f>
        <v>-22115.463885256308</v>
      </c>
      <c r="O11" s="26">
        <f>'Pipeline Co CF'!N62</f>
        <v>-52217.468605807677</v>
      </c>
      <c r="P11" s="26">
        <f>'Pipeline Co CF'!O62</f>
        <v>-72484.148121318125</v>
      </c>
      <c r="Q11" s="26">
        <f>'Pipeline Co CF'!P62</f>
        <v>-82940.506288678516</v>
      </c>
      <c r="R11" s="26">
        <f>'Pipeline Co CF'!Q62</f>
        <v>-83612.673876477827</v>
      </c>
      <c r="S11" s="26">
        <f>'Pipeline Co CF'!R62</f>
        <v>-74527.941935855852</v>
      </c>
      <c r="T11" s="26">
        <f>'Pipeline Co CF'!S62</f>
        <v>-55714.796049836455</v>
      </c>
    </row>
    <row r="12" spans="1:22">
      <c r="A12" s="891" t="s">
        <v>478</v>
      </c>
      <c r="D12" s="665"/>
      <c r="E12" s="665">
        <v>112000</v>
      </c>
      <c r="F12" s="665">
        <v>140000</v>
      </c>
      <c r="G12" s="665">
        <v>171000</v>
      </c>
      <c r="H12" s="907">
        <v>0</v>
      </c>
      <c r="I12" s="907">
        <v>0</v>
      </c>
      <c r="J12" s="26">
        <f>G12+H12+I12</f>
        <v>171000</v>
      </c>
      <c r="K12" s="26">
        <f>('Pipeline Co IS'!H17/365)*'Pipeline Co BS'!K84</f>
        <v>179750.13698630137</v>
      </c>
      <c r="L12" s="26">
        <f>('Pipeline Co IS'!I17/365)*'Pipeline Co BS'!L84</f>
        <v>181998.18082191781</v>
      </c>
      <c r="M12" s="26">
        <f>('Pipeline Co IS'!J17/365)*'Pipeline Co BS'!M84</f>
        <v>184278.93501369865</v>
      </c>
      <c r="N12" s="26">
        <f>('Pipeline Co IS'!K17/365)*'Pipeline Co BS'!N84</f>
        <v>186592.96783561647</v>
      </c>
      <c r="O12" s="26">
        <f>('Pipeline Co IS'!L17/365)*'Pipeline Co BS'!O84</f>
        <v>188940.85916495341</v>
      </c>
      <c r="P12" s="26">
        <f>('Pipeline Co IS'!M17/365)*'Pipeline Co BS'!P84</f>
        <v>191323.2007496607</v>
      </c>
      <c r="Q12" s="26">
        <f>('Pipeline Co IS'!N17/365)*'Pipeline Co BS'!Q84</f>
        <v>193740.59648240526</v>
      </c>
      <c r="R12" s="26">
        <f>('Pipeline Co IS'!O17/365)*'Pipeline Co BS'!R84</f>
        <v>196193.66268148116</v>
      </c>
      <c r="S12" s="26">
        <f>('Pipeline Co IS'!P17/365)*'Pipeline Co BS'!S84</f>
        <v>198683.0283787667</v>
      </c>
      <c r="T12" s="26">
        <f>('Pipeline Co IS'!Q17/365)*'Pipeline Co BS'!T84</f>
        <v>201209.33561491431</v>
      </c>
    </row>
    <row r="13" spans="1:22">
      <c r="A13" t="s">
        <v>515</v>
      </c>
      <c r="D13" s="665"/>
      <c r="E13" s="665">
        <v>22000</v>
      </c>
      <c r="F13" s="665">
        <v>71000</v>
      </c>
      <c r="G13" s="665">
        <v>58000</v>
      </c>
      <c r="H13" s="907">
        <v>0</v>
      </c>
      <c r="I13" s="907">
        <v>0</v>
      </c>
      <c r="J13" s="26">
        <f t="shared" ref="J13:J20" si="0">G13+H13+I13</f>
        <v>58000</v>
      </c>
      <c r="K13" s="26">
        <f>('Pipeline Co IS'!H11*'Pipeline Co BS'!K85)*(K86/365)</f>
        <v>56316.493150684932</v>
      </c>
      <c r="L13" s="26">
        <f>('Pipeline Co IS'!I11*'Pipeline Co BS'!L85)*(L86/365)</f>
        <v>56879.658082191781</v>
      </c>
      <c r="M13" s="26">
        <f>('Pipeline Co IS'!J11*'Pipeline Co BS'!M85)*(M86/365)</f>
        <v>57448.454663013705</v>
      </c>
      <c r="N13" s="26">
        <f>('Pipeline Co IS'!K11*'Pipeline Co BS'!N85)*(N86/365)</f>
        <v>58022.939209643831</v>
      </c>
      <c r="O13" s="26">
        <f>('Pipeline Co IS'!L11*'Pipeline Co BS'!O85)*(O86/365)</f>
        <v>58603.168601740275</v>
      </c>
      <c r="P13" s="26">
        <f>('Pipeline Co IS'!M11*'Pipeline Co BS'!P85)*(P86/365)</f>
        <v>59189.200287757674</v>
      </c>
      <c r="Q13" s="26">
        <f>('Pipeline Co IS'!N11*'Pipeline Co BS'!Q85)*(Q86/365)</f>
        <v>59781.092290635257</v>
      </c>
      <c r="R13" s="26">
        <f>('Pipeline Co IS'!O11*'Pipeline Co BS'!R85)*(R86/365)</f>
        <v>60378.903213541613</v>
      </c>
      <c r="S13" s="26">
        <f>('Pipeline Co IS'!P11*'Pipeline Co BS'!S85)*(S86/365)</f>
        <v>60982.692245677026</v>
      </c>
      <c r="T13" s="26">
        <f>('Pipeline Co IS'!Q11*'Pipeline Co BS'!T85)*(T86/365)</f>
        <v>61592.519168133789</v>
      </c>
      <c r="U13" s="26"/>
      <c r="V13" s="26"/>
    </row>
    <row r="14" spans="1:22">
      <c r="A14" s="892" t="s">
        <v>479</v>
      </c>
      <c r="D14" s="665"/>
      <c r="E14" s="665">
        <v>34000</v>
      </c>
      <c r="F14" s="665">
        <v>21000</v>
      </c>
      <c r="G14" s="665">
        <v>20000</v>
      </c>
      <c r="H14" s="907">
        <v>0</v>
      </c>
      <c r="I14" s="907">
        <v>0</v>
      </c>
      <c r="J14" s="26">
        <f t="shared" si="0"/>
        <v>20000</v>
      </c>
      <c r="K14" s="26">
        <f>'Pipeline Co IS'!H25*('Pipeline Co BS'!K87/365)</f>
        <v>26537.671232876706</v>
      </c>
      <c r="L14" s="26">
        <f>'Pipeline Co IS'!I25*('Pipeline Co BS'!L87/365)</f>
        <v>27201.113013698621</v>
      </c>
      <c r="M14" s="26">
        <f>'Pipeline Co IS'!J25*('Pipeline Co BS'!M87/365)</f>
        <v>27881.140839041083</v>
      </c>
      <c r="N14" s="26">
        <f>'Pipeline Co IS'!K25*('Pipeline Co BS'!N87/365)</f>
        <v>28578.169360017106</v>
      </c>
      <c r="O14" s="26">
        <f>'Pipeline Co IS'!L25*('Pipeline Co BS'!O87/365)</f>
        <v>29292.623594017532</v>
      </c>
      <c r="P14" s="26">
        <f>'Pipeline Co IS'!M25*('Pipeline Co BS'!P87/365)</f>
        <v>30024.939183867966</v>
      </c>
      <c r="Q14" s="26">
        <f>'Pipeline Co IS'!N25*('Pipeline Co BS'!Q87/365)</f>
        <v>30775.562663464661</v>
      </c>
      <c r="R14" s="26">
        <f>'Pipeline Co IS'!O25*('Pipeline Co BS'!R87/365)</f>
        <v>31544.951730051278</v>
      </c>
      <c r="S14" s="26">
        <f>'Pipeline Co IS'!P25*('Pipeline Co BS'!S87/365)</f>
        <v>32333.575523302559</v>
      </c>
      <c r="T14" s="26">
        <f>'Pipeline Co IS'!Q25*('Pipeline Co BS'!T87/365)</f>
        <v>33141.914911385116</v>
      </c>
    </row>
    <row r="15" spans="1:22">
      <c r="A15" t="s">
        <v>516</v>
      </c>
      <c r="D15" s="665"/>
      <c r="E15" s="665">
        <v>11000</v>
      </c>
      <c r="F15" s="665">
        <v>12000</v>
      </c>
      <c r="G15" s="665">
        <v>8000</v>
      </c>
      <c r="H15" s="907">
        <v>0</v>
      </c>
      <c r="I15" s="907">
        <v>0</v>
      </c>
      <c r="J15" s="26">
        <f t="shared" si="0"/>
        <v>8000</v>
      </c>
      <c r="K15" s="26">
        <f>J15</f>
        <v>8000</v>
      </c>
      <c r="L15" s="26">
        <f t="shared" ref="L15:T15" si="1">K15</f>
        <v>8000</v>
      </c>
      <c r="M15" s="26">
        <f t="shared" si="1"/>
        <v>8000</v>
      </c>
      <c r="N15" s="26">
        <f t="shared" si="1"/>
        <v>8000</v>
      </c>
      <c r="O15" s="26">
        <f t="shared" si="1"/>
        <v>8000</v>
      </c>
      <c r="P15" s="26">
        <f t="shared" si="1"/>
        <v>8000</v>
      </c>
      <c r="Q15" s="26">
        <f t="shared" si="1"/>
        <v>8000</v>
      </c>
      <c r="R15" s="26">
        <f t="shared" si="1"/>
        <v>8000</v>
      </c>
      <c r="S15" s="26">
        <f t="shared" si="1"/>
        <v>8000</v>
      </c>
      <c r="T15" s="26">
        <f t="shared" si="1"/>
        <v>8000</v>
      </c>
    </row>
    <row r="16" spans="1:22">
      <c r="A16" s="892" t="s">
        <v>517</v>
      </c>
      <c r="D16" s="665"/>
      <c r="E16" s="665">
        <v>85000</v>
      </c>
      <c r="F16" s="665">
        <v>162000</v>
      </c>
      <c r="G16" s="665">
        <v>310000</v>
      </c>
      <c r="H16" s="907">
        <v>0</v>
      </c>
      <c r="I16" s="907">
        <v>-310000</v>
      </c>
      <c r="J16" s="26">
        <f t="shared" si="0"/>
        <v>0</v>
      </c>
      <c r="K16" s="26">
        <f>J16</f>
        <v>0</v>
      </c>
      <c r="L16" s="26">
        <f t="shared" ref="L16:T16" si="2">K16</f>
        <v>0</v>
      </c>
      <c r="M16" s="26">
        <f t="shared" si="2"/>
        <v>0</v>
      </c>
      <c r="N16" s="26">
        <f t="shared" si="2"/>
        <v>0</v>
      </c>
      <c r="O16" s="26">
        <f t="shared" si="2"/>
        <v>0</v>
      </c>
      <c r="P16" s="26">
        <f t="shared" si="2"/>
        <v>0</v>
      </c>
      <c r="Q16" s="26">
        <f t="shared" si="2"/>
        <v>0</v>
      </c>
      <c r="R16" s="26">
        <f t="shared" si="2"/>
        <v>0</v>
      </c>
      <c r="S16" s="26">
        <f t="shared" si="2"/>
        <v>0</v>
      </c>
      <c r="T16" s="26">
        <f t="shared" si="2"/>
        <v>0</v>
      </c>
    </row>
    <row r="17" spans="1:20">
      <c r="A17" s="892" t="s">
        <v>480</v>
      </c>
      <c r="D17" s="665"/>
      <c r="E17" s="665">
        <v>8000</v>
      </c>
      <c r="F17" s="665">
        <v>21000</v>
      </c>
      <c r="G17" s="665">
        <v>20000</v>
      </c>
      <c r="H17" s="907">
        <v>0</v>
      </c>
      <c r="I17" s="907">
        <v>0</v>
      </c>
      <c r="J17" s="26">
        <f t="shared" si="0"/>
        <v>20000</v>
      </c>
      <c r="K17" s="26">
        <f>J17</f>
        <v>20000</v>
      </c>
      <c r="L17" s="26">
        <f t="shared" ref="L17:T17" si="3">K17</f>
        <v>20000</v>
      </c>
      <c r="M17" s="26">
        <f t="shared" si="3"/>
        <v>20000</v>
      </c>
      <c r="N17" s="26">
        <f t="shared" si="3"/>
        <v>20000</v>
      </c>
      <c r="O17" s="26">
        <f t="shared" si="3"/>
        <v>20000</v>
      </c>
      <c r="P17" s="26">
        <f t="shared" si="3"/>
        <v>20000</v>
      </c>
      <c r="Q17" s="26">
        <f t="shared" si="3"/>
        <v>20000</v>
      </c>
      <c r="R17" s="26">
        <f t="shared" si="3"/>
        <v>20000</v>
      </c>
      <c r="S17" s="26">
        <f t="shared" si="3"/>
        <v>20000</v>
      </c>
      <c r="T17" s="26">
        <f t="shared" si="3"/>
        <v>20000</v>
      </c>
    </row>
    <row r="18" spans="1:20" outlineLevel="1">
      <c r="A18" s="892" t="s">
        <v>498</v>
      </c>
      <c r="D18" s="665"/>
      <c r="E18" s="665">
        <v>0</v>
      </c>
      <c r="F18" s="665">
        <v>0</v>
      </c>
      <c r="G18" s="665">
        <v>0</v>
      </c>
      <c r="H18" s="907">
        <v>0</v>
      </c>
      <c r="I18" s="907">
        <v>0</v>
      </c>
      <c r="J18" s="26">
        <f t="shared" si="0"/>
        <v>0</v>
      </c>
    </row>
    <row r="19" spans="1:20" outlineLevel="1">
      <c r="A19" s="892" t="s">
        <v>518</v>
      </c>
      <c r="D19" s="665"/>
      <c r="E19" s="665">
        <v>0</v>
      </c>
      <c r="F19" s="665">
        <v>0</v>
      </c>
      <c r="G19" s="665">
        <v>0</v>
      </c>
      <c r="H19" s="907">
        <v>0</v>
      </c>
      <c r="I19" s="907">
        <v>0</v>
      </c>
      <c r="J19" s="26">
        <f t="shared" si="0"/>
        <v>0</v>
      </c>
    </row>
    <row r="20" spans="1:20" outlineLevel="1">
      <c r="A20" s="892" t="s">
        <v>519</v>
      </c>
      <c r="D20" s="665"/>
      <c r="E20" s="665">
        <v>0</v>
      </c>
      <c r="F20" s="665">
        <v>0</v>
      </c>
      <c r="G20" s="665">
        <v>0</v>
      </c>
      <c r="H20" s="907">
        <v>0</v>
      </c>
      <c r="I20" s="907">
        <v>0</v>
      </c>
      <c r="J20" s="26">
        <f t="shared" si="0"/>
        <v>0</v>
      </c>
    </row>
    <row r="21" spans="1:20">
      <c r="A21" s="6" t="s">
        <v>486</v>
      </c>
      <c r="D21" s="897"/>
      <c r="E21" s="861">
        <f>SUM(E11:E20)</f>
        <v>272000</v>
      </c>
      <c r="F21" s="861">
        <f>SUM(F11:F20)</f>
        <v>427000</v>
      </c>
      <c r="G21" s="861">
        <f>SUM(G11:G20)</f>
        <v>587000</v>
      </c>
      <c r="H21" s="902"/>
      <c r="I21" s="903"/>
      <c r="J21" s="909">
        <f>SUM(J11:J20)</f>
        <v>527000</v>
      </c>
      <c r="K21" s="909">
        <f t="shared" ref="K21:T21" si="4">SUM(K11:K20)</f>
        <v>418040.61472602742</v>
      </c>
      <c r="L21" s="909">
        <f t="shared" si="4"/>
        <v>361768.04820424452</v>
      </c>
      <c r="M21" s="909">
        <f t="shared" si="4"/>
        <v>315454.30601504748</v>
      </c>
      <c r="N21" s="909">
        <f t="shared" si="4"/>
        <v>279078.61252002115</v>
      </c>
      <c r="O21" s="909">
        <f t="shared" si="4"/>
        <v>252619.18275490351</v>
      </c>
      <c r="P21" s="909">
        <f t="shared" si="4"/>
        <v>236053.19209996823</v>
      </c>
      <c r="Q21" s="909">
        <f t="shared" si="4"/>
        <v>229356.74514782667</v>
      </c>
      <c r="R21" s="909">
        <f t="shared" si="4"/>
        <v>232504.84374859623</v>
      </c>
      <c r="S21" s="909">
        <f t="shared" si="4"/>
        <v>245471.35421189046</v>
      </c>
      <c r="T21" s="909">
        <f t="shared" si="4"/>
        <v>268228.97364459676</v>
      </c>
    </row>
    <row r="22" spans="1:20">
      <c r="A22" s="6" t="s">
        <v>487</v>
      </c>
      <c r="D22" s="16"/>
      <c r="E22" s="16"/>
      <c r="F22" s="16"/>
      <c r="G22" s="16"/>
      <c r="H22" s="576"/>
      <c r="I22" s="697"/>
    </row>
    <row r="23" spans="1:20">
      <c r="A23" s="892" t="s">
        <v>601</v>
      </c>
      <c r="D23" s="665"/>
      <c r="E23" s="665">
        <v>1492000</v>
      </c>
      <c r="F23" s="665">
        <v>1679000</v>
      </c>
      <c r="G23" s="665">
        <v>1642000</v>
      </c>
      <c r="H23" s="907">
        <v>0</v>
      </c>
      <c r="I23" s="907">
        <v>0</v>
      </c>
      <c r="J23" s="26">
        <f>SUM(G23+H23+I23)</f>
        <v>1642000</v>
      </c>
      <c r="K23" s="26">
        <f>J23-'Pipeline Co CF'!J34</f>
        <v>1702600</v>
      </c>
      <c r="L23" s="26">
        <f>K23-'Pipeline Co CF'!K34</f>
        <v>1763806</v>
      </c>
      <c r="M23" s="26">
        <f>L23-'Pipeline Co CF'!L34</f>
        <v>1825624.06</v>
      </c>
      <c r="N23" s="26">
        <f>M23-'Pipeline Co CF'!M34</f>
        <v>1888060.3006</v>
      </c>
      <c r="O23" s="26">
        <f>N23-'Pipeline Co CF'!N34</f>
        <v>1951120.9036059999</v>
      </c>
      <c r="P23" s="26">
        <f>O23-'Pipeline Co CF'!O34</f>
        <v>2014812.1126420598</v>
      </c>
      <c r="Q23" s="26">
        <f>P23-'Pipeline Co CF'!P34</f>
        <v>2079140.2337684804</v>
      </c>
      <c r="R23" s="26">
        <f>Q23-'Pipeline Co CF'!Q34</f>
        <v>2144111.6361061651</v>
      </c>
      <c r="S23" s="26">
        <f>R23-'Pipeline Co CF'!R34</f>
        <v>2209732.7524672267</v>
      </c>
      <c r="T23" s="26">
        <f>S23-'Pipeline Co CF'!S34</f>
        <v>2276010.079991899</v>
      </c>
    </row>
    <row r="24" spans="1:20">
      <c r="A24" s="895" t="s">
        <v>511</v>
      </c>
      <c r="D24" s="665"/>
      <c r="E24" s="665">
        <v>37000</v>
      </c>
      <c r="F24" s="665">
        <v>99000</v>
      </c>
      <c r="G24" s="665">
        <v>120000</v>
      </c>
      <c r="H24" s="907">
        <v>0</v>
      </c>
      <c r="I24" s="907">
        <v>0</v>
      </c>
      <c r="J24" s="26">
        <f>G24+H24+I24</f>
        <v>120000</v>
      </c>
      <c r="K24" s="26">
        <f>J24+'Pipeline Co IS'!H137+'Pipeline Co IS'!H139</f>
        <v>160365</v>
      </c>
      <c r="L24" s="26">
        <f>K24+'Pipeline Co IS'!I137+'Pipeline Co IS'!I139</f>
        <v>202260.15</v>
      </c>
      <c r="M24" s="26">
        <f>L24+'Pipeline Co IS'!J137+'Pipeline Co IS'!J139</f>
        <v>245700.75149999998</v>
      </c>
      <c r="N24" s="26">
        <f>M24+'Pipeline Co IS'!K137+'Pipeline Co IS'!K139</f>
        <v>290702.25901500002</v>
      </c>
      <c r="O24" s="26">
        <f>N24+'Pipeline Co IS'!L137+'Pipeline Co IS'!L139</f>
        <v>337280.28160515003</v>
      </c>
      <c r="P24" s="26">
        <f>O24+'Pipeline Co IS'!M137+'Pipeline Co IS'!M139</f>
        <v>385450.58442120155</v>
      </c>
      <c r="Q24" s="26">
        <f>P24+'Pipeline Co IS'!N137+'Pipeline Co IS'!N139</f>
        <v>435229.09026541357</v>
      </c>
      <c r="R24" s="26">
        <f>Q24+'Pipeline Co IS'!O137+'Pipeline Co IS'!O139</f>
        <v>486631.88116806769</v>
      </c>
      <c r="S24" s="26">
        <f>R24+'Pipeline Co IS'!P137+'Pipeline Co IS'!P139</f>
        <v>539675.19997974834</v>
      </c>
      <c r="T24" s="26">
        <f>S24+'Pipeline Co IS'!Q137+'Pipeline Co IS'!Q139</f>
        <v>594375.45197954588</v>
      </c>
    </row>
    <row r="25" spans="1:20">
      <c r="A25" s="895" t="s">
        <v>512</v>
      </c>
      <c r="D25" s="665"/>
      <c r="E25" s="665">
        <v>45000</v>
      </c>
      <c r="F25" s="665">
        <v>20000</v>
      </c>
      <c r="G25" s="665">
        <v>32000</v>
      </c>
      <c r="H25" s="907">
        <v>0</v>
      </c>
      <c r="I25" s="907">
        <v>0</v>
      </c>
      <c r="J25" s="26">
        <f>SUM(G25+H25+I25)</f>
        <v>32000</v>
      </c>
      <c r="K25" s="26">
        <f>J25</f>
        <v>32000</v>
      </c>
      <c r="L25" s="26">
        <f t="shared" ref="L25:T25" si="5">K25</f>
        <v>32000</v>
      </c>
      <c r="M25" s="26">
        <f t="shared" si="5"/>
        <v>32000</v>
      </c>
      <c r="N25" s="26">
        <f t="shared" si="5"/>
        <v>32000</v>
      </c>
      <c r="O25" s="26">
        <f t="shared" si="5"/>
        <v>32000</v>
      </c>
      <c r="P25" s="26">
        <f t="shared" si="5"/>
        <v>32000</v>
      </c>
      <c r="Q25" s="26">
        <f t="shared" si="5"/>
        <v>32000</v>
      </c>
      <c r="R25" s="26">
        <f t="shared" si="5"/>
        <v>32000</v>
      </c>
      <c r="S25" s="26">
        <f t="shared" si="5"/>
        <v>32000</v>
      </c>
      <c r="T25" s="26">
        <f t="shared" si="5"/>
        <v>32000</v>
      </c>
    </row>
    <row r="26" spans="1:20">
      <c r="A26" s="895" t="s">
        <v>481</v>
      </c>
      <c r="D26" s="897"/>
      <c r="E26" s="795">
        <f>E23-E24+E25</f>
        <v>1500000</v>
      </c>
      <c r="F26" s="795">
        <f>F23-F24+F25</f>
        <v>1600000</v>
      </c>
      <c r="G26" s="795">
        <f>G23-G24+G25</f>
        <v>1554000</v>
      </c>
      <c r="H26" s="902"/>
      <c r="I26" s="903"/>
      <c r="J26" s="797">
        <f>J23-J24+J25</f>
        <v>1554000</v>
      </c>
      <c r="K26" s="797">
        <f>K23-K24+K25</f>
        <v>1574235</v>
      </c>
      <c r="L26" s="797">
        <f t="shared" ref="L26:T26" si="6">L23-L24+L25</f>
        <v>1593545.85</v>
      </c>
      <c r="M26" s="797">
        <f t="shared" si="6"/>
        <v>1611923.3085</v>
      </c>
      <c r="N26" s="797">
        <f t="shared" si="6"/>
        <v>1629358.041585</v>
      </c>
      <c r="O26" s="797">
        <f t="shared" si="6"/>
        <v>1645840.6220008498</v>
      </c>
      <c r="P26" s="797">
        <f t="shared" si="6"/>
        <v>1661361.5282208582</v>
      </c>
      <c r="Q26" s="797">
        <f t="shared" si="6"/>
        <v>1675911.1435030669</v>
      </c>
      <c r="R26" s="797">
        <f t="shared" si="6"/>
        <v>1689479.7549380974</v>
      </c>
      <c r="S26" s="797">
        <f t="shared" si="6"/>
        <v>1702057.5524874784</v>
      </c>
      <c r="T26" s="797">
        <f t="shared" si="6"/>
        <v>1713634.6280123531</v>
      </c>
    </row>
    <row r="27" spans="1:20">
      <c r="A27" s="891" t="s">
        <v>482</v>
      </c>
      <c r="D27" s="665"/>
      <c r="E27" s="665">
        <v>774000</v>
      </c>
      <c r="F27" s="665">
        <v>753000</v>
      </c>
      <c r="G27" s="665">
        <v>723000</v>
      </c>
      <c r="H27" s="907">
        <v>0</v>
      </c>
      <c r="I27" s="907">
        <v>0</v>
      </c>
      <c r="J27" s="26">
        <f>G27+H27+I27</f>
        <v>723000</v>
      </c>
      <c r="K27" s="26">
        <f>J27-'Pipeline Co IS'!H138</f>
        <v>704925</v>
      </c>
      <c r="L27" s="26">
        <f>K27-'Pipeline Co IS'!I138</f>
        <v>686850</v>
      </c>
      <c r="M27" s="26">
        <f>L27-'Pipeline Co IS'!J138</f>
        <v>668775</v>
      </c>
      <c r="N27" s="26">
        <f>M27-'Pipeline Co IS'!K138</f>
        <v>650700</v>
      </c>
      <c r="O27" s="26">
        <f>N27-'Pipeline Co IS'!L138</f>
        <v>632625</v>
      </c>
      <c r="P27" s="26">
        <f>O27-'Pipeline Co IS'!M138</f>
        <v>614550</v>
      </c>
      <c r="Q27" s="26">
        <f>P27-'Pipeline Co IS'!N138</f>
        <v>596475</v>
      </c>
      <c r="R27" s="26">
        <f>Q27-'Pipeline Co IS'!O138</f>
        <v>578400</v>
      </c>
      <c r="S27" s="26">
        <f>R27-'Pipeline Co IS'!P138</f>
        <v>560325</v>
      </c>
      <c r="T27" s="26">
        <f>S27-'Pipeline Co IS'!Q138</f>
        <v>542250</v>
      </c>
    </row>
    <row r="28" spans="1:20">
      <c r="A28" s="891" t="s">
        <v>513</v>
      </c>
      <c r="D28" s="665"/>
      <c r="E28" s="665">
        <v>11000</v>
      </c>
      <c r="F28" s="665">
        <v>11000</v>
      </c>
      <c r="G28" s="665">
        <v>10000</v>
      </c>
      <c r="H28" s="907">
        <v>0</v>
      </c>
      <c r="I28" s="907">
        <v>0</v>
      </c>
      <c r="J28" s="26">
        <f>G28+H28+I28</f>
        <v>10000</v>
      </c>
      <c r="K28" s="26">
        <f>J28</f>
        <v>10000</v>
      </c>
      <c r="L28" s="26">
        <f t="shared" ref="L28:T28" si="7">K28</f>
        <v>10000</v>
      </c>
      <c r="M28" s="26">
        <f t="shared" si="7"/>
        <v>10000</v>
      </c>
      <c r="N28" s="26">
        <f t="shared" si="7"/>
        <v>10000</v>
      </c>
      <c r="O28" s="26">
        <f t="shared" si="7"/>
        <v>10000</v>
      </c>
      <c r="P28" s="26">
        <f t="shared" si="7"/>
        <v>10000</v>
      </c>
      <c r="Q28" s="26">
        <f t="shared" si="7"/>
        <v>10000</v>
      </c>
      <c r="R28" s="26">
        <f t="shared" si="7"/>
        <v>10000</v>
      </c>
      <c r="S28" s="26">
        <f t="shared" si="7"/>
        <v>10000</v>
      </c>
      <c r="T28" s="26">
        <f t="shared" si="7"/>
        <v>10000</v>
      </c>
    </row>
    <row r="29" spans="1:20">
      <c r="A29" s="891" t="s">
        <v>514</v>
      </c>
      <c r="D29" s="665"/>
      <c r="E29" s="665">
        <v>1000</v>
      </c>
      <c r="F29" s="665">
        <v>8000</v>
      </c>
      <c r="G29" s="665">
        <v>73000</v>
      </c>
      <c r="H29" s="907">
        <v>0</v>
      </c>
      <c r="I29" s="907">
        <v>0</v>
      </c>
      <c r="J29" s="26">
        <f>G29+H29+I29</f>
        <v>73000</v>
      </c>
      <c r="K29" s="26">
        <f>J29</f>
        <v>73000</v>
      </c>
      <c r="L29" s="26">
        <f t="shared" ref="L29:T29" si="8">K29</f>
        <v>73000</v>
      </c>
      <c r="M29" s="26">
        <f t="shared" si="8"/>
        <v>73000</v>
      </c>
      <c r="N29" s="26">
        <f t="shared" si="8"/>
        <v>73000</v>
      </c>
      <c r="O29" s="26">
        <f t="shared" si="8"/>
        <v>73000</v>
      </c>
      <c r="P29" s="26">
        <f t="shared" si="8"/>
        <v>73000</v>
      </c>
      <c r="Q29" s="26">
        <f t="shared" si="8"/>
        <v>73000</v>
      </c>
      <c r="R29" s="26">
        <f t="shared" si="8"/>
        <v>73000</v>
      </c>
      <c r="S29" s="26">
        <f t="shared" si="8"/>
        <v>73000</v>
      </c>
      <c r="T29" s="26">
        <f t="shared" si="8"/>
        <v>73000</v>
      </c>
    </row>
    <row r="30" spans="1:20">
      <c r="A30" s="891" t="s">
        <v>522</v>
      </c>
      <c r="D30" s="665"/>
      <c r="E30" s="665">
        <v>2000</v>
      </c>
      <c r="F30" s="665">
        <v>7000</v>
      </c>
      <c r="G30" s="665">
        <v>63000</v>
      </c>
      <c r="H30" s="907">
        <v>0</v>
      </c>
      <c r="I30" s="907">
        <v>0</v>
      </c>
      <c r="J30" s="26">
        <f>G30+H30+I30</f>
        <v>63000</v>
      </c>
      <c r="K30" s="26">
        <f>J30</f>
        <v>63000</v>
      </c>
      <c r="L30" s="26">
        <f t="shared" ref="L30:T30" si="9">K30</f>
        <v>63000</v>
      </c>
      <c r="M30" s="26">
        <f t="shared" si="9"/>
        <v>63000</v>
      </c>
      <c r="N30" s="26">
        <f t="shared" si="9"/>
        <v>63000</v>
      </c>
      <c r="O30" s="26">
        <f t="shared" si="9"/>
        <v>63000</v>
      </c>
      <c r="P30" s="26">
        <f t="shared" si="9"/>
        <v>63000</v>
      </c>
      <c r="Q30" s="26">
        <f t="shared" si="9"/>
        <v>63000</v>
      </c>
      <c r="R30" s="26">
        <f t="shared" si="9"/>
        <v>63000</v>
      </c>
      <c r="S30" s="26">
        <f t="shared" si="9"/>
        <v>63000</v>
      </c>
      <c r="T30" s="26">
        <f t="shared" si="9"/>
        <v>63000</v>
      </c>
    </row>
    <row r="31" spans="1:20" hidden="1" outlineLevel="1">
      <c r="A31" s="891" t="s">
        <v>520</v>
      </c>
      <c r="D31" s="665"/>
      <c r="E31" s="665">
        <v>0</v>
      </c>
      <c r="F31" s="665">
        <v>0</v>
      </c>
      <c r="G31" s="665">
        <v>0</v>
      </c>
      <c r="H31" s="907"/>
      <c r="I31" s="907"/>
    </row>
    <row r="32" spans="1:20" hidden="1" outlineLevel="1">
      <c r="A32" s="891" t="s">
        <v>521</v>
      </c>
      <c r="D32" s="665"/>
      <c r="E32" s="665">
        <v>0</v>
      </c>
      <c r="F32" s="665">
        <v>0</v>
      </c>
      <c r="G32" s="665">
        <v>0</v>
      </c>
      <c r="H32" s="907"/>
      <c r="I32" s="907"/>
    </row>
    <row r="33" spans="1:20" collapsed="1">
      <c r="A33" s="662" t="s">
        <v>488</v>
      </c>
      <c r="D33" s="896"/>
      <c r="E33" s="861">
        <f>E26+SUM(E27:E30)</f>
        <v>2288000</v>
      </c>
      <c r="F33" s="861">
        <f>F26+SUM(F27:F30)</f>
        <v>2379000</v>
      </c>
      <c r="G33" s="861">
        <f>G26+SUM(G27:G30)</f>
        <v>2423000</v>
      </c>
      <c r="H33" s="902"/>
      <c r="I33" s="903"/>
      <c r="J33" s="877">
        <f>J26+SUM(J27:J32)</f>
        <v>2423000</v>
      </c>
      <c r="K33" s="877">
        <f t="shared" ref="K33:T33" si="10">K26+SUM(K27:K32)</f>
        <v>2425160</v>
      </c>
      <c r="L33" s="877">
        <f t="shared" si="10"/>
        <v>2426395.85</v>
      </c>
      <c r="M33" s="877">
        <f t="shared" si="10"/>
        <v>2426698.3085000003</v>
      </c>
      <c r="N33" s="877">
        <f t="shared" si="10"/>
        <v>2426058.0415850002</v>
      </c>
      <c r="O33" s="877">
        <f t="shared" si="10"/>
        <v>2424465.6220008498</v>
      </c>
      <c r="P33" s="877">
        <f t="shared" si="10"/>
        <v>2421911.5282208584</v>
      </c>
      <c r="Q33" s="877">
        <f t="shared" si="10"/>
        <v>2418386.1435030671</v>
      </c>
      <c r="R33" s="877">
        <f t="shared" si="10"/>
        <v>2413879.7549380977</v>
      </c>
      <c r="S33" s="877">
        <f t="shared" si="10"/>
        <v>2408382.5524874786</v>
      </c>
      <c r="T33" s="877">
        <f t="shared" si="10"/>
        <v>2401884.6280123531</v>
      </c>
    </row>
    <row r="34" spans="1:20">
      <c r="A34" s="891"/>
      <c r="D34" s="16"/>
      <c r="E34" s="16"/>
      <c r="F34" s="16"/>
      <c r="G34" s="16"/>
      <c r="H34" s="576"/>
      <c r="I34" s="697"/>
    </row>
    <row r="35" spans="1:20" ht="13.5" thickBot="1">
      <c r="A35" s="893" t="s">
        <v>489</v>
      </c>
      <c r="D35" s="860"/>
      <c r="E35" s="857">
        <f>E21+E33</f>
        <v>2560000</v>
      </c>
      <c r="F35" s="857">
        <f>F21+F33</f>
        <v>2806000</v>
      </c>
      <c r="G35" s="906">
        <f>G21+G33</f>
        <v>3010000</v>
      </c>
      <c r="H35" s="904"/>
      <c r="I35" s="905"/>
      <c r="J35" s="942">
        <f>J21+J33</f>
        <v>2950000</v>
      </c>
      <c r="K35" s="942">
        <f t="shared" ref="K35:T35" si="11">K21+K33</f>
        <v>2843200.6147260275</v>
      </c>
      <c r="L35" s="942">
        <f t="shared" si="11"/>
        <v>2788163.8982042447</v>
      </c>
      <c r="M35" s="942">
        <f t="shared" si="11"/>
        <v>2742152.6145150475</v>
      </c>
      <c r="N35" s="942">
        <f t="shared" si="11"/>
        <v>2705136.6541050216</v>
      </c>
      <c r="O35" s="942">
        <f t="shared" si="11"/>
        <v>2677084.8047557534</v>
      </c>
      <c r="P35" s="942">
        <f t="shared" si="11"/>
        <v>2657964.7203208269</v>
      </c>
      <c r="Q35" s="942">
        <f t="shared" si="11"/>
        <v>2647742.8886508937</v>
      </c>
      <c r="R35" s="942">
        <f t="shared" si="11"/>
        <v>2646384.5986866937</v>
      </c>
      <c r="S35" s="942">
        <f t="shared" si="11"/>
        <v>2653853.9066993692</v>
      </c>
      <c r="T35" s="942">
        <f t="shared" si="11"/>
        <v>2670113.6016569501</v>
      </c>
    </row>
    <row r="36" spans="1:20" ht="13.5" thickTop="1">
      <c r="A36" s="893"/>
      <c r="D36" s="16"/>
      <c r="E36" s="16"/>
      <c r="F36" s="16"/>
      <c r="G36" s="16"/>
      <c r="H36" s="576"/>
      <c r="I36" s="697"/>
    </row>
    <row r="37" spans="1:20">
      <c r="A37" s="893" t="s">
        <v>490</v>
      </c>
      <c r="D37" s="16"/>
      <c r="E37" s="16"/>
      <c r="F37" s="16"/>
      <c r="G37" s="16"/>
      <c r="H37" s="576"/>
      <c r="I37" s="697"/>
    </row>
    <row r="38" spans="1:20">
      <c r="A38" s="890" t="s">
        <v>483</v>
      </c>
      <c r="D38" s="665"/>
      <c r="E38" s="665">
        <v>28000</v>
      </c>
      <c r="F38" s="665">
        <v>32000</v>
      </c>
      <c r="G38" s="665">
        <v>42000</v>
      </c>
      <c r="H38" s="907">
        <v>0</v>
      </c>
      <c r="I38" s="907">
        <v>0</v>
      </c>
      <c r="J38" s="26">
        <f t="shared" ref="J38:J43" si="12">G38+H38+I38</f>
        <v>42000</v>
      </c>
      <c r="K38" s="26">
        <f>'Pipeline Co IS'!H25*('Pipeline Co BS'!K89/365)</f>
        <v>35383.561643835608</v>
      </c>
      <c r="L38" s="26">
        <f>'Pipeline Co IS'!I25*('Pipeline Co BS'!L89/365)</f>
        <v>36268.150684931497</v>
      </c>
      <c r="M38" s="26">
        <f>'Pipeline Co IS'!J25*('Pipeline Co BS'!M89/365)</f>
        <v>37174.85445205478</v>
      </c>
      <c r="N38" s="26">
        <f>'Pipeline Co IS'!K25*('Pipeline Co BS'!N89/365)</f>
        <v>38104.225813356141</v>
      </c>
      <c r="O38" s="26">
        <f>'Pipeline Co IS'!L25*('Pipeline Co BS'!O89/365)</f>
        <v>39056.831458690038</v>
      </c>
      <c r="P38" s="26">
        <f>'Pipeline Co IS'!M25*('Pipeline Co BS'!P89/365)</f>
        <v>40033.252245157288</v>
      </c>
      <c r="Q38" s="26">
        <f>'Pipeline Co IS'!N25*('Pipeline Co BS'!Q89/365)</f>
        <v>41034.083551286218</v>
      </c>
      <c r="R38" s="26">
        <f>'Pipeline Co IS'!O25*('Pipeline Co BS'!R89/365)</f>
        <v>42059.935640068368</v>
      </c>
      <c r="S38" s="26">
        <f>'Pipeline Co IS'!P25*('Pipeline Co BS'!S89/365)</f>
        <v>43111.434031070079</v>
      </c>
      <c r="T38" s="26">
        <f>'Pipeline Co IS'!Q25*('Pipeline Co BS'!T89/365)</f>
        <v>44189.219881846824</v>
      </c>
    </row>
    <row r="39" spans="1:20">
      <c r="A39" s="892" t="s">
        <v>529</v>
      </c>
      <c r="D39" s="665"/>
      <c r="E39" s="665">
        <v>30000</v>
      </c>
      <c r="F39" s="665">
        <v>56000</v>
      </c>
      <c r="G39" s="665">
        <v>89000</v>
      </c>
      <c r="H39" s="907">
        <v>0</v>
      </c>
      <c r="I39" s="907">
        <v>0</v>
      </c>
      <c r="J39" s="26">
        <f t="shared" si="12"/>
        <v>89000</v>
      </c>
      <c r="K39" s="26">
        <f>('Pipeline Co IS'!H11*'Pipeline Co BS'!K90)*('Pipeline Co BS'!K91/365)</f>
        <v>77435.178082191793</v>
      </c>
      <c r="L39" s="26">
        <f>('Pipeline Co IS'!I11*'Pipeline Co BS'!L90)*('Pipeline Co BS'!L91/365)</f>
        <v>78209.529863013711</v>
      </c>
      <c r="M39" s="26">
        <f>('Pipeline Co IS'!J11*'Pipeline Co BS'!M90)*('Pipeline Co BS'!M91/365)</f>
        <v>78991.625161643839</v>
      </c>
      <c r="N39" s="26">
        <f>('Pipeline Co IS'!K11*'Pipeline Co BS'!N90)*('Pipeline Co BS'!N91/365)</f>
        <v>79781.541413260275</v>
      </c>
      <c r="O39" s="26">
        <f>('Pipeline Co IS'!L11*'Pipeline Co BS'!O90)*('Pipeline Co BS'!O91/365)</f>
        <v>80579.356827392883</v>
      </c>
      <c r="P39" s="26">
        <f>('Pipeline Co IS'!M11*'Pipeline Co BS'!P90)*('Pipeline Co BS'!P91/365)</f>
        <v>81385.150395666802</v>
      </c>
      <c r="Q39" s="26">
        <f>('Pipeline Co IS'!N11*'Pipeline Co BS'!Q90)*('Pipeline Co BS'!Q91/365)</f>
        <v>82199.001899623472</v>
      </c>
      <c r="R39" s="26">
        <f>('Pipeline Co IS'!O11*'Pipeline Co BS'!R90)*('Pipeline Co BS'!R91/365)</f>
        <v>83020.991918619722</v>
      </c>
      <c r="S39" s="26">
        <f>('Pipeline Co IS'!P11*'Pipeline Co BS'!S90)*('Pipeline Co BS'!S91/365)</f>
        <v>83851.201837805915</v>
      </c>
      <c r="T39" s="26">
        <f>('Pipeline Co IS'!Q11*'Pipeline Co BS'!T90)*('Pipeline Co BS'!T91/365)</f>
        <v>84689.713856183967</v>
      </c>
    </row>
    <row r="40" spans="1:20">
      <c r="A40" s="892" t="s">
        <v>530</v>
      </c>
      <c r="D40" s="665"/>
      <c r="E40" s="665">
        <v>8000</v>
      </c>
      <c r="F40" s="665">
        <v>3000</v>
      </c>
      <c r="G40" s="665">
        <v>6000</v>
      </c>
      <c r="H40" s="907">
        <v>0</v>
      </c>
      <c r="I40" s="907">
        <v>-6000</v>
      </c>
      <c r="J40" s="26">
        <f t="shared" si="12"/>
        <v>0</v>
      </c>
      <c r="K40" s="26">
        <f>J40</f>
        <v>0</v>
      </c>
      <c r="L40" s="26">
        <f t="shared" ref="L40:T40" si="13">K40</f>
        <v>0</v>
      </c>
      <c r="M40" s="26">
        <f t="shared" si="13"/>
        <v>0</v>
      </c>
      <c r="N40" s="26">
        <f t="shared" si="13"/>
        <v>0</v>
      </c>
      <c r="O40" s="26">
        <f t="shared" si="13"/>
        <v>0</v>
      </c>
      <c r="P40" s="26">
        <f t="shared" si="13"/>
        <v>0</v>
      </c>
      <c r="Q40" s="26">
        <f t="shared" si="13"/>
        <v>0</v>
      </c>
      <c r="R40" s="26">
        <f t="shared" si="13"/>
        <v>0</v>
      </c>
      <c r="S40" s="26">
        <f t="shared" si="13"/>
        <v>0</v>
      </c>
      <c r="T40" s="26">
        <f t="shared" si="13"/>
        <v>0</v>
      </c>
    </row>
    <row r="41" spans="1:20">
      <c r="A41" s="892" t="s">
        <v>531</v>
      </c>
      <c r="D41" s="665"/>
      <c r="E41" s="665">
        <v>29000</v>
      </c>
      <c r="F41" s="665">
        <v>31000</v>
      </c>
      <c r="G41" s="665">
        <v>31000</v>
      </c>
      <c r="H41" s="907">
        <v>0</v>
      </c>
      <c r="I41" s="907">
        <v>-31000</v>
      </c>
      <c r="J41" s="26">
        <f t="shared" si="12"/>
        <v>0</v>
      </c>
      <c r="K41" s="26">
        <f>J41</f>
        <v>0</v>
      </c>
      <c r="L41" s="26">
        <f t="shared" ref="L41:T41" si="14">K41</f>
        <v>0</v>
      </c>
      <c r="M41" s="26">
        <f t="shared" si="14"/>
        <v>0</v>
      </c>
      <c r="N41" s="26">
        <f t="shared" si="14"/>
        <v>0</v>
      </c>
      <c r="O41" s="26">
        <f t="shared" si="14"/>
        <v>0</v>
      </c>
      <c r="P41" s="26">
        <f t="shared" si="14"/>
        <v>0</v>
      </c>
      <c r="Q41" s="26">
        <f t="shared" si="14"/>
        <v>0</v>
      </c>
      <c r="R41" s="26">
        <f t="shared" si="14"/>
        <v>0</v>
      </c>
      <c r="S41" s="26">
        <f t="shared" si="14"/>
        <v>0</v>
      </c>
      <c r="T41" s="26">
        <f t="shared" si="14"/>
        <v>0</v>
      </c>
    </row>
    <row r="42" spans="1:20">
      <c r="A42" s="892" t="s">
        <v>532</v>
      </c>
      <c r="D42" s="665"/>
      <c r="E42" s="665">
        <v>30000</v>
      </c>
      <c r="F42" s="665">
        <v>45000</v>
      </c>
      <c r="G42" s="665">
        <v>23000</v>
      </c>
      <c r="H42" s="907">
        <v>0</v>
      </c>
      <c r="I42" s="907">
        <v>-23000</v>
      </c>
      <c r="J42" s="26">
        <f t="shared" si="12"/>
        <v>0</v>
      </c>
      <c r="K42" s="26">
        <f>J42</f>
        <v>0</v>
      </c>
      <c r="L42" s="26">
        <f t="shared" ref="L42:T42" si="15">K42</f>
        <v>0</v>
      </c>
      <c r="M42" s="26">
        <f t="shared" si="15"/>
        <v>0</v>
      </c>
      <c r="N42" s="26">
        <f t="shared" si="15"/>
        <v>0</v>
      </c>
      <c r="O42" s="26">
        <f t="shared" si="15"/>
        <v>0</v>
      </c>
      <c r="P42" s="26">
        <f t="shared" si="15"/>
        <v>0</v>
      </c>
      <c r="Q42" s="26">
        <f t="shared" si="15"/>
        <v>0</v>
      </c>
      <c r="R42" s="26">
        <f t="shared" si="15"/>
        <v>0</v>
      </c>
      <c r="S42" s="26">
        <f t="shared" si="15"/>
        <v>0</v>
      </c>
      <c r="T42" s="26">
        <f t="shared" si="15"/>
        <v>0</v>
      </c>
    </row>
    <row r="43" spans="1:20">
      <c r="A43" s="892" t="s">
        <v>484</v>
      </c>
      <c r="D43" s="665"/>
      <c r="E43" s="665">
        <v>79000</v>
      </c>
      <c r="F43" s="665">
        <v>104000</v>
      </c>
      <c r="G43" s="665">
        <v>91000</v>
      </c>
      <c r="H43" s="907">
        <v>0</v>
      </c>
      <c r="I43" s="907">
        <v>0</v>
      </c>
      <c r="J43" s="26">
        <f t="shared" si="12"/>
        <v>91000</v>
      </c>
      <c r="K43" s="26">
        <f>J43</f>
        <v>91000</v>
      </c>
      <c r="L43" s="26">
        <f t="shared" ref="L43:T43" si="16">K43</f>
        <v>91000</v>
      </c>
      <c r="M43" s="26">
        <f t="shared" si="16"/>
        <v>91000</v>
      </c>
      <c r="N43" s="26">
        <f t="shared" si="16"/>
        <v>91000</v>
      </c>
      <c r="O43" s="26">
        <f t="shared" si="16"/>
        <v>91000</v>
      </c>
      <c r="P43" s="26">
        <f t="shared" si="16"/>
        <v>91000</v>
      </c>
      <c r="Q43" s="26">
        <f t="shared" si="16"/>
        <v>91000</v>
      </c>
      <c r="R43" s="26">
        <f t="shared" si="16"/>
        <v>91000</v>
      </c>
      <c r="S43" s="26">
        <f t="shared" si="16"/>
        <v>91000</v>
      </c>
      <c r="T43" s="26">
        <f t="shared" si="16"/>
        <v>91000</v>
      </c>
    </row>
    <row r="44" spans="1:20" hidden="1" outlineLevel="1">
      <c r="A44" s="892" t="s">
        <v>499</v>
      </c>
      <c r="D44" s="665"/>
      <c r="E44" s="665">
        <v>0</v>
      </c>
      <c r="F44" s="665">
        <v>0</v>
      </c>
      <c r="G44" s="16"/>
      <c r="H44" s="907"/>
      <c r="I44" s="907"/>
    </row>
    <row r="45" spans="1:20" hidden="1" outlineLevel="1">
      <c r="A45" s="892" t="s">
        <v>500</v>
      </c>
      <c r="D45" s="665"/>
      <c r="E45" s="665">
        <v>0</v>
      </c>
      <c r="F45" s="665">
        <v>0</v>
      </c>
      <c r="G45" s="16"/>
      <c r="H45" s="907"/>
      <c r="I45" s="907"/>
    </row>
    <row r="46" spans="1:20" hidden="1" outlineLevel="1">
      <c r="A46" s="892" t="s">
        <v>523</v>
      </c>
      <c r="D46" s="665"/>
      <c r="E46" s="665">
        <v>0</v>
      </c>
      <c r="F46" s="665">
        <v>0</v>
      </c>
      <c r="G46" s="16"/>
      <c r="H46" s="907"/>
      <c r="I46" s="907"/>
    </row>
    <row r="47" spans="1:20" hidden="1" outlineLevel="1">
      <c r="A47" s="892" t="s">
        <v>524</v>
      </c>
      <c r="D47" s="665"/>
      <c r="E47" s="665">
        <v>0</v>
      </c>
      <c r="F47" s="665">
        <v>0</v>
      </c>
      <c r="G47" s="16"/>
      <c r="H47" s="907"/>
      <c r="I47" s="907"/>
    </row>
    <row r="48" spans="1:20" collapsed="1">
      <c r="A48" s="389" t="s">
        <v>491</v>
      </c>
      <c r="D48" s="861"/>
      <c r="E48" s="861">
        <f>SUM(E38:E47)</f>
        <v>204000</v>
      </c>
      <c r="F48" s="861">
        <f>SUM(F38:F47)</f>
        <v>271000</v>
      </c>
      <c r="G48" s="861">
        <f>SUM(G38:G47)</f>
        <v>282000</v>
      </c>
      <c r="H48" s="902"/>
      <c r="I48" s="903"/>
      <c r="J48" s="877">
        <f>SUM(J38:J47)</f>
        <v>222000</v>
      </c>
      <c r="K48" s="877">
        <f t="shared" ref="K48:T48" si="17">SUM(K38:K47)</f>
        <v>203818.73972602742</v>
      </c>
      <c r="L48" s="877">
        <f t="shared" si="17"/>
        <v>205477.6805479452</v>
      </c>
      <c r="M48" s="877">
        <f t="shared" si="17"/>
        <v>207166.47961369861</v>
      </c>
      <c r="N48" s="877">
        <f t="shared" si="17"/>
        <v>208885.76722661642</v>
      </c>
      <c r="O48" s="877">
        <f t="shared" si="17"/>
        <v>210636.18828608294</v>
      </c>
      <c r="P48" s="877">
        <f t="shared" si="17"/>
        <v>212418.40264082409</v>
      </c>
      <c r="Q48" s="877">
        <f t="shared" si="17"/>
        <v>214233.08545090968</v>
      </c>
      <c r="R48" s="877">
        <f t="shared" si="17"/>
        <v>216080.9275586881</v>
      </c>
      <c r="S48" s="877">
        <f t="shared" si="17"/>
        <v>217962.63586887601</v>
      </c>
      <c r="T48" s="877">
        <f t="shared" si="17"/>
        <v>219878.93373803078</v>
      </c>
    </row>
    <row r="49" spans="1:20">
      <c r="A49" s="389" t="s">
        <v>492</v>
      </c>
      <c r="D49" s="16"/>
      <c r="E49" s="16"/>
      <c r="F49" s="16"/>
      <c r="G49" s="16"/>
      <c r="H49" s="576"/>
      <c r="I49" s="697"/>
    </row>
    <row r="50" spans="1:20">
      <c r="A50" s="895" t="s">
        <v>533</v>
      </c>
      <c r="D50" s="16"/>
      <c r="E50" s="876">
        <f>E101</f>
        <v>1094000</v>
      </c>
      <c r="F50" s="876">
        <f>F101</f>
        <v>1193000</v>
      </c>
      <c r="G50" s="876">
        <f>G101</f>
        <v>1192000</v>
      </c>
      <c r="H50" s="907">
        <v>0</v>
      </c>
      <c r="I50" s="907">
        <v>0</v>
      </c>
      <c r="J50" s="26">
        <f>J101</f>
        <v>1192000</v>
      </c>
      <c r="K50" s="26">
        <f>K101</f>
        <v>1072800</v>
      </c>
      <c r="L50" s="26">
        <f t="shared" ref="L50:T50" si="18">L101</f>
        <v>953600</v>
      </c>
      <c r="M50" s="26">
        <f t="shared" si="18"/>
        <v>834400</v>
      </c>
      <c r="N50" s="26">
        <f t="shared" si="18"/>
        <v>715200</v>
      </c>
      <c r="O50" s="26">
        <f t="shared" si="18"/>
        <v>596000</v>
      </c>
      <c r="P50" s="26">
        <f t="shared" si="18"/>
        <v>476800</v>
      </c>
      <c r="Q50" s="26">
        <f t="shared" si="18"/>
        <v>357600</v>
      </c>
      <c r="R50" s="26">
        <f t="shared" si="18"/>
        <v>238400</v>
      </c>
      <c r="S50" s="26">
        <f t="shared" si="18"/>
        <v>119200</v>
      </c>
      <c r="T50" s="26">
        <f t="shared" si="18"/>
        <v>0</v>
      </c>
    </row>
    <row r="51" spans="1:20">
      <c r="A51" s="393" t="s">
        <v>516</v>
      </c>
      <c r="D51" s="665"/>
      <c r="E51" s="665">
        <v>45000</v>
      </c>
      <c r="F51" s="665">
        <v>134000</v>
      </c>
      <c r="G51" s="665">
        <v>166000</v>
      </c>
      <c r="H51" s="907">
        <v>0</v>
      </c>
      <c r="I51" s="907">
        <v>0</v>
      </c>
      <c r="J51" s="26">
        <f>G51+H51+I51</f>
        <v>166000</v>
      </c>
      <c r="K51" s="26">
        <f>J51+'Pipeline Co CF'!J13</f>
        <v>136587.92499999999</v>
      </c>
      <c r="L51" s="26">
        <f>K51+'Pipeline Co CF'!K13</f>
        <v>133514.98965629938</v>
      </c>
      <c r="M51" s="26">
        <f>L51+'Pipeline Co CF'!L13</f>
        <v>133883.9543125988</v>
      </c>
      <c r="N51" s="26">
        <f>M51+'Pipeline Co CF'!M13</f>
        <v>137694.81896889821</v>
      </c>
      <c r="O51" s="26">
        <f>N51+'Pipeline Co CF'!N13</f>
        <v>144947.58362519761</v>
      </c>
      <c r="P51" s="26">
        <f>O51+'Pipeline Co CF'!O13</f>
        <v>155642.24828149704</v>
      </c>
      <c r="Q51" s="26">
        <f>P51+'Pipeline Co CF'!P13</f>
        <v>169778.81293779647</v>
      </c>
      <c r="R51" s="26">
        <f>Q51+'Pipeline Co CF'!Q13</f>
        <v>187357.27759409588</v>
      </c>
      <c r="S51" s="26">
        <f>R51+'Pipeline Co CF'!R13</f>
        <v>208377.64225039532</v>
      </c>
      <c r="T51" s="26">
        <f>S51+'Pipeline Co CF'!S13</f>
        <v>232839.90690669473</v>
      </c>
    </row>
    <row r="52" spans="1:20">
      <c r="A52" s="892" t="s">
        <v>85</v>
      </c>
      <c r="D52" s="665"/>
      <c r="E52" s="665">
        <v>89000</v>
      </c>
      <c r="F52" s="665">
        <v>86000</v>
      </c>
      <c r="G52" s="665">
        <v>89000</v>
      </c>
      <c r="H52" s="907">
        <v>0</v>
      </c>
      <c r="I52" s="907">
        <v>0</v>
      </c>
      <c r="J52" s="26">
        <f>G52+H52+I52</f>
        <v>89000</v>
      </c>
      <c r="K52" s="26">
        <f>J52</f>
        <v>89000</v>
      </c>
      <c r="L52" s="26">
        <f t="shared" ref="L52:T52" si="19">K52</f>
        <v>89000</v>
      </c>
      <c r="M52" s="26">
        <f t="shared" si="19"/>
        <v>89000</v>
      </c>
      <c r="N52" s="26">
        <f t="shared" si="19"/>
        <v>89000</v>
      </c>
      <c r="O52" s="26">
        <f t="shared" si="19"/>
        <v>89000</v>
      </c>
      <c r="P52" s="26">
        <f t="shared" si="19"/>
        <v>89000</v>
      </c>
      <c r="Q52" s="26">
        <f t="shared" si="19"/>
        <v>89000</v>
      </c>
      <c r="R52" s="26">
        <f t="shared" si="19"/>
        <v>89000</v>
      </c>
      <c r="S52" s="26">
        <f t="shared" si="19"/>
        <v>89000</v>
      </c>
      <c r="T52" s="26">
        <f t="shared" si="19"/>
        <v>89000</v>
      </c>
    </row>
    <row r="53" spans="1:20" hidden="1" outlineLevel="1">
      <c r="A53" s="892" t="s">
        <v>493</v>
      </c>
      <c r="D53" s="665"/>
      <c r="E53" s="665">
        <v>0</v>
      </c>
      <c r="F53" s="665">
        <v>0</v>
      </c>
      <c r="G53" s="16"/>
      <c r="H53" s="907"/>
      <c r="I53" s="907"/>
    </row>
    <row r="54" spans="1:20" hidden="1" outlineLevel="1">
      <c r="A54" s="892" t="s">
        <v>494</v>
      </c>
      <c r="D54" s="665"/>
      <c r="E54" s="665">
        <v>0</v>
      </c>
      <c r="F54" s="665">
        <v>0</v>
      </c>
      <c r="G54" s="16"/>
      <c r="H54" s="907"/>
      <c r="I54" s="907"/>
    </row>
    <row r="55" spans="1:20" hidden="1" outlineLevel="1">
      <c r="A55" s="398" t="s">
        <v>495</v>
      </c>
      <c r="D55" s="665"/>
      <c r="E55" s="665">
        <v>0</v>
      </c>
      <c r="F55" s="665">
        <v>0</v>
      </c>
      <c r="G55" s="16"/>
      <c r="H55" s="907"/>
      <c r="I55" s="907"/>
    </row>
    <row r="56" spans="1:20" hidden="1" outlineLevel="1">
      <c r="A56" s="398" t="s">
        <v>496</v>
      </c>
      <c r="D56" s="665"/>
      <c r="E56" s="665">
        <v>0</v>
      </c>
      <c r="F56" s="665">
        <v>0</v>
      </c>
      <c r="G56" s="16"/>
      <c r="H56" s="907"/>
      <c r="I56" s="907"/>
    </row>
    <row r="57" spans="1:20" hidden="1" outlineLevel="1">
      <c r="A57" s="398" t="s">
        <v>497</v>
      </c>
      <c r="D57" s="665"/>
      <c r="E57" s="665">
        <v>0</v>
      </c>
      <c r="F57" s="665">
        <v>0</v>
      </c>
      <c r="G57" s="16"/>
      <c r="H57" s="907"/>
      <c r="I57" s="907"/>
    </row>
    <row r="58" spans="1:20" hidden="1" outlineLevel="1">
      <c r="A58" s="398" t="s">
        <v>525</v>
      </c>
      <c r="D58" s="665"/>
      <c r="E58" s="665">
        <v>0</v>
      </c>
      <c r="F58" s="665">
        <v>0</v>
      </c>
      <c r="G58" s="16"/>
      <c r="H58" s="907"/>
      <c r="I58" s="907"/>
    </row>
    <row r="59" spans="1:20" hidden="1" outlineLevel="1">
      <c r="A59" s="398" t="s">
        <v>526</v>
      </c>
      <c r="D59" s="665"/>
      <c r="E59" s="665">
        <v>0</v>
      </c>
      <c r="F59" s="665">
        <v>0</v>
      </c>
      <c r="G59" s="16"/>
      <c r="H59" s="907"/>
      <c r="I59" s="907"/>
    </row>
    <row r="60" spans="1:20" collapsed="1">
      <c r="A60" s="893" t="s">
        <v>501</v>
      </c>
      <c r="D60" s="896"/>
      <c r="E60" s="861">
        <f>SUM(E50:E59)</f>
        <v>1228000</v>
      </c>
      <c r="F60" s="861">
        <f>SUM(F50:F59)</f>
        <v>1413000</v>
      </c>
      <c r="G60" s="861">
        <f>SUM(G50:G59)</f>
        <v>1447000</v>
      </c>
      <c r="H60" s="902"/>
      <c r="I60" s="903"/>
      <c r="J60" s="877">
        <f>SUM(J50:J59)</f>
        <v>1447000</v>
      </c>
      <c r="K60" s="877">
        <f t="shared" ref="K60:T60" si="20">SUM(K50:K59)</f>
        <v>1298387.925</v>
      </c>
      <c r="L60" s="877">
        <f t="shared" si="20"/>
        <v>1176114.9896562994</v>
      </c>
      <c r="M60" s="877">
        <f t="shared" si="20"/>
        <v>1057283.9543125988</v>
      </c>
      <c r="N60" s="877">
        <f t="shared" si="20"/>
        <v>941894.81896889815</v>
      </c>
      <c r="O60" s="877">
        <f t="shared" si="20"/>
        <v>829947.58362519764</v>
      </c>
      <c r="P60" s="877">
        <f t="shared" si="20"/>
        <v>721442.24828149704</v>
      </c>
      <c r="Q60" s="877">
        <f t="shared" si="20"/>
        <v>616378.81293779647</v>
      </c>
      <c r="R60" s="877">
        <f t="shared" si="20"/>
        <v>514757.27759409591</v>
      </c>
      <c r="S60" s="877">
        <f t="shared" si="20"/>
        <v>416577.64225039532</v>
      </c>
      <c r="T60" s="877">
        <f t="shared" si="20"/>
        <v>321839.90690669476</v>
      </c>
    </row>
    <row r="61" spans="1:20">
      <c r="A61" s="893" t="s">
        <v>502</v>
      </c>
      <c r="D61" s="16"/>
      <c r="E61" s="16"/>
      <c r="F61" s="16"/>
      <c r="G61" s="16"/>
      <c r="H61" s="576"/>
      <c r="I61" s="697"/>
    </row>
    <row r="62" spans="1:20">
      <c r="A62" s="892" t="s">
        <v>534</v>
      </c>
      <c r="D62" s="16"/>
      <c r="E62" s="665">
        <v>1000</v>
      </c>
      <c r="F62" s="665">
        <v>1000</v>
      </c>
      <c r="G62" s="665">
        <v>1000</v>
      </c>
      <c r="H62" s="907">
        <v>0</v>
      </c>
      <c r="I62" s="907">
        <v>0</v>
      </c>
      <c r="J62" s="26">
        <f>G62+H62+I62</f>
        <v>1000</v>
      </c>
      <c r="K62" s="26">
        <f>J62</f>
        <v>1000</v>
      </c>
      <c r="L62" s="26">
        <f t="shared" ref="L62:T62" si="21">K62</f>
        <v>1000</v>
      </c>
      <c r="M62" s="26">
        <f t="shared" si="21"/>
        <v>1000</v>
      </c>
      <c r="N62" s="26">
        <f t="shared" si="21"/>
        <v>1000</v>
      </c>
      <c r="O62" s="26">
        <f t="shared" si="21"/>
        <v>1000</v>
      </c>
      <c r="P62" s="26">
        <f t="shared" si="21"/>
        <v>1000</v>
      </c>
      <c r="Q62" s="26">
        <f t="shared" si="21"/>
        <v>1000</v>
      </c>
      <c r="R62" s="26">
        <f t="shared" si="21"/>
        <v>1000</v>
      </c>
      <c r="S62" s="26">
        <f t="shared" si="21"/>
        <v>1000</v>
      </c>
      <c r="T62" s="26">
        <f t="shared" si="21"/>
        <v>1000</v>
      </c>
    </row>
    <row r="63" spans="1:20">
      <c r="A63" s="892" t="s">
        <v>535</v>
      </c>
      <c r="D63" s="16"/>
      <c r="E63" s="665">
        <v>1127000</v>
      </c>
      <c r="F63" s="665">
        <v>1127000</v>
      </c>
      <c r="G63" s="665">
        <v>1277000</v>
      </c>
      <c r="H63" s="907">
        <v>0</v>
      </c>
      <c r="I63" s="907">
        <v>0</v>
      </c>
      <c r="J63" s="26">
        <f>G63+H63+I63</f>
        <v>1277000</v>
      </c>
      <c r="K63" s="26">
        <f>J63</f>
        <v>1277000</v>
      </c>
      <c r="L63" s="26">
        <f t="shared" ref="L63:T63" si="22">K63</f>
        <v>1277000</v>
      </c>
      <c r="M63" s="26">
        <f t="shared" si="22"/>
        <v>1277000</v>
      </c>
      <c r="N63" s="26">
        <f t="shared" si="22"/>
        <v>1277000</v>
      </c>
      <c r="O63" s="26">
        <f t="shared" si="22"/>
        <v>1277000</v>
      </c>
      <c r="P63" s="26">
        <f t="shared" si="22"/>
        <v>1277000</v>
      </c>
      <c r="Q63" s="26">
        <f t="shared" si="22"/>
        <v>1277000</v>
      </c>
      <c r="R63" s="26">
        <f t="shared" si="22"/>
        <v>1277000</v>
      </c>
      <c r="S63" s="26">
        <f t="shared" si="22"/>
        <v>1277000</v>
      </c>
      <c r="T63" s="26">
        <f t="shared" si="22"/>
        <v>1277000</v>
      </c>
    </row>
    <row r="64" spans="1:20">
      <c r="A64" s="892" t="s">
        <v>536</v>
      </c>
      <c r="D64" s="16"/>
      <c r="E64" s="665">
        <v>0</v>
      </c>
      <c r="F64" s="665">
        <v>-6000</v>
      </c>
      <c r="G64" s="665">
        <v>3000</v>
      </c>
      <c r="H64" s="907">
        <v>0</v>
      </c>
      <c r="I64" s="907">
        <v>0</v>
      </c>
      <c r="J64" s="26">
        <f>G64+H64+I64</f>
        <v>3000</v>
      </c>
      <c r="K64" s="26">
        <f>J64+'Pipeline Co IS'!H55+'Pipeline Co CF'!J49</f>
        <v>62993.95</v>
      </c>
      <c r="L64" s="26">
        <f>K64+'Pipeline Co IS'!I55+'Pipeline Co CF'!K49</f>
        <v>128571.22799999994</v>
      </c>
      <c r="M64" s="26">
        <f>L64+'Pipeline Co IS'!J55+'Pipeline Co CF'!L49</f>
        <v>199702.18058875005</v>
      </c>
      <c r="N64" s="26">
        <f>M64+'Pipeline Co IS'!K55+'Pipeline Co CF'!M49</f>
        <v>276356.06790950644</v>
      </c>
      <c r="O64" s="26">
        <f>N64+'Pipeline Co IS'!L55+'Pipeline Co CF'!N49</f>
        <v>358501.03284447297</v>
      </c>
      <c r="P64" s="26">
        <f>O64+'Pipeline Co IS'!M55+'Pipeline Co CF'!O49</f>
        <v>446104.06939850556</v>
      </c>
      <c r="Q64" s="26">
        <f>P64+'Pipeline Co IS'!N55+'Pipeline Co CF'!P49</f>
        <v>539130.99026218755</v>
      </c>
      <c r="R64" s="26">
        <f>Q64+'Pipeline Co IS'!O55+'Pipeline Co CF'!Q49</f>
        <v>637546.39353390993</v>
      </c>
      <c r="S64" s="26">
        <f>R64+'Pipeline Co IS'!P55+'Pipeline Co CF'!R49</f>
        <v>741313.62858009781</v>
      </c>
      <c r="T64" s="26">
        <f>S64+'Pipeline Co IS'!Q55+'Pipeline Co CF'!S49</f>
        <v>850394.76101222471</v>
      </c>
    </row>
    <row r="65" spans="1:20" outlineLevel="1">
      <c r="A65" s="892" t="s">
        <v>505</v>
      </c>
      <c r="D65" s="16"/>
      <c r="E65" s="665">
        <v>0</v>
      </c>
      <c r="F65" s="665">
        <v>0</v>
      </c>
      <c r="G65" s="16"/>
      <c r="H65" s="576"/>
      <c r="I65" s="697"/>
    </row>
    <row r="66" spans="1:20" outlineLevel="1">
      <c r="A66" s="892" t="s">
        <v>506</v>
      </c>
      <c r="D66" s="16"/>
      <c r="E66" s="665">
        <v>0</v>
      </c>
      <c r="F66" s="665">
        <v>0</v>
      </c>
      <c r="G66" s="16"/>
      <c r="H66" s="576"/>
      <c r="I66" s="697"/>
    </row>
    <row r="67" spans="1:20" outlineLevel="1">
      <c r="A67" s="892" t="s">
        <v>507</v>
      </c>
      <c r="D67" s="16"/>
      <c r="E67" s="665">
        <v>0</v>
      </c>
      <c r="F67" s="665">
        <v>0</v>
      </c>
      <c r="G67" s="16"/>
      <c r="H67" s="576"/>
      <c r="I67" s="697"/>
    </row>
    <row r="68" spans="1:20" outlineLevel="1">
      <c r="A68" s="892" t="s">
        <v>508</v>
      </c>
      <c r="D68" s="16"/>
      <c r="E68" s="665">
        <v>0</v>
      </c>
      <c r="F68" s="665">
        <v>0</v>
      </c>
      <c r="G68" s="16"/>
      <c r="H68" s="576"/>
      <c r="I68" s="697"/>
    </row>
    <row r="69" spans="1:20" outlineLevel="1">
      <c r="A69" s="892" t="s">
        <v>509</v>
      </c>
      <c r="D69" s="16"/>
      <c r="E69" s="665">
        <v>0</v>
      </c>
      <c r="F69" s="665">
        <v>0</v>
      </c>
      <c r="G69" s="16"/>
      <c r="H69" s="576"/>
      <c r="I69" s="697"/>
    </row>
    <row r="70" spans="1:20" outlineLevel="1">
      <c r="A70" s="892" t="s">
        <v>527</v>
      </c>
      <c r="D70" s="16"/>
      <c r="E70" s="665">
        <v>0</v>
      </c>
      <c r="F70" s="665">
        <v>0</v>
      </c>
      <c r="G70" s="16"/>
      <c r="H70" s="576"/>
      <c r="I70" s="697"/>
    </row>
    <row r="71" spans="1:20" outlineLevel="1">
      <c r="A71" s="892" t="s">
        <v>528</v>
      </c>
      <c r="D71" s="16"/>
      <c r="E71" s="665">
        <v>0</v>
      </c>
      <c r="F71" s="665">
        <v>0</v>
      </c>
      <c r="G71" s="16"/>
      <c r="H71" s="576"/>
      <c r="I71" s="697"/>
    </row>
    <row r="72" spans="1:20">
      <c r="A72" s="893" t="s">
        <v>503</v>
      </c>
      <c r="D72" s="861"/>
      <c r="E72" s="861">
        <f>SUM(E62:E71)</f>
        <v>1128000</v>
      </c>
      <c r="F72" s="861">
        <f>SUM(F62:F71)</f>
        <v>1122000</v>
      </c>
      <c r="G72" s="861">
        <f>SUM(G62:G71)</f>
        <v>1281000</v>
      </c>
      <c r="H72" s="902"/>
      <c r="I72" s="903"/>
      <c r="J72" s="877">
        <f>SUM(J62:J71)</f>
        <v>1281000</v>
      </c>
      <c r="K72" s="877">
        <f t="shared" ref="K72:T72" si="23">SUM(K62:K71)</f>
        <v>1340993.95</v>
      </c>
      <c r="L72" s="877">
        <f t="shared" si="23"/>
        <v>1406571.2279999999</v>
      </c>
      <c r="M72" s="877">
        <f t="shared" si="23"/>
        <v>1477702.1805887502</v>
      </c>
      <c r="N72" s="877">
        <f t="shared" si="23"/>
        <v>1554356.0679095064</v>
      </c>
      <c r="O72" s="877">
        <f t="shared" si="23"/>
        <v>1636501.0328444729</v>
      </c>
      <c r="P72" s="877">
        <f t="shared" si="23"/>
        <v>1724104.0693985056</v>
      </c>
      <c r="Q72" s="877">
        <f t="shared" si="23"/>
        <v>1817130.9902621876</v>
      </c>
      <c r="R72" s="877">
        <f t="shared" si="23"/>
        <v>1915546.3935339099</v>
      </c>
      <c r="S72" s="877">
        <f t="shared" si="23"/>
        <v>2019313.6285800978</v>
      </c>
      <c r="T72" s="877">
        <f t="shared" si="23"/>
        <v>2128394.7610122245</v>
      </c>
    </row>
    <row r="73" spans="1:20">
      <c r="D73" s="16"/>
      <c r="E73" s="16"/>
      <c r="F73" s="16"/>
      <c r="G73" s="16"/>
      <c r="H73" s="576"/>
      <c r="I73" s="697"/>
    </row>
    <row r="74" spans="1:20" ht="13.5" thickBot="1">
      <c r="A74" s="6" t="s">
        <v>504</v>
      </c>
      <c r="D74" s="857"/>
      <c r="E74" s="857">
        <f>E60+E72+E48</f>
        <v>2560000</v>
      </c>
      <c r="F74" s="857">
        <f>F60+F72+F48</f>
        <v>2806000</v>
      </c>
      <c r="G74" s="857">
        <f>G60+G72+G48</f>
        <v>3010000</v>
      </c>
      <c r="H74" s="904"/>
      <c r="I74" s="905"/>
      <c r="J74" s="942">
        <f>J48+J60+J72</f>
        <v>2950000</v>
      </c>
      <c r="K74" s="942">
        <f t="shared" ref="K74:T74" si="24">K48+K60+K72</f>
        <v>2843200.6147260275</v>
      </c>
      <c r="L74" s="942">
        <f t="shared" si="24"/>
        <v>2788163.8982042447</v>
      </c>
      <c r="M74" s="942">
        <f t="shared" si="24"/>
        <v>2742152.6145150475</v>
      </c>
      <c r="N74" s="942">
        <f t="shared" si="24"/>
        <v>2705136.6541050207</v>
      </c>
      <c r="O74" s="942">
        <f t="shared" si="24"/>
        <v>2677084.8047557534</v>
      </c>
      <c r="P74" s="942">
        <f t="shared" si="24"/>
        <v>2657964.7203208269</v>
      </c>
      <c r="Q74" s="942">
        <f t="shared" si="24"/>
        <v>2647742.8886508937</v>
      </c>
      <c r="R74" s="942">
        <f t="shared" si="24"/>
        <v>2646384.5986866942</v>
      </c>
      <c r="S74" s="942">
        <f t="shared" si="24"/>
        <v>2653853.9066993692</v>
      </c>
      <c r="T74" s="942">
        <f t="shared" si="24"/>
        <v>2670113.6016569501</v>
      </c>
    </row>
    <row r="75" spans="1:20" ht="13.5" thickTop="1"/>
    <row r="76" spans="1:20" outlineLevel="1">
      <c r="A76" t="s">
        <v>537</v>
      </c>
      <c r="D76" s="26">
        <f>D35-D74</f>
        <v>0</v>
      </c>
      <c r="E76" s="26">
        <f>E35-E74</f>
        <v>0</v>
      </c>
      <c r="F76" s="26">
        <f>F35-F74</f>
        <v>0</v>
      </c>
      <c r="G76" s="26">
        <f>G35-G74</f>
        <v>0</v>
      </c>
      <c r="H76" s="26">
        <f t="shared" ref="H76:T76" si="25">H35-H74</f>
        <v>0</v>
      </c>
      <c r="I76" s="26">
        <f t="shared" si="25"/>
        <v>0</v>
      </c>
      <c r="J76" s="26">
        <f t="shared" si="25"/>
        <v>0</v>
      </c>
      <c r="K76" s="26">
        <f t="shared" si="25"/>
        <v>0</v>
      </c>
      <c r="L76" s="26">
        <f t="shared" si="25"/>
        <v>0</v>
      </c>
      <c r="M76" s="26">
        <f t="shared" si="25"/>
        <v>0</v>
      </c>
      <c r="N76" s="26">
        <f t="shared" si="25"/>
        <v>0</v>
      </c>
      <c r="O76" s="26">
        <f t="shared" si="25"/>
        <v>0</v>
      </c>
      <c r="P76" s="26">
        <f t="shared" si="25"/>
        <v>0</v>
      </c>
      <c r="Q76" s="26">
        <f t="shared" si="25"/>
        <v>0</v>
      </c>
      <c r="R76" s="26">
        <f t="shared" si="25"/>
        <v>0</v>
      </c>
      <c r="S76" s="26">
        <f t="shared" si="25"/>
        <v>0</v>
      </c>
      <c r="T76" s="26">
        <f t="shared" si="25"/>
        <v>0</v>
      </c>
    </row>
    <row r="79" spans="1:20" ht="15.75">
      <c r="A79" s="563" t="s">
        <v>541</v>
      </c>
      <c r="B79" s="564"/>
      <c r="C79" s="477"/>
      <c r="D79" s="565"/>
      <c r="E79" s="565"/>
      <c r="F79" s="477"/>
      <c r="G79" s="566"/>
      <c r="H79" s="566"/>
      <c r="I79" s="566"/>
      <c r="J79" s="477"/>
      <c r="K79" s="477"/>
      <c r="L79" s="477"/>
      <c r="M79" s="477"/>
      <c r="N79" s="477"/>
      <c r="O79" s="477"/>
      <c r="P79" s="477"/>
      <c r="Q79" s="477"/>
      <c r="R79" s="477"/>
      <c r="S79" s="442"/>
      <c r="T79" s="442"/>
    </row>
    <row r="80" spans="1:20">
      <c r="D80" s="560"/>
      <c r="E80" s="560"/>
      <c r="F80" s="386"/>
      <c r="G80" s="372" t="s">
        <v>263</v>
      </c>
      <c r="H80" s="391"/>
      <c r="I80" s="386"/>
      <c r="J80" s="386"/>
      <c r="K80" s="304"/>
      <c r="L80" s="386"/>
      <c r="M80" s="304"/>
      <c r="N80" s="304"/>
      <c r="O80" s="304"/>
      <c r="P80" s="304"/>
      <c r="Q80" s="355"/>
      <c r="R80" s="355"/>
      <c r="S80" s="355"/>
      <c r="T80" s="355"/>
    </row>
    <row r="81" spans="1:20">
      <c r="D81" s="316">
        <v>1998</v>
      </c>
      <c r="E81" s="316">
        <v>1999</v>
      </c>
      <c r="F81" s="316">
        <v>2000</v>
      </c>
      <c r="G81" s="316">
        <v>2001</v>
      </c>
      <c r="H81" s="1004"/>
      <c r="I81" s="1005"/>
      <c r="J81" s="352" t="s">
        <v>544</v>
      </c>
      <c r="K81" s="352">
        <v>2002</v>
      </c>
      <c r="L81" s="352">
        <v>2003</v>
      </c>
      <c r="M81" s="352">
        <v>2004</v>
      </c>
      <c r="N81" s="352">
        <v>2005</v>
      </c>
      <c r="O81" s="352">
        <v>2006</v>
      </c>
      <c r="P81" s="356">
        <v>2007</v>
      </c>
      <c r="Q81" s="356">
        <v>2008</v>
      </c>
      <c r="R81" s="356">
        <v>2009</v>
      </c>
      <c r="S81" s="356">
        <v>2010</v>
      </c>
      <c r="T81" s="537">
        <v>2011</v>
      </c>
    </row>
    <row r="82" spans="1:20">
      <c r="D82" s="24"/>
      <c r="E82" s="24"/>
      <c r="F82" s="411" t="s">
        <v>273</v>
      </c>
      <c r="G82" s="316">
        <v>1</v>
      </c>
      <c r="H82" s="899"/>
      <c r="I82" s="900"/>
      <c r="J82" s="352">
        <v>1</v>
      </c>
      <c r="K82" s="352">
        <v>2</v>
      </c>
      <c r="L82" s="352">
        <v>3</v>
      </c>
      <c r="M82" s="352">
        <v>4</v>
      </c>
      <c r="N82" s="352">
        <v>5</v>
      </c>
      <c r="O82" s="352">
        <v>6</v>
      </c>
      <c r="P82" s="352">
        <v>7</v>
      </c>
      <c r="Q82" s="352">
        <v>8</v>
      </c>
      <c r="R82" s="352">
        <v>9</v>
      </c>
      <c r="S82" s="352">
        <v>10</v>
      </c>
      <c r="T82" s="452">
        <v>11</v>
      </c>
    </row>
    <row r="83" spans="1:20">
      <c r="A83" s="6" t="s">
        <v>43</v>
      </c>
      <c r="D83" s="24"/>
      <c r="E83" s="24"/>
      <c r="F83" s="411"/>
      <c r="G83" s="458"/>
      <c r="H83" s="373"/>
      <c r="I83" s="373"/>
      <c r="J83" s="459"/>
      <c r="K83" s="459"/>
      <c r="L83" s="459"/>
      <c r="M83" s="459"/>
      <c r="N83" s="459"/>
      <c r="O83" s="459"/>
      <c r="P83" s="459"/>
      <c r="Q83" s="459"/>
      <c r="R83" s="459"/>
      <c r="S83" s="459"/>
      <c r="T83" s="353"/>
    </row>
    <row r="84" spans="1:20">
      <c r="A84" t="s">
        <v>542</v>
      </c>
      <c r="J84" s="908"/>
      <c r="K84" s="884">
        <v>120</v>
      </c>
      <c r="L84" s="884">
        <v>120</v>
      </c>
      <c r="M84" s="884">
        <v>120</v>
      </c>
      <c r="N84" s="884">
        <v>120</v>
      </c>
      <c r="O84" s="884">
        <v>120</v>
      </c>
      <c r="P84" s="884">
        <v>120</v>
      </c>
      <c r="Q84" s="884">
        <v>120</v>
      </c>
      <c r="R84" s="884">
        <v>120</v>
      </c>
      <c r="S84" s="884">
        <v>120</v>
      </c>
      <c r="T84" s="884">
        <v>120</v>
      </c>
    </row>
    <row r="85" spans="1:20">
      <c r="A85" t="s">
        <v>596</v>
      </c>
      <c r="J85" s="908"/>
      <c r="K85" s="910">
        <v>0.4</v>
      </c>
      <c r="L85" s="910">
        <v>0.4</v>
      </c>
      <c r="M85" s="910">
        <v>0.4</v>
      </c>
      <c r="N85" s="910">
        <v>0.4</v>
      </c>
      <c r="O85" s="910">
        <v>0.4</v>
      </c>
      <c r="P85" s="910">
        <v>0.4</v>
      </c>
      <c r="Q85" s="910">
        <v>0.4</v>
      </c>
      <c r="R85" s="910">
        <v>0.4</v>
      </c>
      <c r="S85" s="910">
        <v>0.4</v>
      </c>
      <c r="T85" s="910">
        <v>0.4</v>
      </c>
    </row>
    <row r="86" spans="1:20">
      <c r="A86" t="s">
        <v>545</v>
      </c>
      <c r="J86" s="908"/>
      <c r="K86" s="884">
        <v>120</v>
      </c>
      <c r="L86" s="884">
        <v>120</v>
      </c>
      <c r="M86" s="884">
        <v>120</v>
      </c>
      <c r="N86" s="884">
        <v>120</v>
      </c>
      <c r="O86" s="884">
        <v>120</v>
      </c>
      <c r="P86" s="884">
        <v>120</v>
      </c>
      <c r="Q86" s="884">
        <v>120</v>
      </c>
      <c r="R86" s="884">
        <v>120</v>
      </c>
      <c r="S86" s="884">
        <v>120</v>
      </c>
      <c r="T86" s="884">
        <v>120</v>
      </c>
    </row>
    <row r="87" spans="1:20">
      <c r="A87" t="s">
        <v>547</v>
      </c>
      <c r="J87" s="908"/>
      <c r="K87" s="884">
        <v>45</v>
      </c>
      <c r="L87" s="884">
        <v>45</v>
      </c>
      <c r="M87" s="884">
        <v>45</v>
      </c>
      <c r="N87" s="884">
        <v>45</v>
      </c>
      <c r="O87" s="884">
        <v>45</v>
      </c>
      <c r="P87" s="884">
        <v>45</v>
      </c>
      <c r="Q87" s="884">
        <v>45</v>
      </c>
      <c r="R87" s="884">
        <v>45</v>
      </c>
      <c r="S87" s="884">
        <v>45</v>
      </c>
      <c r="T87" s="884">
        <v>45</v>
      </c>
    </row>
    <row r="88" spans="1:20">
      <c r="A88" s="6" t="s">
        <v>546</v>
      </c>
      <c r="D88" s="24"/>
      <c r="E88" s="24"/>
      <c r="F88" s="24"/>
      <c r="G88" s="24"/>
      <c r="H88" s="24"/>
      <c r="I88" s="24"/>
      <c r="J88" s="908"/>
      <c r="K88" s="908"/>
      <c r="L88" s="908"/>
      <c r="M88" s="908"/>
      <c r="N88" s="908"/>
      <c r="O88" s="908"/>
      <c r="P88" s="908"/>
      <c r="Q88" s="908"/>
      <c r="R88" s="908"/>
      <c r="S88" s="908"/>
      <c r="T88" s="908"/>
    </row>
    <row r="89" spans="1:20">
      <c r="A89" t="s">
        <v>543</v>
      </c>
      <c r="J89" s="908"/>
      <c r="K89" s="884">
        <v>60</v>
      </c>
      <c r="L89" s="884">
        <v>60</v>
      </c>
      <c r="M89" s="884">
        <v>60</v>
      </c>
      <c r="N89" s="884">
        <v>60</v>
      </c>
      <c r="O89" s="884">
        <v>60</v>
      </c>
      <c r="P89" s="884">
        <v>60</v>
      </c>
      <c r="Q89" s="884">
        <v>60</v>
      </c>
      <c r="R89" s="884">
        <v>60</v>
      </c>
      <c r="S89" s="884">
        <v>60</v>
      </c>
      <c r="T89" s="884">
        <v>60</v>
      </c>
    </row>
    <row r="90" spans="1:20">
      <c r="A90" t="s">
        <v>597</v>
      </c>
      <c r="K90" s="910">
        <v>0.55000000000000004</v>
      </c>
      <c r="L90" s="910">
        <v>0.55000000000000004</v>
      </c>
      <c r="M90" s="910">
        <v>0.55000000000000004</v>
      </c>
      <c r="N90" s="910">
        <v>0.55000000000000004</v>
      </c>
      <c r="O90" s="910">
        <v>0.55000000000000004</v>
      </c>
      <c r="P90" s="910">
        <v>0.55000000000000004</v>
      </c>
      <c r="Q90" s="910">
        <v>0.55000000000000004</v>
      </c>
      <c r="R90" s="910">
        <v>0.55000000000000004</v>
      </c>
      <c r="S90" s="910">
        <v>0.55000000000000004</v>
      </c>
      <c r="T90" s="910">
        <v>0.55000000000000004</v>
      </c>
    </row>
    <row r="91" spans="1:20">
      <c r="A91" t="s">
        <v>595</v>
      </c>
      <c r="K91" s="884">
        <v>120</v>
      </c>
      <c r="L91" s="884">
        <v>120</v>
      </c>
      <c r="M91" s="884">
        <v>120</v>
      </c>
      <c r="N91" s="884">
        <v>120</v>
      </c>
      <c r="O91" s="884">
        <v>120</v>
      </c>
      <c r="P91" s="884">
        <v>120</v>
      </c>
      <c r="Q91" s="884">
        <v>120</v>
      </c>
      <c r="R91" s="884">
        <v>120</v>
      </c>
      <c r="S91" s="884">
        <v>120</v>
      </c>
      <c r="T91" s="884">
        <v>120</v>
      </c>
    </row>
    <row r="93" spans="1:20">
      <c r="D93" s="560"/>
      <c r="E93" s="560"/>
      <c r="F93" s="386"/>
      <c r="G93" s="372" t="s">
        <v>263</v>
      </c>
      <c r="H93" s="391"/>
      <c r="I93" s="386"/>
      <c r="J93" s="386"/>
      <c r="K93" s="304"/>
      <c r="L93" s="386"/>
      <c r="M93" s="304"/>
      <c r="N93" s="304"/>
      <c r="O93" s="304"/>
      <c r="P93" s="304"/>
      <c r="Q93" s="355"/>
      <c r="R93" s="355"/>
      <c r="S93" s="355"/>
      <c r="T93" s="355"/>
    </row>
    <row r="94" spans="1:20">
      <c r="D94" s="316">
        <v>1998</v>
      </c>
      <c r="E94" s="316">
        <v>1999</v>
      </c>
      <c r="F94" s="316">
        <v>2000</v>
      </c>
      <c r="G94" s="316">
        <v>2001</v>
      </c>
      <c r="H94" s="1004"/>
      <c r="I94" s="1005"/>
      <c r="J94" s="352" t="s">
        <v>544</v>
      </c>
      <c r="K94" s="352">
        <v>2002</v>
      </c>
      <c r="L94" s="352">
        <v>2003</v>
      </c>
      <c r="M94" s="352">
        <v>2004</v>
      </c>
      <c r="N94" s="352">
        <v>2005</v>
      </c>
      <c r="O94" s="352">
        <v>2006</v>
      </c>
      <c r="P94" s="356">
        <v>2007</v>
      </c>
      <c r="Q94" s="356">
        <v>2008</v>
      </c>
      <c r="R94" s="356">
        <v>2009</v>
      </c>
      <c r="S94" s="356">
        <v>2010</v>
      </c>
      <c r="T94" s="537">
        <v>2011</v>
      </c>
    </row>
    <row r="95" spans="1:20">
      <c r="D95" s="24"/>
      <c r="E95" s="24"/>
      <c r="F95" s="411" t="s">
        <v>273</v>
      </c>
      <c r="G95" s="316">
        <v>1</v>
      </c>
      <c r="H95" s="899"/>
      <c r="I95" s="900"/>
      <c r="J95" s="352">
        <v>1</v>
      </c>
      <c r="K95" s="352">
        <v>2</v>
      </c>
      <c r="L95" s="352">
        <v>3</v>
      </c>
      <c r="M95" s="352">
        <v>4</v>
      </c>
      <c r="N95" s="352">
        <v>5</v>
      </c>
      <c r="O95" s="352">
        <v>6</v>
      </c>
      <c r="P95" s="352">
        <v>7</v>
      </c>
      <c r="Q95" s="352">
        <v>8</v>
      </c>
      <c r="R95" s="352">
        <v>9</v>
      </c>
      <c r="S95" s="352">
        <v>10</v>
      </c>
      <c r="T95" s="452">
        <v>11</v>
      </c>
    </row>
    <row r="96" spans="1:20">
      <c r="A96" s="6" t="s">
        <v>604</v>
      </c>
    </row>
    <row r="97" spans="1:27">
      <c r="A97" t="s">
        <v>250</v>
      </c>
      <c r="B97" s="884">
        <v>10</v>
      </c>
      <c r="D97" s="16"/>
      <c r="E97" s="16"/>
      <c r="F97" s="16"/>
      <c r="G97" s="16"/>
    </row>
    <row r="98" spans="1:27">
      <c r="A98" t="s">
        <v>53</v>
      </c>
      <c r="B98" s="746">
        <v>7.4999999999999997E-2</v>
      </c>
      <c r="D98" s="16"/>
      <c r="E98" s="16"/>
      <c r="F98" s="16"/>
      <c r="G98" s="16"/>
    </row>
    <row r="99" spans="1:27">
      <c r="A99" s="444" t="s">
        <v>269</v>
      </c>
      <c r="D99" s="16"/>
      <c r="E99" s="16"/>
      <c r="F99" s="16"/>
      <c r="G99" s="16"/>
      <c r="K99" s="26">
        <f>J101</f>
        <v>1192000</v>
      </c>
      <c r="L99" s="26">
        <f t="shared" ref="L99:T99" si="26">K101</f>
        <v>1072800</v>
      </c>
      <c r="M99" s="26">
        <f t="shared" si="26"/>
        <v>953600</v>
      </c>
      <c r="N99" s="26">
        <f t="shared" si="26"/>
        <v>834400</v>
      </c>
      <c r="O99" s="26">
        <f t="shared" si="26"/>
        <v>715200</v>
      </c>
      <c r="P99" s="26">
        <f t="shared" si="26"/>
        <v>596000</v>
      </c>
      <c r="Q99" s="26">
        <f t="shared" si="26"/>
        <v>476800</v>
      </c>
      <c r="R99" s="26">
        <f t="shared" si="26"/>
        <v>357600</v>
      </c>
      <c r="S99" s="26">
        <f t="shared" si="26"/>
        <v>238400</v>
      </c>
      <c r="T99" s="26">
        <f t="shared" si="26"/>
        <v>119200</v>
      </c>
      <c r="U99" s="98"/>
      <c r="V99" s="98"/>
      <c r="W99" s="98"/>
      <c r="X99" s="98"/>
      <c r="Y99" s="98"/>
      <c r="Z99" s="98"/>
      <c r="AA99" s="35"/>
    </row>
    <row r="100" spans="1:27">
      <c r="A100" s="444" t="s">
        <v>270</v>
      </c>
      <c r="D100" s="16"/>
      <c r="E100" s="16"/>
      <c r="F100" s="16"/>
      <c r="G100" s="16"/>
      <c r="K100" s="26">
        <f>IF(K99&gt;0,$J$101/$B$97,0)</f>
        <v>119200</v>
      </c>
      <c r="L100" s="26">
        <f t="shared" ref="L100:T100" si="27">IF(L99&gt;0,$J$101/$B$97,0)</f>
        <v>119200</v>
      </c>
      <c r="M100" s="26">
        <f t="shared" si="27"/>
        <v>119200</v>
      </c>
      <c r="N100" s="26">
        <f t="shared" si="27"/>
        <v>119200</v>
      </c>
      <c r="O100" s="26">
        <f t="shared" si="27"/>
        <v>119200</v>
      </c>
      <c r="P100" s="26">
        <f t="shared" si="27"/>
        <v>119200</v>
      </c>
      <c r="Q100" s="26">
        <f t="shared" si="27"/>
        <v>119200</v>
      </c>
      <c r="R100" s="26">
        <f t="shared" si="27"/>
        <v>119200</v>
      </c>
      <c r="S100" s="26">
        <f t="shared" si="27"/>
        <v>119200</v>
      </c>
      <c r="T100" s="26">
        <f t="shared" si="27"/>
        <v>119200</v>
      </c>
      <c r="U100" s="98"/>
      <c r="V100" s="98"/>
      <c r="W100" s="98"/>
      <c r="X100" s="98"/>
      <c r="Y100" s="98"/>
      <c r="Z100" s="98"/>
      <c r="AA100" s="35"/>
    </row>
    <row r="101" spans="1:27" ht="13.5" thickBot="1">
      <c r="A101" s="444" t="s">
        <v>271</v>
      </c>
      <c r="D101" s="943"/>
      <c r="E101" s="944">
        <v>1094000</v>
      </c>
      <c r="F101" s="944">
        <v>1193000</v>
      </c>
      <c r="G101" s="944">
        <v>1192000</v>
      </c>
      <c r="H101" s="898"/>
      <c r="I101" s="898"/>
      <c r="J101" s="945">
        <f>G101+H101+I101</f>
        <v>1192000</v>
      </c>
      <c r="K101" s="945">
        <f>K99-K100</f>
        <v>1072800</v>
      </c>
      <c r="L101" s="945">
        <f t="shared" ref="L101:T101" si="28">L99-L100</f>
        <v>953600</v>
      </c>
      <c r="M101" s="945">
        <f t="shared" si="28"/>
        <v>834400</v>
      </c>
      <c r="N101" s="945">
        <f t="shared" si="28"/>
        <v>715200</v>
      </c>
      <c r="O101" s="945">
        <f t="shared" si="28"/>
        <v>596000</v>
      </c>
      <c r="P101" s="945">
        <f t="shared" si="28"/>
        <v>476800</v>
      </c>
      <c r="Q101" s="945">
        <f t="shared" si="28"/>
        <v>357600</v>
      </c>
      <c r="R101" s="945">
        <f t="shared" si="28"/>
        <v>238400</v>
      </c>
      <c r="S101" s="945">
        <f t="shared" si="28"/>
        <v>119200</v>
      </c>
      <c r="T101" s="945">
        <f t="shared" si="28"/>
        <v>0</v>
      </c>
      <c r="U101" s="940"/>
      <c r="V101" s="940"/>
      <c r="W101" s="940"/>
      <c r="X101" s="940"/>
      <c r="Y101" s="940"/>
      <c r="Z101" s="940"/>
      <c r="AA101" s="35"/>
    </row>
    <row r="102" spans="1:27" ht="13.5" thickTop="1">
      <c r="A102" s="444" t="s">
        <v>277</v>
      </c>
      <c r="D102" s="16"/>
      <c r="E102" s="16"/>
      <c r="F102" s="16"/>
      <c r="G102" s="16"/>
      <c r="K102" s="26">
        <f>K99*$B$98</f>
        <v>89400</v>
      </c>
      <c r="L102" s="26">
        <f t="shared" ref="L102:T102" si="29">L99*$B$98</f>
        <v>80460</v>
      </c>
      <c r="M102" s="26">
        <f t="shared" si="29"/>
        <v>71520</v>
      </c>
      <c r="N102" s="26">
        <f t="shared" si="29"/>
        <v>62580</v>
      </c>
      <c r="O102" s="26">
        <f t="shared" si="29"/>
        <v>53640</v>
      </c>
      <c r="P102" s="26">
        <f t="shared" si="29"/>
        <v>44700</v>
      </c>
      <c r="Q102" s="26">
        <f t="shared" si="29"/>
        <v>35760</v>
      </c>
      <c r="R102" s="26">
        <f t="shared" si="29"/>
        <v>26820</v>
      </c>
      <c r="S102" s="26">
        <f t="shared" si="29"/>
        <v>17880</v>
      </c>
      <c r="T102" s="26">
        <f t="shared" si="29"/>
        <v>8940</v>
      </c>
      <c r="U102" s="35"/>
      <c r="V102" s="35"/>
      <c r="W102" s="35"/>
      <c r="X102" s="35"/>
      <c r="Y102" s="35"/>
      <c r="Z102" s="35"/>
      <c r="AA102" s="35"/>
    </row>
  </sheetData>
  <mergeCells count="3">
    <mergeCell ref="H8:I8"/>
    <mergeCell ref="H81:I81"/>
    <mergeCell ref="H94:I94"/>
  </mergeCells>
  <phoneticPr fontId="0" type="noConversion"/>
  <pageMargins left="0.17" right="0.17" top="0.77" bottom="0.31" header="0.17" footer="0.23"/>
  <pageSetup scale="50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T75"/>
  <sheetViews>
    <sheetView showGridLines="0" topLeftCell="A50" zoomScale="75" workbookViewId="0">
      <selection activeCell="D3" sqref="D3"/>
    </sheetView>
  </sheetViews>
  <sheetFormatPr defaultRowHeight="12.75" outlineLevelRow="1"/>
  <cols>
    <col min="1" max="1" width="43.85546875" customWidth="1"/>
    <col min="2" max="2" width="2.28515625" customWidth="1"/>
    <col min="3" max="3" width="2.7109375" customWidth="1"/>
    <col min="4" max="4" width="13.42578125" customWidth="1"/>
    <col min="5" max="5" width="14.85546875" customWidth="1"/>
    <col min="6" max="6" width="14.5703125" customWidth="1"/>
    <col min="7" max="7" width="13.7109375" customWidth="1"/>
    <col min="8" max="8" width="14.85546875" customWidth="1"/>
    <col min="9" max="9" width="13.42578125" customWidth="1"/>
    <col min="10" max="10" width="12.28515625" bestFit="1" customWidth="1"/>
    <col min="11" max="11" width="12" bestFit="1" customWidth="1"/>
    <col min="12" max="13" width="12.28515625" bestFit="1" customWidth="1"/>
    <col min="14" max="14" width="12" bestFit="1" customWidth="1"/>
    <col min="15" max="15" width="13.140625" bestFit="1" customWidth="1"/>
    <col min="16" max="19" width="13.42578125" bestFit="1" customWidth="1"/>
  </cols>
  <sheetData>
    <row r="1" spans="1:20" ht="20.25">
      <c r="A1" s="969" t="str">
        <f>"Project "&amp;Assumptions!D7</f>
        <v>Project Wolverine</v>
      </c>
      <c r="B1" s="35"/>
      <c r="C1" s="35"/>
      <c r="D1" s="35"/>
      <c r="F1" s="866" t="s">
        <v>181</v>
      </c>
      <c r="G1" s="561"/>
      <c r="H1" s="865"/>
      <c r="I1" s="865"/>
      <c r="J1" s="539"/>
    </row>
    <row r="2" spans="1:20" ht="15.75">
      <c r="A2" s="970" t="str">
        <f>'Org Chart'!B5</f>
        <v>Panhandle Eastern</v>
      </c>
      <c r="B2" s="160"/>
      <c r="C2" s="35"/>
      <c r="D2" s="35"/>
      <c r="F2" s="562"/>
      <c r="G2" s="56"/>
      <c r="H2" s="56"/>
      <c r="I2" s="56"/>
      <c r="J2" s="131"/>
    </row>
    <row r="3" spans="1:20" ht="16.5" thickBot="1">
      <c r="A3" s="971" t="s">
        <v>435</v>
      </c>
      <c r="B3" s="160"/>
      <c r="C3" s="35"/>
      <c r="D3" s="35"/>
      <c r="F3" s="562"/>
      <c r="G3" s="35"/>
      <c r="H3" s="56"/>
      <c r="I3" s="56"/>
      <c r="J3" s="131"/>
    </row>
    <row r="4" spans="1:20" ht="13.5" thickBot="1">
      <c r="F4" s="176"/>
      <c r="G4" s="177"/>
      <c r="H4" s="177"/>
      <c r="I4" s="177"/>
      <c r="J4" s="135"/>
    </row>
    <row r="5" spans="1:20">
      <c r="F5" s="45"/>
      <c r="G5" s="56"/>
      <c r="H5" s="56"/>
      <c r="I5" s="56"/>
      <c r="J5" s="35"/>
    </row>
    <row r="6" spans="1:20" ht="15.75">
      <c r="A6" s="563" t="s">
        <v>548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  <c r="S6" s="585"/>
      <c r="T6" s="45"/>
    </row>
    <row r="7" spans="1:20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55"/>
      <c r="S7" s="560"/>
      <c r="T7" s="45"/>
    </row>
    <row r="8" spans="1:20">
      <c r="D8" s="316">
        <v>1998</v>
      </c>
      <c r="E8" s="316">
        <v>1999</v>
      </c>
      <c r="F8" s="316">
        <v>2000</v>
      </c>
      <c r="G8" s="316">
        <v>2001</v>
      </c>
      <c r="H8" s="911" t="s">
        <v>549</v>
      </c>
      <c r="I8" s="352" t="s">
        <v>544</v>
      </c>
      <c r="J8" s="352">
        <v>2002</v>
      </c>
      <c r="K8" s="352">
        <v>2003</v>
      </c>
      <c r="L8" s="352">
        <v>2004</v>
      </c>
      <c r="M8" s="352">
        <v>2005</v>
      </c>
      <c r="N8" s="352">
        <v>2006</v>
      </c>
      <c r="O8" s="356">
        <v>2007</v>
      </c>
      <c r="P8" s="356">
        <v>2008</v>
      </c>
      <c r="Q8" s="356">
        <v>2009</v>
      </c>
      <c r="R8" s="356">
        <v>2010</v>
      </c>
      <c r="S8" s="537">
        <v>2011</v>
      </c>
      <c r="T8" s="45"/>
    </row>
    <row r="9" spans="1:20">
      <c r="D9" s="24"/>
      <c r="E9" s="24"/>
      <c r="F9" s="411" t="s">
        <v>273</v>
      </c>
      <c r="G9" s="316">
        <v>1</v>
      </c>
      <c r="H9" s="912" t="s">
        <v>550</v>
      </c>
      <c r="I9" s="352">
        <v>1</v>
      </c>
      <c r="J9" s="352">
        <v>2</v>
      </c>
      <c r="K9" s="352">
        <v>3</v>
      </c>
      <c r="L9" s="352">
        <v>4</v>
      </c>
      <c r="M9" s="352">
        <v>5</v>
      </c>
      <c r="N9" s="352">
        <v>6</v>
      </c>
      <c r="O9" s="352">
        <v>7</v>
      </c>
      <c r="P9" s="352">
        <v>8</v>
      </c>
      <c r="Q9" s="352">
        <v>9</v>
      </c>
      <c r="R9" s="352">
        <v>10</v>
      </c>
      <c r="S9" s="452">
        <v>11</v>
      </c>
      <c r="T9" s="45"/>
    </row>
    <row r="10" spans="1:20">
      <c r="A10" s="6" t="s">
        <v>551</v>
      </c>
      <c r="D10" s="16"/>
      <c r="E10" s="16"/>
      <c r="F10" s="894"/>
      <c r="G10" s="855"/>
      <c r="H10" s="901"/>
      <c r="K10" s="459"/>
      <c r="L10" s="459"/>
      <c r="M10" s="459"/>
      <c r="N10" s="459"/>
      <c r="O10" s="459"/>
      <c r="P10" s="459"/>
      <c r="Q10" s="459"/>
      <c r="R10" s="459"/>
      <c r="S10" s="459"/>
      <c r="T10" s="353"/>
    </row>
    <row r="11" spans="1:20">
      <c r="A11" s="890" t="s">
        <v>552</v>
      </c>
      <c r="D11" s="665">
        <v>91000</v>
      </c>
      <c r="E11" s="665">
        <v>74000</v>
      </c>
      <c r="F11" s="665">
        <v>64000</v>
      </c>
      <c r="G11" s="876">
        <f>'Pipeline Co IS'!G55</f>
        <v>104000</v>
      </c>
      <c r="H11" s="907">
        <v>0</v>
      </c>
      <c r="I11" s="26">
        <f>G11+H11</f>
        <v>104000</v>
      </c>
      <c r="J11" s="883">
        <f>'Pipeline Co IS'!H55</f>
        <v>125993.95</v>
      </c>
      <c r="K11" s="883">
        <f>'Pipeline Co IS'!I55</f>
        <v>131577.27799999996</v>
      </c>
      <c r="L11" s="883">
        <f>'Pipeline Co IS'!J55</f>
        <v>137130.95258875011</v>
      </c>
      <c r="M11" s="883">
        <f>'Pipeline Co IS'!K55</f>
        <v>142653.88732075639</v>
      </c>
      <c r="N11" s="883">
        <f>'Pipeline Co IS'!L55</f>
        <v>148144.96493496653</v>
      </c>
      <c r="O11" s="883">
        <f>'Pipeline Co IS'!M55</f>
        <v>153603.03655403259</v>
      </c>
      <c r="P11" s="883">
        <f>'Pipeline Co IS'!N55</f>
        <v>159026.920863682</v>
      </c>
      <c r="Q11" s="883">
        <f>'Pipeline Co IS'!O55</f>
        <v>164415.40327172243</v>
      </c>
      <c r="R11" s="883">
        <f>'Pipeline Co IS'!P55</f>
        <v>169767.23504618788</v>
      </c>
      <c r="S11" s="883">
        <f>'Pipeline Co IS'!Q55</f>
        <v>175081.13243212696</v>
      </c>
      <c r="T11" s="45"/>
    </row>
    <row r="12" spans="1:20">
      <c r="A12" s="891" t="s">
        <v>443</v>
      </c>
      <c r="D12" s="665">
        <v>61000</v>
      </c>
      <c r="E12" s="665">
        <v>58000</v>
      </c>
      <c r="F12" s="665">
        <v>65000</v>
      </c>
      <c r="G12" s="876">
        <f>'Pipeline Co IS'!G35</f>
        <v>66000</v>
      </c>
      <c r="H12" s="907">
        <v>0</v>
      </c>
      <c r="I12" s="26">
        <f>G12+H12</f>
        <v>66000</v>
      </c>
      <c r="J12" s="26">
        <f>'Pipeline Co IS'!H35</f>
        <v>58440</v>
      </c>
      <c r="K12" s="26">
        <f>'Pipeline Co IS'!I35</f>
        <v>59970.15</v>
      </c>
      <c r="L12" s="26">
        <f>'Pipeline Co IS'!J35</f>
        <v>61515.601500000004</v>
      </c>
      <c r="M12" s="26">
        <f>'Pipeline Co IS'!K35</f>
        <v>63076.507514999998</v>
      </c>
      <c r="N12" s="26">
        <f>'Pipeline Co IS'!L35</f>
        <v>64653.022590150002</v>
      </c>
      <c r="O12" s="26">
        <f>'Pipeline Co IS'!M35</f>
        <v>66245.302816051495</v>
      </c>
      <c r="P12" s="26">
        <f>'Pipeline Co IS'!N35</f>
        <v>67853.505844212021</v>
      </c>
      <c r="Q12" s="26">
        <f>'Pipeline Co IS'!O35</f>
        <v>69477.790902654131</v>
      </c>
      <c r="R12" s="26">
        <f>'Pipeline Co IS'!P35</f>
        <v>71118.31881168067</v>
      </c>
      <c r="S12" s="26">
        <f>'Pipeline Co IS'!Q35</f>
        <v>72775.251999797489</v>
      </c>
      <c r="T12" s="45"/>
    </row>
    <row r="13" spans="1:20">
      <c r="A13" t="s">
        <v>594</v>
      </c>
      <c r="D13" s="665">
        <v>17000</v>
      </c>
      <c r="E13" s="665">
        <v>34000</v>
      </c>
      <c r="F13" s="665">
        <v>87000</v>
      </c>
      <c r="G13" s="876">
        <v>0</v>
      </c>
      <c r="H13" s="907">
        <v>0</v>
      </c>
      <c r="I13" s="26">
        <f>G13+H13</f>
        <v>0</v>
      </c>
      <c r="J13" s="26">
        <f>'Pipeline Co IS'!H154</f>
        <v>-29412.074999999997</v>
      </c>
      <c r="K13" s="26">
        <f>'Pipeline Co IS'!I154</f>
        <v>-3072.9353437006066</v>
      </c>
      <c r="L13" s="26">
        <f>'Pipeline Co IS'!J154</f>
        <v>368.96465629941667</v>
      </c>
      <c r="M13" s="26">
        <f>'Pipeline Co IS'!K154</f>
        <v>3810.8646562994109</v>
      </c>
      <c r="N13" s="26">
        <f>'Pipeline Co IS'!L154</f>
        <v>7252.764656299405</v>
      </c>
      <c r="O13" s="26">
        <f>'Pipeline Co IS'!M154</f>
        <v>10694.664656299428</v>
      </c>
      <c r="P13" s="26">
        <f>'Pipeline Co IS'!N154</f>
        <v>14136.564656299408</v>
      </c>
      <c r="Q13" s="26">
        <f>'Pipeline Co IS'!O154</f>
        <v>17578.464656299417</v>
      </c>
      <c r="R13" s="26">
        <f>'Pipeline Co IS'!P154</f>
        <v>21020.364656299425</v>
      </c>
      <c r="S13" s="26">
        <f>'Pipeline Co IS'!Q154</f>
        <v>24462.264656299405</v>
      </c>
      <c r="T13" s="45"/>
    </row>
    <row r="14" spans="1:20">
      <c r="A14" t="s">
        <v>553</v>
      </c>
      <c r="D14" s="665">
        <v>1000</v>
      </c>
      <c r="E14" s="665">
        <v>12000</v>
      </c>
      <c r="F14" s="665">
        <v>-7000</v>
      </c>
      <c r="G14" s="876">
        <v>0</v>
      </c>
      <c r="H14" s="983">
        <f>SUM('Pipeline Co BS'!I40:I42)</f>
        <v>-60000</v>
      </c>
      <c r="I14" s="26">
        <f>G14+H14</f>
        <v>-60000</v>
      </c>
      <c r="J14" s="26">
        <f>SUM('Pipeline Co BS'!K40:K42)-SUM('Pipeline Co BS'!J40:J42)</f>
        <v>0</v>
      </c>
      <c r="K14" s="26">
        <f>SUM('Pipeline Co BS'!L40:L42)-SUM('Pipeline Co BS'!K40:K42)</f>
        <v>0</v>
      </c>
      <c r="L14" s="26">
        <f>SUM('Pipeline Co BS'!M40:M42)-SUM('Pipeline Co BS'!L40:L42)</f>
        <v>0</v>
      </c>
      <c r="M14" s="26">
        <f>SUM('Pipeline Co BS'!N40:N42)-SUM('Pipeline Co BS'!M40:M42)</f>
        <v>0</v>
      </c>
      <c r="N14" s="26">
        <f>SUM('Pipeline Co BS'!O40:O42)-SUM('Pipeline Co BS'!N40:N42)</f>
        <v>0</v>
      </c>
      <c r="O14" s="26">
        <f>SUM('Pipeline Co BS'!P40:P42)-SUM('Pipeline Co BS'!O40:O42)</f>
        <v>0</v>
      </c>
      <c r="P14" s="26">
        <f>SUM('Pipeline Co BS'!Q40:Q42)-SUM('Pipeline Co BS'!P40:P42)</f>
        <v>0</v>
      </c>
      <c r="Q14" s="26">
        <f>SUM('Pipeline Co BS'!R40:R42)-SUM('Pipeline Co BS'!Q40:Q42)</f>
        <v>0</v>
      </c>
      <c r="R14" s="26">
        <f>SUM('Pipeline Co BS'!S40:S42)-SUM('Pipeline Co BS'!R40:R42)</f>
        <v>0</v>
      </c>
      <c r="S14" s="26">
        <f>SUM('Pipeline Co BS'!T40:T42)-SUM('Pipeline Co BS'!S40:S42)</f>
        <v>0</v>
      </c>
      <c r="T14" s="45"/>
    </row>
    <row r="15" spans="1:20" hidden="1" outlineLevel="1">
      <c r="A15" t="s">
        <v>590</v>
      </c>
      <c r="D15" s="665"/>
      <c r="E15" s="665"/>
      <c r="F15" s="665"/>
      <c r="G15" s="876"/>
      <c r="H15" s="90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45"/>
    </row>
    <row r="16" spans="1:20" hidden="1" outlineLevel="1">
      <c r="A16" t="s">
        <v>557</v>
      </c>
      <c r="D16" s="665"/>
      <c r="E16" s="665"/>
      <c r="F16" s="665"/>
      <c r="G16" s="876"/>
      <c r="H16" s="90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45"/>
    </row>
    <row r="17" spans="1:20" hidden="1" outlineLevel="1">
      <c r="A17" t="s">
        <v>558</v>
      </c>
      <c r="D17" s="665"/>
      <c r="E17" s="665"/>
      <c r="F17" s="665"/>
      <c r="G17" s="876"/>
      <c r="H17" s="90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45"/>
    </row>
    <row r="18" spans="1:20" hidden="1" outlineLevel="1">
      <c r="A18" t="s">
        <v>559</v>
      </c>
      <c r="D18" s="665"/>
      <c r="E18" s="665"/>
      <c r="F18" s="665"/>
      <c r="G18" s="876"/>
      <c r="H18" s="90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45"/>
    </row>
    <row r="19" spans="1:20" hidden="1" outlineLevel="1">
      <c r="A19" t="s">
        <v>560</v>
      </c>
      <c r="D19" s="665"/>
      <c r="E19" s="665"/>
      <c r="F19" s="665"/>
      <c r="G19" s="876"/>
      <c r="H19" s="90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45"/>
    </row>
    <row r="20" spans="1:20" hidden="1" outlineLevel="1">
      <c r="A20" t="s">
        <v>561</v>
      </c>
      <c r="D20" s="665"/>
      <c r="E20" s="665"/>
      <c r="F20" s="665"/>
      <c r="G20" s="876"/>
      <c r="H20" s="90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45"/>
    </row>
    <row r="21" spans="1:20" collapsed="1">
      <c r="A21" s="915" t="s">
        <v>583</v>
      </c>
      <c r="D21" s="665"/>
      <c r="E21" s="665"/>
      <c r="F21" s="665"/>
      <c r="G21" s="876"/>
      <c r="H21" s="90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45"/>
    </row>
    <row r="22" spans="1:20">
      <c r="A22" s="916" t="s">
        <v>584</v>
      </c>
      <c r="D22" s="665"/>
      <c r="E22" s="665"/>
      <c r="F22" s="665"/>
      <c r="G22" s="876"/>
      <c r="H22" s="907"/>
      <c r="I22" s="26"/>
      <c r="J22" s="26">
        <f>'Pipeline Co BS'!J12-'Pipeline Co BS'!K12</f>
        <v>-8750.1369863013679</v>
      </c>
      <c r="K22" s="26">
        <f>'Pipeline Co BS'!K12-'Pipeline Co BS'!L12</f>
        <v>-2248.0438356164377</v>
      </c>
      <c r="L22" s="26">
        <f>'Pipeline Co BS'!L12-'Pipeline Co BS'!M12</f>
        <v>-2280.7541917808412</v>
      </c>
      <c r="M22" s="26">
        <f>'Pipeline Co BS'!M12-'Pipeline Co BS'!N12</f>
        <v>-2314.0328219178191</v>
      </c>
      <c r="N22" s="26">
        <f>'Pipeline Co BS'!N12-'Pipeline Co BS'!O12</f>
        <v>-2347.8913293369405</v>
      </c>
      <c r="O22" s="26">
        <f>'Pipeline Co BS'!O12-'Pipeline Co BS'!P12</f>
        <v>-2382.3415847072902</v>
      </c>
      <c r="P22" s="26">
        <f>'Pipeline Co BS'!P12-'Pipeline Co BS'!Q12</f>
        <v>-2417.3957327445678</v>
      </c>
      <c r="Q22" s="26">
        <f>'Pipeline Co BS'!Q12-'Pipeline Co BS'!R12</f>
        <v>-2453.0661990758963</v>
      </c>
      <c r="R22" s="26">
        <f>'Pipeline Co BS'!R12-'Pipeline Co BS'!S12</f>
        <v>-2489.3656972855388</v>
      </c>
      <c r="S22" s="26">
        <f>'Pipeline Co BS'!S12-'Pipeline Co BS'!T12</f>
        <v>-2526.3072361476079</v>
      </c>
      <c r="T22" s="45"/>
    </row>
    <row r="23" spans="1:20">
      <c r="A23" s="916" t="s">
        <v>620</v>
      </c>
      <c r="D23" s="665"/>
      <c r="E23" s="665"/>
      <c r="F23" s="665"/>
      <c r="G23" s="876"/>
      <c r="H23" s="907"/>
      <c r="I23" s="26"/>
      <c r="J23" s="26">
        <f>'Pipeline Co BS'!J13-'Pipeline Co BS'!K13</f>
        <v>1683.5068493150684</v>
      </c>
      <c r="K23" s="26">
        <f>'Pipeline Co BS'!K13-'Pipeline Co BS'!L13</f>
        <v>-563.16493150684983</v>
      </c>
      <c r="L23" s="26">
        <f>'Pipeline Co BS'!L13-'Pipeline Co BS'!M13</f>
        <v>-568.79658082192327</v>
      </c>
      <c r="M23" s="26">
        <f>'Pipeline Co BS'!M13-'Pipeline Co BS'!N13</f>
        <v>-574.48454663012672</v>
      </c>
      <c r="N23" s="26">
        <f>'Pipeline Co BS'!N13-'Pipeline Co BS'!O13</f>
        <v>-580.22939209644392</v>
      </c>
      <c r="O23" s="26">
        <f>'Pipeline Co BS'!O13-'Pipeline Co BS'!P13</f>
        <v>-586.0316860173989</v>
      </c>
      <c r="P23" s="26">
        <f>'Pipeline Co BS'!P13-'Pipeline Co BS'!Q13</f>
        <v>-591.89200287758285</v>
      </c>
      <c r="Q23" s="26">
        <f>'Pipeline Co BS'!Q13-'Pipeline Co BS'!R13</f>
        <v>-597.8109229063557</v>
      </c>
      <c r="R23" s="26">
        <f>'Pipeline Co BS'!R13-'Pipeline Co BS'!S13</f>
        <v>-603.78903213541344</v>
      </c>
      <c r="S23" s="26">
        <f>'Pipeline Co BS'!S13-'Pipeline Co BS'!T13</f>
        <v>-609.82692245676299</v>
      </c>
      <c r="T23" s="45"/>
    </row>
    <row r="24" spans="1:20">
      <c r="A24" s="916" t="s">
        <v>585</v>
      </c>
      <c r="D24" s="665"/>
      <c r="E24" s="665"/>
      <c r="F24" s="665"/>
      <c r="G24" s="876"/>
      <c r="H24" s="907"/>
      <c r="I24" s="26"/>
      <c r="J24" s="26">
        <f>'Pipeline Co BS'!J14-'Pipeline Co BS'!K14</f>
        <v>-6537.6712328767062</v>
      </c>
      <c r="K24" s="26">
        <f>'Pipeline Co BS'!K14-'Pipeline Co BS'!L14</f>
        <v>-663.44178082191502</v>
      </c>
      <c r="L24" s="26">
        <f>'Pipeline Co BS'!L14-'Pipeline Co BS'!M14</f>
        <v>-680.02782534246217</v>
      </c>
      <c r="M24" s="26">
        <f>'Pipeline Co BS'!M14-'Pipeline Co BS'!N14</f>
        <v>-697.02852097602226</v>
      </c>
      <c r="N24" s="26">
        <f>'Pipeline Co BS'!N14-'Pipeline Co BS'!O14</f>
        <v>-714.45423400042637</v>
      </c>
      <c r="O24" s="26">
        <f>'Pipeline Co BS'!O14-'Pipeline Co BS'!P14</f>
        <v>-732.31558985043375</v>
      </c>
      <c r="P24" s="26">
        <f>'Pipeline Co BS'!P14-'Pipeline Co BS'!Q14</f>
        <v>-750.62347959669569</v>
      </c>
      <c r="Q24" s="26">
        <f>'Pipeline Co BS'!Q14-'Pipeline Co BS'!R14</f>
        <v>-769.38906658661654</v>
      </c>
      <c r="R24" s="26">
        <f>'Pipeline Co BS'!R14-'Pipeline Co BS'!S14</f>
        <v>-788.62379325128131</v>
      </c>
      <c r="S24" s="26">
        <f>'Pipeline Co BS'!S14-'Pipeline Co BS'!T14</f>
        <v>-808.33938808255698</v>
      </c>
      <c r="T24" s="45"/>
    </row>
    <row r="25" spans="1:20">
      <c r="A25" s="916" t="s">
        <v>586</v>
      </c>
      <c r="D25" s="665"/>
      <c r="E25" s="665"/>
      <c r="F25" s="665"/>
      <c r="G25" s="876"/>
      <c r="H25" s="907"/>
      <c r="I25" s="26"/>
      <c r="J25" s="26">
        <f>'Pipeline Co BS'!J17-'Pipeline Co BS'!K17</f>
        <v>0</v>
      </c>
      <c r="K25" s="26">
        <f>'Pipeline Co BS'!K17-'Pipeline Co BS'!L17</f>
        <v>0</v>
      </c>
      <c r="L25" s="26">
        <f>'Pipeline Co BS'!L17-'Pipeline Co BS'!M17</f>
        <v>0</v>
      </c>
      <c r="M25" s="26">
        <f>'Pipeline Co BS'!M17-'Pipeline Co BS'!N17</f>
        <v>0</v>
      </c>
      <c r="N25" s="26">
        <f>'Pipeline Co BS'!N17-'Pipeline Co BS'!O17</f>
        <v>0</v>
      </c>
      <c r="O25" s="26">
        <f>'Pipeline Co BS'!O17-'Pipeline Co BS'!P17</f>
        <v>0</v>
      </c>
      <c r="P25" s="26">
        <f>'Pipeline Co BS'!P17-'Pipeline Co BS'!Q17</f>
        <v>0</v>
      </c>
      <c r="Q25" s="26">
        <f>'Pipeline Co BS'!Q17-'Pipeline Co BS'!R17</f>
        <v>0</v>
      </c>
      <c r="R25" s="26">
        <f>'Pipeline Co BS'!R17-'Pipeline Co BS'!S17</f>
        <v>0</v>
      </c>
      <c r="S25" s="26">
        <f>'Pipeline Co BS'!S17-'Pipeline Co BS'!T17</f>
        <v>0</v>
      </c>
      <c r="T25" s="45"/>
    </row>
    <row r="26" spans="1:20">
      <c r="A26" s="917" t="s">
        <v>587</v>
      </c>
      <c r="D26" s="665"/>
      <c r="E26" s="665"/>
      <c r="F26" s="665"/>
      <c r="G26" s="876"/>
      <c r="H26" s="907"/>
      <c r="I26" s="26"/>
      <c r="J26" s="26">
        <f>'Pipeline Co BS'!K38-'Pipeline Co BS'!J38</f>
        <v>-6616.4383561643917</v>
      </c>
      <c r="K26" s="26">
        <f>'Pipeline Co BS'!L38-'Pipeline Co BS'!K38</f>
        <v>884.58904109588912</v>
      </c>
      <c r="L26" s="26">
        <f>'Pipeline Co BS'!M38-'Pipeline Co BS'!L38</f>
        <v>906.70376712328289</v>
      </c>
      <c r="M26" s="26">
        <f>'Pipeline Co BS'!N38-'Pipeline Co BS'!M38</f>
        <v>929.37136130136059</v>
      </c>
      <c r="N26" s="26">
        <f>'Pipeline Co BS'!O38-'Pipeline Co BS'!N38</f>
        <v>952.60564533389697</v>
      </c>
      <c r="O26" s="26">
        <f>'Pipeline Co BS'!P38-'Pipeline Co BS'!O38</f>
        <v>976.42078646724985</v>
      </c>
      <c r="P26" s="26">
        <f>'Pipeline Co BS'!Q38-'Pipeline Co BS'!P38</f>
        <v>1000.83130612893</v>
      </c>
      <c r="Q26" s="26">
        <f>'Pipeline Co BS'!R38-'Pipeline Co BS'!Q38</f>
        <v>1025.8520887821505</v>
      </c>
      <c r="R26" s="26">
        <f>'Pipeline Co BS'!S38-'Pipeline Co BS'!R38</f>
        <v>1051.4983910017108</v>
      </c>
      <c r="S26" s="26">
        <f>'Pipeline Co BS'!T38-'Pipeline Co BS'!S38</f>
        <v>1077.7858507767451</v>
      </c>
      <c r="T26" s="45"/>
    </row>
    <row r="27" spans="1:20">
      <c r="A27" s="917" t="s">
        <v>621</v>
      </c>
      <c r="D27" s="665"/>
      <c r="E27" s="665"/>
      <c r="F27" s="665"/>
      <c r="G27" s="876"/>
      <c r="H27" s="907"/>
      <c r="I27" s="26"/>
      <c r="J27" s="26">
        <f>'Pipeline Co BS'!K39-'Pipeline Co BS'!J39</f>
        <v>-11564.821917808207</v>
      </c>
      <c r="K27" s="26">
        <f>'Pipeline Co BS'!L39-'Pipeline Co BS'!K39</f>
        <v>774.35178082191851</v>
      </c>
      <c r="L27" s="26">
        <f>'Pipeline Co BS'!M39-'Pipeline Co BS'!L39</f>
        <v>782.09529863012722</v>
      </c>
      <c r="M27" s="26">
        <f>'Pipeline Co BS'!N39-'Pipeline Co BS'!M39</f>
        <v>789.91625161643606</v>
      </c>
      <c r="N27" s="26">
        <f>'Pipeline Co BS'!O39-'Pipeline Co BS'!N39</f>
        <v>797.81541413260857</v>
      </c>
      <c r="O27" s="26">
        <f>'Pipeline Co BS'!P39-'Pipeline Co BS'!O39</f>
        <v>805.79356827391894</v>
      </c>
      <c r="P27" s="26">
        <f>'Pipeline Co BS'!Q39-'Pipeline Co BS'!P39</f>
        <v>813.85150395667006</v>
      </c>
      <c r="Q27" s="26">
        <f>'Pipeline Co BS'!R39-'Pipeline Co BS'!Q39</f>
        <v>821.99001899625</v>
      </c>
      <c r="R27" s="26">
        <f>'Pipeline Co BS'!S39-'Pipeline Co BS'!R39</f>
        <v>830.20991918619256</v>
      </c>
      <c r="S27" s="26">
        <f>'Pipeline Co BS'!T39-'Pipeline Co BS'!S39</f>
        <v>838.51201837805274</v>
      </c>
      <c r="T27" s="45"/>
    </row>
    <row r="28" spans="1:20">
      <c r="A28" s="917" t="s">
        <v>588</v>
      </c>
      <c r="D28" s="665"/>
      <c r="E28" s="665"/>
      <c r="F28" s="665"/>
      <c r="G28" s="876"/>
      <c r="H28" s="907"/>
      <c r="I28" s="939"/>
      <c r="J28" s="26">
        <f>'Pipeline Co BS'!K43-'Pipeline Co BS'!J43</f>
        <v>0</v>
      </c>
      <c r="K28" s="26">
        <f>'Pipeline Co BS'!L43-'Pipeline Co BS'!K43</f>
        <v>0</v>
      </c>
      <c r="L28" s="26">
        <f>'Pipeline Co BS'!M43-'Pipeline Co BS'!L43</f>
        <v>0</v>
      </c>
      <c r="M28" s="26">
        <f>'Pipeline Co BS'!N43-'Pipeline Co BS'!M43</f>
        <v>0</v>
      </c>
      <c r="N28" s="26">
        <f>'Pipeline Co BS'!O43-'Pipeline Co BS'!N43</f>
        <v>0</v>
      </c>
      <c r="O28" s="26">
        <f>'Pipeline Co BS'!P43-'Pipeline Co BS'!O43</f>
        <v>0</v>
      </c>
      <c r="P28" s="26">
        <f>'Pipeline Co BS'!Q43-'Pipeline Co BS'!P43</f>
        <v>0</v>
      </c>
      <c r="Q28" s="26">
        <f>'Pipeline Co BS'!R43-'Pipeline Co BS'!Q43</f>
        <v>0</v>
      </c>
      <c r="R28" s="26">
        <f>'Pipeline Co BS'!S43-'Pipeline Co BS'!R43</f>
        <v>0</v>
      </c>
      <c r="S28" s="26">
        <f>'Pipeline Co BS'!T43-'Pipeline Co BS'!S43</f>
        <v>0</v>
      </c>
      <c r="T28" s="45"/>
    </row>
    <row r="29" spans="1:20">
      <c r="A29" s="915" t="s">
        <v>589</v>
      </c>
      <c r="D29" s="918">
        <v>4000</v>
      </c>
      <c r="E29" s="918">
        <v>22000</v>
      </c>
      <c r="F29" s="918">
        <v>-35000</v>
      </c>
      <c r="G29" s="923">
        <v>0</v>
      </c>
      <c r="H29" s="919">
        <v>0</v>
      </c>
      <c r="I29" s="26">
        <f>G29+H29</f>
        <v>0</v>
      </c>
      <c r="J29" s="920">
        <f>SUM(J22:J28)</f>
        <v>-31785.561643835605</v>
      </c>
      <c r="K29" s="920">
        <f t="shared" ref="K29:S29" si="0">SUM(K22:K28)</f>
        <v>-1815.7097260273949</v>
      </c>
      <c r="L29" s="920">
        <f t="shared" si="0"/>
        <v>-1840.7795321918165</v>
      </c>
      <c r="M29" s="920">
        <f t="shared" si="0"/>
        <v>-1866.2582766061714</v>
      </c>
      <c r="N29" s="920">
        <f t="shared" si="0"/>
        <v>-1892.1538959673053</v>
      </c>
      <c r="O29" s="920">
        <f t="shared" si="0"/>
        <v>-1918.474505833954</v>
      </c>
      <c r="P29" s="920">
        <f t="shared" si="0"/>
        <v>-1945.2284051332463</v>
      </c>
      <c r="Q29" s="920">
        <f t="shared" si="0"/>
        <v>-1972.424080790468</v>
      </c>
      <c r="R29" s="920">
        <f t="shared" si="0"/>
        <v>-2000.0702124843301</v>
      </c>
      <c r="S29" s="920">
        <f t="shared" si="0"/>
        <v>-2028.1756775321301</v>
      </c>
      <c r="T29" s="45"/>
    </row>
    <row r="30" spans="1:20">
      <c r="A30" s="6" t="s">
        <v>554</v>
      </c>
      <c r="D30" s="862">
        <f>D29+SUM(D11:D20)</f>
        <v>174000</v>
      </c>
      <c r="E30" s="862">
        <f>E29+SUM(E11:E20)</f>
        <v>200000</v>
      </c>
      <c r="F30" s="862">
        <f>F29+SUM(F11:F20)</f>
        <v>174000</v>
      </c>
      <c r="G30" s="924">
        <f>G29+SUM(G11:G20)</f>
        <v>170000</v>
      </c>
      <c r="H30" s="903"/>
      <c r="I30" s="941">
        <f>SUM(I11:I20)+I29</f>
        <v>110000</v>
      </c>
      <c r="J30" s="941">
        <f t="shared" ref="J30:S30" si="1">SUM(J11:J20)+J29</f>
        <v>123236.31335616439</v>
      </c>
      <c r="K30" s="941">
        <f t="shared" si="1"/>
        <v>186658.78293027196</v>
      </c>
      <c r="L30" s="941">
        <f t="shared" si="1"/>
        <v>197174.7392128577</v>
      </c>
      <c r="M30" s="941">
        <f t="shared" si="1"/>
        <v>207675.00121544962</v>
      </c>
      <c r="N30" s="941">
        <f t="shared" si="1"/>
        <v>218158.59828544862</v>
      </c>
      <c r="O30" s="941">
        <f t="shared" si="1"/>
        <v>228624.52952054955</v>
      </c>
      <c r="P30" s="941">
        <f t="shared" si="1"/>
        <v>239071.7629590602</v>
      </c>
      <c r="Q30" s="941">
        <f t="shared" si="1"/>
        <v>249499.23474988551</v>
      </c>
      <c r="R30" s="941">
        <f t="shared" si="1"/>
        <v>259905.84830168361</v>
      </c>
      <c r="S30" s="941">
        <f t="shared" si="1"/>
        <v>270290.47341069166</v>
      </c>
      <c r="T30" s="45"/>
    </row>
    <row r="31" spans="1:20">
      <c r="A31" s="6"/>
      <c r="D31" s="650"/>
      <c r="E31" s="650"/>
      <c r="F31" s="650"/>
      <c r="G31" s="925"/>
      <c r="H31" s="697"/>
      <c r="J31" s="529"/>
      <c r="K31" s="529"/>
      <c r="L31" s="529"/>
      <c r="M31" s="529"/>
      <c r="N31" s="529"/>
      <c r="O31" s="529"/>
      <c r="P31" s="529"/>
      <c r="Q31" s="529"/>
      <c r="R31" s="529"/>
      <c r="S31" s="529"/>
      <c r="T31" s="45"/>
    </row>
    <row r="32" spans="1:20">
      <c r="A32" s="6" t="s">
        <v>555</v>
      </c>
      <c r="D32" s="16"/>
      <c r="E32" s="16"/>
      <c r="F32" s="16"/>
      <c r="G32" s="926"/>
      <c r="H32" s="697"/>
      <c r="T32" s="45"/>
    </row>
    <row r="33" spans="1:20">
      <c r="A33" s="892" t="s">
        <v>562</v>
      </c>
      <c r="D33" s="665">
        <v>0</v>
      </c>
      <c r="E33" s="665">
        <v>-1900000</v>
      </c>
      <c r="F33" s="665">
        <v>0</v>
      </c>
      <c r="G33" s="876">
        <v>0</v>
      </c>
      <c r="H33" s="907">
        <v>0</v>
      </c>
      <c r="I33" s="26">
        <f>G33+H33</f>
        <v>0</v>
      </c>
      <c r="J33" s="26">
        <f>G33</f>
        <v>0</v>
      </c>
      <c r="K33" s="26">
        <f>H33</f>
        <v>0</v>
      </c>
      <c r="L33" s="26">
        <f t="shared" ref="L33:S33" si="2">J33</f>
        <v>0</v>
      </c>
      <c r="M33" s="26">
        <f t="shared" si="2"/>
        <v>0</v>
      </c>
      <c r="N33" s="26">
        <f t="shared" si="2"/>
        <v>0</v>
      </c>
      <c r="O33" s="26">
        <f t="shared" si="2"/>
        <v>0</v>
      </c>
      <c r="P33" s="26">
        <f t="shared" si="2"/>
        <v>0</v>
      </c>
      <c r="Q33" s="26">
        <f t="shared" si="2"/>
        <v>0</v>
      </c>
      <c r="R33" s="26">
        <f t="shared" si="2"/>
        <v>0</v>
      </c>
      <c r="S33" s="26">
        <f t="shared" si="2"/>
        <v>0</v>
      </c>
      <c r="T33" s="45"/>
    </row>
    <row r="34" spans="1:20">
      <c r="A34" s="895" t="s">
        <v>563</v>
      </c>
      <c r="D34" s="665">
        <f>D69</f>
        <v>-85000</v>
      </c>
      <c r="E34" s="665">
        <f>E69</f>
        <v>-57000</v>
      </c>
      <c r="F34" s="665">
        <f>F69</f>
        <v>-129000</v>
      </c>
      <c r="G34" s="665">
        <f>G69</f>
        <v>-60000</v>
      </c>
      <c r="H34" s="907">
        <v>0</v>
      </c>
      <c r="I34" s="26">
        <f>G34+H34</f>
        <v>-60000</v>
      </c>
      <c r="J34" s="26">
        <f>J69</f>
        <v>-60600</v>
      </c>
      <c r="K34" s="26">
        <f t="shared" ref="K34:S34" si="3">K69</f>
        <v>-61206</v>
      </c>
      <c r="L34" s="26">
        <f t="shared" si="3"/>
        <v>-61818.06</v>
      </c>
      <c r="M34" s="26">
        <f t="shared" si="3"/>
        <v>-62436.240599999997</v>
      </c>
      <c r="N34" s="26">
        <f t="shared" si="3"/>
        <v>-63060.603005999998</v>
      </c>
      <c r="O34" s="26">
        <f t="shared" si="3"/>
        <v>-63691.209036059998</v>
      </c>
      <c r="P34" s="26">
        <f t="shared" si="3"/>
        <v>-64328.121126420599</v>
      </c>
      <c r="Q34" s="26">
        <f t="shared" si="3"/>
        <v>-64971.402337684805</v>
      </c>
      <c r="R34" s="26">
        <f t="shared" si="3"/>
        <v>-65621.11636106165</v>
      </c>
      <c r="S34" s="26">
        <f t="shared" si="3"/>
        <v>-66277.327524672262</v>
      </c>
      <c r="T34" s="45"/>
    </row>
    <row r="35" spans="1:20">
      <c r="A35" s="895" t="s">
        <v>564</v>
      </c>
      <c r="D35" s="665">
        <v>-106000</v>
      </c>
      <c r="E35" s="665">
        <v>-17000</v>
      </c>
      <c r="F35" s="665">
        <v>0</v>
      </c>
      <c r="G35" s="876">
        <v>0</v>
      </c>
      <c r="H35" s="907">
        <v>0</v>
      </c>
      <c r="I35" s="26">
        <f>G35+H35</f>
        <v>0</v>
      </c>
      <c r="J35" s="26">
        <f>G35</f>
        <v>0</v>
      </c>
      <c r="K35" s="26">
        <f>H35</f>
        <v>0</v>
      </c>
      <c r="L35" s="26">
        <f t="shared" ref="L35:S35" si="4">J35</f>
        <v>0</v>
      </c>
      <c r="M35" s="26">
        <f t="shared" si="4"/>
        <v>0</v>
      </c>
      <c r="N35" s="26">
        <f t="shared" si="4"/>
        <v>0</v>
      </c>
      <c r="O35" s="26">
        <f t="shared" si="4"/>
        <v>0</v>
      </c>
      <c r="P35" s="26">
        <f t="shared" si="4"/>
        <v>0</v>
      </c>
      <c r="Q35" s="26">
        <f t="shared" si="4"/>
        <v>0</v>
      </c>
      <c r="R35" s="26">
        <f t="shared" si="4"/>
        <v>0</v>
      </c>
      <c r="S35" s="26">
        <f t="shared" si="4"/>
        <v>0</v>
      </c>
      <c r="T35" s="45"/>
    </row>
    <row r="36" spans="1:20">
      <c r="A36" s="895" t="s">
        <v>565</v>
      </c>
      <c r="D36" s="665">
        <v>17000</v>
      </c>
      <c r="E36" s="665">
        <v>-1000</v>
      </c>
      <c r="F36" s="665">
        <v>-1000</v>
      </c>
      <c r="G36" s="876">
        <v>0</v>
      </c>
      <c r="H36" s="907">
        <v>0</v>
      </c>
      <c r="I36" s="26">
        <f>G36+H36</f>
        <v>0</v>
      </c>
      <c r="J36" s="26">
        <f>'Pipeline Co BS'!K16-'Pipeline Co BS'!J16</f>
        <v>0</v>
      </c>
      <c r="K36" s="26">
        <f>'Pipeline Co BS'!L16-'Pipeline Co BS'!K16</f>
        <v>0</v>
      </c>
      <c r="L36" s="26">
        <f>'Pipeline Co BS'!M16-'Pipeline Co BS'!L16</f>
        <v>0</v>
      </c>
      <c r="M36" s="26">
        <f>'Pipeline Co BS'!N16-'Pipeline Co BS'!M16</f>
        <v>0</v>
      </c>
      <c r="N36" s="26">
        <f>'Pipeline Co BS'!O16-'Pipeline Co BS'!N16</f>
        <v>0</v>
      </c>
      <c r="O36" s="26">
        <f>'Pipeline Co BS'!P16-'Pipeline Co BS'!O16</f>
        <v>0</v>
      </c>
      <c r="P36" s="26">
        <f>'Pipeline Co BS'!Q16-'Pipeline Co BS'!P16</f>
        <v>0</v>
      </c>
      <c r="Q36" s="26">
        <f>'Pipeline Co BS'!R16-'Pipeline Co BS'!Q16</f>
        <v>0</v>
      </c>
      <c r="R36" s="26">
        <f>'Pipeline Co BS'!S16-'Pipeline Co BS'!R16</f>
        <v>0</v>
      </c>
      <c r="S36" s="26">
        <f>'Pipeline Co BS'!T16-'Pipeline Co BS'!S16</f>
        <v>0</v>
      </c>
      <c r="T36" s="45"/>
    </row>
    <row r="37" spans="1:20" hidden="1" outlineLevel="1">
      <c r="A37" s="891" t="s">
        <v>566</v>
      </c>
      <c r="D37" s="665"/>
      <c r="E37" s="665"/>
      <c r="F37" s="665"/>
      <c r="G37" s="876"/>
      <c r="H37" s="907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45"/>
    </row>
    <row r="38" spans="1:20" hidden="1" outlineLevel="1">
      <c r="A38" s="891" t="s">
        <v>567</v>
      </c>
      <c r="D38" s="665"/>
      <c r="E38" s="665"/>
      <c r="F38" s="665"/>
      <c r="G38" s="876"/>
      <c r="H38" s="907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45"/>
    </row>
    <row r="39" spans="1:20" hidden="1" outlineLevel="1">
      <c r="A39" s="891" t="s">
        <v>568</v>
      </c>
      <c r="D39" s="665"/>
      <c r="E39" s="665"/>
      <c r="F39" s="665"/>
      <c r="G39" s="876"/>
      <c r="H39" s="907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45"/>
    </row>
    <row r="40" spans="1:20" hidden="1" outlineLevel="1">
      <c r="A40" s="891" t="s">
        <v>569</v>
      </c>
      <c r="D40" s="665"/>
      <c r="E40" s="665"/>
      <c r="F40" s="665"/>
      <c r="G40" s="876"/>
      <c r="H40" s="907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45"/>
    </row>
    <row r="41" spans="1:20" hidden="1" outlineLevel="1">
      <c r="A41" s="891" t="s">
        <v>570</v>
      </c>
      <c r="D41" s="665"/>
      <c r="E41" s="665"/>
      <c r="F41" s="665"/>
      <c r="G41" s="876"/>
      <c r="H41" s="907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45"/>
    </row>
    <row r="42" spans="1:20" hidden="1" outlineLevel="1">
      <c r="A42" s="891" t="s">
        <v>571</v>
      </c>
      <c r="D42" s="665"/>
      <c r="E42" s="665"/>
      <c r="F42" s="665"/>
      <c r="G42" s="876"/>
      <c r="H42" s="907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45"/>
    </row>
    <row r="43" spans="1:20" collapsed="1">
      <c r="A43" s="662" t="s">
        <v>556</v>
      </c>
      <c r="D43" s="861">
        <f>SUM(D33:D42)</f>
        <v>-174000</v>
      </c>
      <c r="E43" s="861">
        <f>SUM(E33:E42)</f>
        <v>-1975000</v>
      </c>
      <c r="F43" s="861">
        <f>SUM(F33:F42)</f>
        <v>-130000</v>
      </c>
      <c r="G43" s="927">
        <f>SUM(G33:G42)</f>
        <v>-60000</v>
      </c>
      <c r="H43" s="903"/>
      <c r="I43" s="909">
        <f>SUM(I33:I42)</f>
        <v>-60000</v>
      </c>
      <c r="J43" s="909">
        <f t="shared" ref="J43:S43" si="5">SUM(J33:J42)</f>
        <v>-60600</v>
      </c>
      <c r="K43" s="909">
        <f t="shared" si="5"/>
        <v>-61206</v>
      </c>
      <c r="L43" s="909">
        <f t="shared" si="5"/>
        <v>-61818.06</v>
      </c>
      <c r="M43" s="909">
        <f t="shared" si="5"/>
        <v>-62436.240599999997</v>
      </c>
      <c r="N43" s="909">
        <f t="shared" si="5"/>
        <v>-63060.603005999998</v>
      </c>
      <c r="O43" s="909">
        <f t="shared" si="5"/>
        <v>-63691.209036059998</v>
      </c>
      <c r="P43" s="909">
        <f t="shared" si="5"/>
        <v>-64328.121126420599</v>
      </c>
      <c r="Q43" s="909">
        <f t="shared" si="5"/>
        <v>-64971.402337684805</v>
      </c>
      <c r="R43" s="909">
        <f t="shared" si="5"/>
        <v>-65621.11636106165</v>
      </c>
      <c r="S43" s="909">
        <f t="shared" si="5"/>
        <v>-66277.327524672262</v>
      </c>
      <c r="T43" s="45"/>
    </row>
    <row r="44" spans="1:20">
      <c r="A44" s="662"/>
      <c r="D44" s="249"/>
      <c r="E44" s="913"/>
      <c r="F44" s="913"/>
      <c r="G44" s="928"/>
      <c r="H44" s="697"/>
      <c r="J44" s="922"/>
      <c r="K44" s="922"/>
      <c r="L44" s="922"/>
      <c r="M44" s="35"/>
      <c r="N44" s="35"/>
      <c r="O44" s="35"/>
      <c r="P44" s="35"/>
      <c r="Q44" s="35"/>
      <c r="R44" s="35"/>
      <c r="S44" s="35"/>
      <c r="T44" s="45"/>
    </row>
    <row r="45" spans="1:20">
      <c r="A45" s="662" t="s">
        <v>572</v>
      </c>
      <c r="D45" s="16"/>
      <c r="E45" s="16"/>
      <c r="F45" s="16"/>
      <c r="G45" s="926"/>
      <c r="H45" s="697"/>
      <c r="T45" s="45"/>
    </row>
    <row r="46" spans="1:20">
      <c r="A46" s="914" t="s">
        <v>573</v>
      </c>
      <c r="D46" s="665">
        <v>0</v>
      </c>
      <c r="E46" s="665">
        <v>1116000</v>
      </c>
      <c r="F46" s="665">
        <v>0</v>
      </c>
      <c r="G46" s="665">
        <v>105000</v>
      </c>
      <c r="H46" s="907">
        <v>0</v>
      </c>
      <c r="I46" s="26">
        <f>G46+H46</f>
        <v>105000</v>
      </c>
      <c r="J46" s="26">
        <f>'Pipeline Co BS'!K63-'Pipeline Co BS'!J63</f>
        <v>0</v>
      </c>
      <c r="K46" s="26">
        <f>'Pipeline Co BS'!L63-'Pipeline Co BS'!K63</f>
        <v>0</v>
      </c>
      <c r="L46" s="26">
        <f>'Pipeline Co BS'!M63-'Pipeline Co BS'!L63</f>
        <v>0</v>
      </c>
      <c r="M46" s="26">
        <f>'Pipeline Co BS'!N63-'Pipeline Co BS'!M63</f>
        <v>0</v>
      </c>
      <c r="N46" s="26">
        <f>'Pipeline Co BS'!O63-'Pipeline Co BS'!N63</f>
        <v>0</v>
      </c>
      <c r="O46" s="26">
        <f>'Pipeline Co BS'!P63-'Pipeline Co BS'!O63</f>
        <v>0</v>
      </c>
      <c r="P46" s="26">
        <f>'Pipeline Co BS'!Q63-'Pipeline Co BS'!P63</f>
        <v>0</v>
      </c>
      <c r="Q46" s="26">
        <f>'Pipeline Co BS'!R63-'Pipeline Co BS'!Q63</f>
        <v>0</v>
      </c>
      <c r="R46" s="26">
        <f>'Pipeline Co BS'!S63-'Pipeline Co BS'!R63</f>
        <v>0</v>
      </c>
      <c r="S46" s="26">
        <f>'Pipeline Co BS'!T63-'Pipeline Co BS'!S63</f>
        <v>0</v>
      </c>
      <c r="T46" s="45"/>
    </row>
    <row r="47" spans="1:20">
      <c r="A47" s="914" t="s">
        <v>619</v>
      </c>
      <c r="D47" s="665">
        <v>0</v>
      </c>
      <c r="E47" s="665">
        <v>785000</v>
      </c>
      <c r="F47" s="665">
        <v>99000</v>
      </c>
      <c r="G47" s="665">
        <v>-1000</v>
      </c>
      <c r="H47" s="907">
        <v>0</v>
      </c>
      <c r="I47" s="26">
        <f>G47+H47</f>
        <v>-1000</v>
      </c>
      <c r="J47" s="26">
        <f>'Pipeline Co BS'!K50-'Pipeline Co BS'!J50</f>
        <v>-119200</v>
      </c>
      <c r="K47" s="26">
        <f>'Pipeline Co BS'!L50-'Pipeline Co BS'!K50</f>
        <v>-119200</v>
      </c>
      <c r="L47" s="26">
        <f>'Pipeline Co BS'!M50-'Pipeline Co BS'!L50</f>
        <v>-119200</v>
      </c>
      <c r="M47" s="26">
        <f>'Pipeline Co BS'!N50-'Pipeline Co BS'!M50</f>
        <v>-119200</v>
      </c>
      <c r="N47" s="26">
        <f>'Pipeline Co BS'!O50-'Pipeline Co BS'!N50</f>
        <v>-119200</v>
      </c>
      <c r="O47" s="26">
        <f>'Pipeline Co BS'!P50-'Pipeline Co BS'!O50</f>
        <v>-119200</v>
      </c>
      <c r="P47" s="26">
        <f>'Pipeline Co BS'!Q50-'Pipeline Co BS'!P50</f>
        <v>-119200</v>
      </c>
      <c r="Q47" s="26">
        <f>'Pipeline Co BS'!R50-'Pipeline Co BS'!Q50</f>
        <v>-119200</v>
      </c>
      <c r="R47" s="26">
        <f>'Pipeline Co BS'!S50-'Pipeline Co BS'!R50</f>
        <v>-119200</v>
      </c>
      <c r="S47" s="26">
        <f>'Pipeline Co BS'!T50-'Pipeline Co BS'!S50</f>
        <v>-119200</v>
      </c>
      <c r="T47" s="45"/>
    </row>
    <row r="48" spans="1:20">
      <c r="A48" s="914" t="s">
        <v>574</v>
      </c>
      <c r="D48" s="665">
        <v>0</v>
      </c>
      <c r="E48" s="665">
        <v>-85000</v>
      </c>
      <c r="F48" s="665">
        <v>-77000</v>
      </c>
      <c r="G48" s="665">
        <v>-148000</v>
      </c>
      <c r="H48" s="907">
        <v>310000</v>
      </c>
      <c r="I48" s="26">
        <f>G48+H48</f>
        <v>162000</v>
      </c>
      <c r="T48" s="45"/>
    </row>
    <row r="49" spans="1:20">
      <c r="A49" s="890" t="s">
        <v>575</v>
      </c>
      <c r="D49" s="665">
        <v>0</v>
      </c>
      <c r="E49" s="665">
        <v>-41000</v>
      </c>
      <c r="F49" s="665">
        <v>-66000</v>
      </c>
      <c r="G49" s="665">
        <v>-66000</v>
      </c>
      <c r="H49" s="907">
        <v>0</v>
      </c>
      <c r="I49" s="26">
        <f>G49+H49</f>
        <v>-66000</v>
      </c>
      <c r="J49" s="26">
        <f>I49</f>
        <v>-66000</v>
      </c>
      <c r="K49" s="26">
        <f t="shared" ref="K49:S49" si="6">J49</f>
        <v>-66000</v>
      </c>
      <c r="L49" s="26">
        <f t="shared" si="6"/>
        <v>-66000</v>
      </c>
      <c r="M49" s="26">
        <f t="shared" si="6"/>
        <v>-66000</v>
      </c>
      <c r="N49" s="26">
        <f t="shared" si="6"/>
        <v>-66000</v>
      </c>
      <c r="O49" s="26">
        <f t="shared" si="6"/>
        <v>-66000</v>
      </c>
      <c r="P49" s="26">
        <f t="shared" si="6"/>
        <v>-66000</v>
      </c>
      <c r="Q49" s="26">
        <f t="shared" si="6"/>
        <v>-66000</v>
      </c>
      <c r="R49" s="26">
        <f t="shared" si="6"/>
        <v>-66000</v>
      </c>
      <c r="S49" s="26">
        <f t="shared" si="6"/>
        <v>-66000</v>
      </c>
      <c r="T49" s="45"/>
    </row>
    <row r="50" spans="1:20">
      <c r="A50" s="892" t="s">
        <v>576</v>
      </c>
      <c r="D50" s="665"/>
      <c r="E50" s="665"/>
      <c r="F50" s="665"/>
      <c r="G50" s="665"/>
      <c r="H50" s="90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45"/>
    </row>
    <row r="51" spans="1:20" outlineLevel="1">
      <c r="A51" s="892" t="s">
        <v>577</v>
      </c>
      <c r="D51" s="665"/>
      <c r="E51" s="665"/>
      <c r="F51" s="665"/>
      <c r="G51" s="876"/>
      <c r="H51" s="907"/>
      <c r="T51" s="45"/>
    </row>
    <row r="52" spans="1:20" outlineLevel="1">
      <c r="A52" s="892" t="s">
        <v>578</v>
      </c>
      <c r="D52" s="665"/>
      <c r="E52" s="665"/>
      <c r="F52" s="665"/>
      <c r="G52" s="876"/>
      <c r="H52" s="907"/>
      <c r="T52" s="45"/>
    </row>
    <row r="53" spans="1:20" outlineLevel="1">
      <c r="A53" s="892" t="s">
        <v>579</v>
      </c>
      <c r="D53" s="665"/>
      <c r="E53" s="665"/>
      <c r="F53" s="665"/>
      <c r="G53" s="876"/>
      <c r="H53" s="907"/>
      <c r="T53" s="45"/>
    </row>
    <row r="54" spans="1:20" outlineLevel="1">
      <c r="A54" s="892" t="s">
        <v>580</v>
      </c>
      <c r="D54" s="665"/>
      <c r="E54" s="665"/>
      <c r="F54" s="665"/>
      <c r="G54" s="876"/>
      <c r="H54" s="907"/>
      <c r="T54" s="45"/>
    </row>
    <row r="55" spans="1:20" outlineLevel="1">
      <c r="A55" s="892" t="s">
        <v>581</v>
      </c>
      <c r="D55" s="665"/>
      <c r="E55" s="665"/>
      <c r="F55" s="665"/>
      <c r="G55" s="876"/>
      <c r="H55" s="907"/>
      <c r="T55" s="45"/>
    </row>
    <row r="56" spans="1:20">
      <c r="A56" s="389" t="s">
        <v>582</v>
      </c>
      <c r="D56" s="861">
        <f>SUM(D46:D55)</f>
        <v>0</v>
      </c>
      <c r="E56" s="861">
        <f>SUM(E46:E55)</f>
        <v>1775000</v>
      </c>
      <c r="F56" s="861">
        <f>SUM(F46:F55)</f>
        <v>-44000</v>
      </c>
      <c r="G56" s="927">
        <f>SUM(G46:G55)</f>
        <v>-110000</v>
      </c>
      <c r="H56" s="903"/>
      <c r="I56" s="909">
        <f>SUM(I46:I55)</f>
        <v>200000</v>
      </c>
      <c r="J56" s="909">
        <f t="shared" ref="J56:S56" si="7">SUM(J46:J55)</f>
        <v>-185200</v>
      </c>
      <c r="K56" s="909">
        <f t="shared" si="7"/>
        <v>-185200</v>
      </c>
      <c r="L56" s="909">
        <f t="shared" si="7"/>
        <v>-185200</v>
      </c>
      <c r="M56" s="909">
        <f t="shared" si="7"/>
        <v>-185200</v>
      </c>
      <c r="N56" s="909">
        <f t="shared" si="7"/>
        <v>-185200</v>
      </c>
      <c r="O56" s="909">
        <f t="shared" si="7"/>
        <v>-185200</v>
      </c>
      <c r="P56" s="909">
        <f t="shared" si="7"/>
        <v>-185200</v>
      </c>
      <c r="Q56" s="909">
        <f t="shared" si="7"/>
        <v>-185200</v>
      </c>
      <c r="R56" s="909">
        <f t="shared" si="7"/>
        <v>-185200</v>
      </c>
      <c r="S56" s="909">
        <f t="shared" si="7"/>
        <v>-185200</v>
      </c>
      <c r="T56" s="45"/>
    </row>
    <row r="57" spans="1:20">
      <c r="D57" s="16"/>
      <c r="E57" s="16"/>
      <c r="F57" s="16"/>
      <c r="G57" s="926"/>
      <c r="H57" s="901"/>
    </row>
    <row r="58" spans="1:20" ht="13.5" thickBot="1">
      <c r="A58" s="921" t="s">
        <v>591</v>
      </c>
      <c r="D58" s="858">
        <f>D30+D43+D56</f>
        <v>0</v>
      </c>
      <c r="E58" s="858">
        <f>E30+E43+E56</f>
        <v>0</v>
      </c>
      <c r="F58" s="858">
        <f>F30+F43+F56</f>
        <v>0</v>
      </c>
      <c r="G58" s="929">
        <f>G30+G43+G56</f>
        <v>0</v>
      </c>
      <c r="H58" s="980"/>
      <c r="I58" s="979">
        <f t="shared" ref="I58:S58" si="8">I30+I43+I56</f>
        <v>250000</v>
      </c>
      <c r="J58" s="978">
        <f t="shared" si="8"/>
        <v>-122563.68664383561</v>
      </c>
      <c r="K58" s="978">
        <f t="shared" si="8"/>
        <v>-59747.217069728038</v>
      </c>
      <c r="L58" s="978">
        <f t="shared" si="8"/>
        <v>-49843.320787142293</v>
      </c>
      <c r="M58" s="978">
        <f t="shared" si="8"/>
        <v>-39961.239384550368</v>
      </c>
      <c r="N58" s="978">
        <f t="shared" si="8"/>
        <v>-30102.004720551369</v>
      </c>
      <c r="O58" s="978">
        <f t="shared" si="8"/>
        <v>-20266.679515510448</v>
      </c>
      <c r="P58" s="978">
        <f t="shared" si="8"/>
        <v>-10456.358167360391</v>
      </c>
      <c r="Q58" s="978">
        <f t="shared" si="8"/>
        <v>-672.16758779931115</v>
      </c>
      <c r="R58" s="978">
        <f t="shared" si="8"/>
        <v>9084.7319406219758</v>
      </c>
      <c r="S58" s="978">
        <f t="shared" si="8"/>
        <v>18813.145886019396</v>
      </c>
    </row>
    <row r="59" spans="1:20" ht="13.5" thickTop="1">
      <c r="D59" s="16"/>
      <c r="E59" s="16"/>
      <c r="F59" s="16"/>
      <c r="G59" s="926"/>
      <c r="H59" s="697"/>
    </row>
    <row r="60" spans="1:20">
      <c r="A60" s="6" t="s">
        <v>592</v>
      </c>
      <c r="D60" s="864">
        <v>0</v>
      </c>
      <c r="E60" s="864">
        <f>'Pipeline Co BS'!D11</f>
        <v>0</v>
      </c>
      <c r="F60" s="864">
        <f>'Pipeline Co BS'!E11</f>
        <v>0</v>
      </c>
      <c r="G60" s="930">
        <f>'Pipeline Co BS'!F11</f>
        <v>0</v>
      </c>
      <c r="H60" s="903"/>
      <c r="I60" s="981">
        <f>G62</f>
        <v>0</v>
      </c>
      <c r="J60" s="909">
        <f>I62</f>
        <v>250000</v>
      </c>
      <c r="K60" s="909">
        <f t="shared" ref="K60:S60" si="9">J62</f>
        <v>127436.31335616439</v>
      </c>
      <c r="L60" s="909">
        <f t="shared" si="9"/>
        <v>67689.096286436354</v>
      </c>
      <c r="M60" s="909">
        <f t="shared" si="9"/>
        <v>17845.775499294061</v>
      </c>
      <c r="N60" s="909">
        <f t="shared" si="9"/>
        <v>-22115.463885256308</v>
      </c>
      <c r="O60" s="909">
        <f t="shared" si="9"/>
        <v>-52217.468605807677</v>
      </c>
      <c r="P60" s="909">
        <f t="shared" si="9"/>
        <v>-72484.148121318125</v>
      </c>
      <c r="Q60" s="909">
        <f t="shared" si="9"/>
        <v>-82940.506288678516</v>
      </c>
      <c r="R60" s="909">
        <f t="shared" si="9"/>
        <v>-83612.673876477827</v>
      </c>
      <c r="S60" s="909">
        <f t="shared" si="9"/>
        <v>-74527.941935855852</v>
      </c>
    </row>
    <row r="61" spans="1:20">
      <c r="D61" s="16"/>
      <c r="E61" s="16"/>
      <c r="F61" s="16"/>
      <c r="G61" s="926"/>
      <c r="H61" s="697"/>
    </row>
    <row r="62" spans="1:20" ht="13.5" thickBot="1">
      <c r="A62" s="6" t="s">
        <v>593</v>
      </c>
      <c r="D62" s="858">
        <f>D58+D60</f>
        <v>0</v>
      </c>
      <c r="E62" s="858">
        <f>E58+E60</f>
        <v>0</v>
      </c>
      <c r="F62" s="858">
        <f>F58+F60</f>
        <v>0</v>
      </c>
      <c r="G62" s="929">
        <f>G58+G60</f>
        <v>0</v>
      </c>
      <c r="H62" s="905"/>
      <c r="I62" s="982">
        <f>I58+I60</f>
        <v>250000</v>
      </c>
      <c r="J62" s="942">
        <f t="shared" ref="J62:S62" si="10">J58+J60</f>
        <v>127436.31335616439</v>
      </c>
      <c r="K62" s="942">
        <f t="shared" si="10"/>
        <v>67689.096286436354</v>
      </c>
      <c r="L62" s="942">
        <f t="shared" si="10"/>
        <v>17845.775499294061</v>
      </c>
      <c r="M62" s="942">
        <f t="shared" si="10"/>
        <v>-22115.463885256308</v>
      </c>
      <c r="N62" s="942">
        <f t="shared" si="10"/>
        <v>-52217.468605807677</v>
      </c>
      <c r="O62" s="942">
        <f t="shared" si="10"/>
        <v>-72484.148121318125</v>
      </c>
      <c r="P62" s="942">
        <f t="shared" si="10"/>
        <v>-82940.506288678516</v>
      </c>
      <c r="Q62" s="942">
        <f t="shared" si="10"/>
        <v>-83612.673876477827</v>
      </c>
      <c r="R62" s="942">
        <f t="shared" si="10"/>
        <v>-74527.941935855852</v>
      </c>
      <c r="S62" s="942">
        <f t="shared" si="10"/>
        <v>-55714.796049836455</v>
      </c>
    </row>
    <row r="63" spans="1:20" ht="13.5" thickTop="1"/>
    <row r="65" spans="1:19" ht="15.75">
      <c r="A65" s="563" t="s">
        <v>598</v>
      </c>
      <c r="B65" s="442"/>
      <c r="C65" s="442"/>
      <c r="D65" s="442"/>
      <c r="E65" s="442"/>
      <c r="F65" s="442"/>
      <c r="G65" s="442"/>
      <c r="H65" s="442"/>
      <c r="I65" s="442"/>
      <c r="J65" s="442"/>
      <c r="K65" s="442"/>
      <c r="L65" s="442"/>
      <c r="M65" s="442"/>
      <c r="N65" s="442"/>
      <c r="O65" s="442"/>
      <c r="P65" s="442"/>
      <c r="Q65" s="442"/>
      <c r="R65" s="442"/>
      <c r="S65" s="937"/>
    </row>
    <row r="66" spans="1:19" ht="15.75">
      <c r="A66" s="568"/>
      <c r="B66" s="24"/>
      <c r="C66" s="24"/>
      <c r="D66" s="560"/>
      <c r="E66" s="560"/>
      <c r="F66" s="386"/>
      <c r="G66" s="372" t="s">
        <v>263</v>
      </c>
      <c r="H66" s="391"/>
      <c r="I66" s="355"/>
      <c r="J66" s="386"/>
      <c r="K66" s="386"/>
      <c r="L66" s="304"/>
      <c r="M66" s="386"/>
      <c r="N66" s="304"/>
      <c r="O66" s="304"/>
      <c r="P66" s="304"/>
      <c r="Q66" s="304"/>
      <c r="R66" s="355"/>
      <c r="S66" s="355"/>
    </row>
    <row r="67" spans="1:19" ht="15.75">
      <c r="A67" s="568"/>
      <c r="B67" s="24"/>
      <c r="C67" s="24"/>
      <c r="D67" s="316">
        <v>1998</v>
      </c>
      <c r="E67" s="316">
        <v>1999</v>
      </c>
      <c r="F67" s="316">
        <v>2000</v>
      </c>
      <c r="G67" s="316">
        <v>2001</v>
      </c>
      <c r="H67" s="901"/>
      <c r="I67" s="352" t="s">
        <v>544</v>
      </c>
      <c r="J67" s="352">
        <v>2002</v>
      </c>
      <c r="K67" s="352">
        <v>2003</v>
      </c>
      <c r="L67" s="352">
        <v>2004</v>
      </c>
      <c r="M67" s="352">
        <v>2005</v>
      </c>
      <c r="N67" s="352">
        <v>2006</v>
      </c>
      <c r="O67" s="356">
        <v>2007</v>
      </c>
      <c r="P67" s="356">
        <v>2008</v>
      </c>
      <c r="Q67" s="356">
        <v>2009</v>
      </c>
      <c r="R67" s="356">
        <v>2010</v>
      </c>
      <c r="S67" s="537">
        <v>2011</v>
      </c>
    </row>
    <row r="68" spans="1:19">
      <c r="A68" s="24"/>
      <c r="B68" s="24"/>
      <c r="C68" s="24"/>
      <c r="D68" s="24"/>
      <c r="E68" s="24"/>
      <c r="F68" s="567" t="s">
        <v>273</v>
      </c>
      <c r="G68" s="316">
        <v>1</v>
      </c>
      <c r="H68" s="700"/>
      <c r="I68" s="352">
        <v>1</v>
      </c>
      <c r="J68" s="352">
        <v>2</v>
      </c>
      <c r="K68" s="352">
        <v>3</v>
      </c>
      <c r="L68" s="352">
        <v>4</v>
      </c>
      <c r="M68" s="352">
        <v>5</v>
      </c>
      <c r="N68" s="352">
        <v>6</v>
      </c>
      <c r="O68" s="352">
        <v>7</v>
      </c>
      <c r="P68" s="352">
        <v>8</v>
      </c>
      <c r="Q68" s="352">
        <v>9</v>
      </c>
      <c r="R68" s="352">
        <v>10</v>
      </c>
      <c r="S68" s="452">
        <v>11</v>
      </c>
    </row>
    <row r="69" spans="1:19">
      <c r="A69" s="6" t="s">
        <v>599</v>
      </c>
      <c r="B69" s="40"/>
      <c r="D69" s="665">
        <v>-85000</v>
      </c>
      <c r="E69" s="665">
        <v>-57000</v>
      </c>
      <c r="F69" s="665">
        <v>-129000</v>
      </c>
      <c r="G69" s="665">
        <f>-60000</f>
        <v>-60000</v>
      </c>
      <c r="J69" s="883">
        <f>G69*J73</f>
        <v>-60600</v>
      </c>
      <c r="K69" s="883">
        <f>J69*K73</f>
        <v>-61206</v>
      </c>
      <c r="L69" s="883">
        <f t="shared" ref="L69:S69" si="11">K69*L73</f>
        <v>-61818.06</v>
      </c>
      <c r="M69" s="883">
        <f t="shared" si="11"/>
        <v>-62436.240599999997</v>
      </c>
      <c r="N69" s="883">
        <f t="shared" si="11"/>
        <v>-63060.603005999998</v>
      </c>
      <c r="O69" s="883">
        <f t="shared" si="11"/>
        <v>-63691.209036059998</v>
      </c>
      <c r="P69" s="883">
        <f t="shared" si="11"/>
        <v>-64328.121126420599</v>
      </c>
      <c r="Q69" s="883">
        <f t="shared" si="11"/>
        <v>-64971.402337684805</v>
      </c>
      <c r="R69" s="883">
        <f t="shared" si="11"/>
        <v>-65621.11636106165</v>
      </c>
      <c r="S69" s="883">
        <f t="shared" si="11"/>
        <v>-66277.327524672262</v>
      </c>
    </row>
    <row r="70" spans="1:19">
      <c r="A70" s="888"/>
      <c r="B70" s="908"/>
      <c r="D70" s="935"/>
      <c r="E70" s="935"/>
      <c r="F70" s="935"/>
      <c r="G70" s="936"/>
      <c r="H70" s="936"/>
      <c r="J70" s="936"/>
      <c r="K70" s="936"/>
      <c r="L70" s="936"/>
      <c r="M70" s="936"/>
      <c r="N70" s="936"/>
      <c r="O70" s="936"/>
      <c r="P70" s="936"/>
      <c r="Q70" s="936"/>
      <c r="R70" s="936"/>
    </row>
    <row r="72" spans="1:19" ht="15.75">
      <c r="A72" s="755" t="s">
        <v>395</v>
      </c>
      <c r="B72" s="477"/>
      <c r="C72" s="751"/>
      <c r="D72" s="752"/>
      <c r="E72" s="477"/>
      <c r="F72" s="753"/>
      <c r="G72" s="754"/>
      <c r="H72" s="754"/>
      <c r="I72" s="442"/>
      <c r="J72" s="754"/>
      <c r="K72" s="754"/>
      <c r="L72" s="754"/>
      <c r="M72" s="754"/>
      <c r="N72" s="754"/>
      <c r="O72" s="754"/>
      <c r="P72" s="754"/>
      <c r="Q72" s="754"/>
      <c r="R72" s="754"/>
      <c r="S72" s="937"/>
    </row>
    <row r="73" spans="1:19">
      <c r="A73" s="889" t="s">
        <v>450</v>
      </c>
      <c r="C73" s="373"/>
      <c r="D73" s="652"/>
      <c r="E73" s="24"/>
      <c r="F73" s="85"/>
      <c r="G73" s="747"/>
      <c r="J73" s="746">
        <v>1.01</v>
      </c>
      <c r="K73" s="746">
        <v>1.01</v>
      </c>
      <c r="L73" s="746">
        <v>1.01</v>
      </c>
      <c r="M73" s="746">
        <v>1.01</v>
      </c>
      <c r="N73" s="746">
        <v>1.01</v>
      </c>
      <c r="O73" s="746">
        <v>1.01</v>
      </c>
      <c r="P73" s="746">
        <v>1.01</v>
      </c>
      <c r="Q73" s="746">
        <v>1.01</v>
      </c>
      <c r="R73" s="746">
        <v>1.01</v>
      </c>
      <c r="S73" s="746">
        <v>1.01</v>
      </c>
    </row>
    <row r="74" spans="1:19">
      <c r="A74" s="889"/>
      <c r="B74" s="24"/>
      <c r="C74" s="441"/>
      <c r="D74" s="652"/>
      <c r="E74" s="24"/>
      <c r="F74" s="85"/>
      <c r="G74" s="747"/>
      <c r="H74" s="747"/>
      <c r="I74" s="747"/>
      <c r="J74" s="747"/>
      <c r="K74" s="747"/>
      <c r="L74" s="747"/>
      <c r="M74" s="747"/>
      <c r="N74" s="747"/>
      <c r="O74" s="747"/>
      <c r="P74" s="747"/>
      <c r="Q74" s="747"/>
    </row>
    <row r="75" spans="1:19">
      <c r="A75" s="889"/>
      <c r="B75" s="24"/>
      <c r="C75" s="441"/>
      <c r="D75" s="652"/>
      <c r="E75" s="24"/>
      <c r="F75" s="85"/>
      <c r="G75" s="747"/>
      <c r="H75" s="747"/>
      <c r="I75" s="747"/>
      <c r="J75" s="747"/>
      <c r="K75" s="747"/>
      <c r="L75" s="747"/>
      <c r="M75" s="747"/>
      <c r="N75" s="747"/>
      <c r="O75" s="747"/>
      <c r="P75" s="747"/>
      <c r="Q75" s="747"/>
    </row>
  </sheetData>
  <phoneticPr fontId="0" type="noConversion"/>
  <pageMargins left="0.17" right="0.17" top="0.71" bottom="1" header="0.5" footer="0.5"/>
  <pageSetup scale="53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24"/>
  <sheetViews>
    <sheetView showGridLines="0" zoomScale="75" workbookViewId="0">
      <selection activeCell="C13" sqref="C13"/>
    </sheetView>
  </sheetViews>
  <sheetFormatPr defaultRowHeight="12.75"/>
  <cols>
    <col min="1" max="1" width="2.28515625" customWidth="1"/>
    <col min="2" max="2" width="23" customWidth="1"/>
    <col min="3" max="3" width="14" customWidth="1"/>
    <col min="4" max="4" width="10.5703125" customWidth="1"/>
    <col min="5" max="18" width="11.7109375" customWidth="1"/>
  </cols>
  <sheetData>
    <row r="1" spans="1:18" ht="18">
      <c r="A1" s="558" t="str">
        <f>Assumptions!D7</f>
        <v>Wolverine</v>
      </c>
      <c r="B1" s="609"/>
      <c r="C1" s="128"/>
      <c r="D1" s="128"/>
      <c r="E1" s="129"/>
    </row>
    <row r="2" spans="1:18" ht="16.5" thickBot="1">
      <c r="A2" s="559" t="s">
        <v>305</v>
      </c>
      <c r="B2" s="610"/>
      <c r="C2" s="134"/>
      <c r="D2" s="134"/>
      <c r="E2" s="135"/>
    </row>
    <row r="4" spans="1:18" ht="15.75">
      <c r="A4" s="563" t="s">
        <v>305</v>
      </c>
      <c r="B4" s="465"/>
      <c r="C4" s="477"/>
      <c r="D4" s="477"/>
      <c r="E4" s="477"/>
      <c r="F4" s="477"/>
      <c r="G4" s="477"/>
      <c r="H4" s="477"/>
      <c r="I4" s="477"/>
      <c r="J4" s="477"/>
      <c r="K4" s="477"/>
      <c r="L4" s="477"/>
      <c r="M4" s="477"/>
      <c r="N4" s="477"/>
      <c r="O4" s="477"/>
      <c r="P4" s="477"/>
      <c r="Q4" s="477"/>
      <c r="R4" s="477"/>
    </row>
    <row r="5" spans="1:18">
      <c r="A5" t="s">
        <v>334</v>
      </c>
      <c r="E5" s="560"/>
      <c r="F5" s="560"/>
      <c r="G5" s="386"/>
      <c r="H5" s="372" t="s">
        <v>263</v>
      </c>
      <c r="I5" s="391"/>
      <c r="J5" s="386"/>
      <c r="K5" s="386"/>
      <c r="L5" s="304"/>
      <c r="M5" s="386"/>
      <c r="N5" s="304"/>
      <c r="O5" s="304"/>
      <c r="P5" s="304"/>
      <c r="Q5" s="304"/>
      <c r="R5" s="355"/>
    </row>
    <row r="6" spans="1:18">
      <c r="A6" t="s">
        <v>307</v>
      </c>
      <c r="E6" s="316">
        <v>1998</v>
      </c>
      <c r="F6" s="316">
        <v>1999</v>
      </c>
      <c r="G6" s="316">
        <v>2000</v>
      </c>
      <c r="H6" s="316">
        <v>2001</v>
      </c>
      <c r="I6" s="352">
        <v>2002</v>
      </c>
      <c r="J6" s="352">
        <v>2003</v>
      </c>
      <c r="K6" s="352">
        <v>2004</v>
      </c>
      <c r="L6" s="352">
        <v>2005</v>
      </c>
      <c r="M6" s="352">
        <v>2006</v>
      </c>
      <c r="N6" s="356">
        <v>2007</v>
      </c>
      <c r="O6" s="356">
        <v>2008</v>
      </c>
      <c r="P6" s="356">
        <v>2009</v>
      </c>
      <c r="Q6" s="356">
        <v>2010</v>
      </c>
      <c r="R6" s="537">
        <v>2011</v>
      </c>
    </row>
    <row r="7" spans="1:18">
      <c r="D7" s="6" t="s">
        <v>322</v>
      </c>
      <c r="E7" s="24"/>
      <c r="F7" s="24"/>
      <c r="G7" s="567" t="s">
        <v>273</v>
      </c>
      <c r="H7" s="316">
        <v>1</v>
      </c>
      <c r="I7" s="352">
        <v>2</v>
      </c>
      <c r="J7" s="352">
        <v>3</v>
      </c>
      <c r="K7" s="352">
        <v>4</v>
      </c>
      <c r="L7" s="352">
        <v>5</v>
      </c>
      <c r="M7" s="352">
        <v>6</v>
      </c>
      <c r="N7" s="352">
        <v>7</v>
      </c>
      <c r="O7" s="352">
        <v>8</v>
      </c>
      <c r="P7" s="352">
        <v>9</v>
      </c>
      <c r="Q7" s="352">
        <v>10</v>
      </c>
      <c r="R7" s="452">
        <v>11</v>
      </c>
    </row>
    <row r="8" spans="1:18">
      <c r="A8" s="6" t="s">
        <v>311</v>
      </c>
      <c r="E8" s="24"/>
      <c r="F8" s="24"/>
      <c r="G8" s="567"/>
      <c r="H8" s="458"/>
      <c r="I8" s="459"/>
      <c r="J8" s="459"/>
      <c r="K8" s="459"/>
      <c r="L8" s="459"/>
      <c r="M8" s="459"/>
      <c r="N8" s="459"/>
      <c r="O8" s="459"/>
      <c r="P8" s="459"/>
      <c r="Q8" s="459"/>
      <c r="R8" s="353"/>
    </row>
    <row r="9" spans="1:18">
      <c r="B9" t="s">
        <v>309</v>
      </c>
      <c r="D9" s="623">
        <v>1</v>
      </c>
      <c r="E9" s="246"/>
      <c r="F9" s="644">
        <v>117600</v>
      </c>
      <c r="G9" s="644">
        <v>116600</v>
      </c>
      <c r="H9" s="645">
        <f>IF($D$9=1,G9*Curves!D17,0)</f>
        <v>118932</v>
      </c>
      <c r="I9" s="645">
        <f>IF($D$9=1,H9*Curves!E17,0)</f>
        <v>121310.64</v>
      </c>
      <c r="J9" s="645">
        <f>IF($D$9=1,I9*Curves!F17,0)</f>
        <v>123736.85280000001</v>
      </c>
      <c r="K9" s="645">
        <f>IF($D$9=1,J9*Curves!G17,0)</f>
        <v>126211.58985600001</v>
      </c>
      <c r="L9" s="645">
        <f>IF($D$9=1,K9*Curves!H17,0)</f>
        <v>128735.82165312</v>
      </c>
      <c r="M9" s="645">
        <f>IF($D$9=1,L9*Curves!I17,0)</f>
        <v>131310.53808618241</v>
      </c>
      <c r="N9" s="645">
        <f>IF($D$9=1,M9*Curves!J17,0)</f>
        <v>133936.74884790607</v>
      </c>
      <c r="O9" s="645">
        <f>IF($D$9=1,N9*Curves!K17,0)</f>
        <v>136615.4838248642</v>
      </c>
      <c r="P9" s="645">
        <f>IF($D$9=1,O9*Curves!L17,0)</f>
        <v>139347.79350136148</v>
      </c>
      <c r="Q9" s="645">
        <f>IF($D$9=1,P9*Curves!M17,0)</f>
        <v>142134.74937138872</v>
      </c>
      <c r="R9" s="645">
        <f>IF($D$9=1,Q9*Curves!N17,0)</f>
        <v>144977.44435881649</v>
      </c>
    </row>
    <row r="10" spans="1:18">
      <c r="B10" t="s">
        <v>310</v>
      </c>
      <c r="D10" s="624">
        <v>1</v>
      </c>
      <c r="E10" s="636"/>
      <c r="F10" s="644">
        <v>135900</v>
      </c>
      <c r="G10" s="644">
        <v>158600</v>
      </c>
      <c r="H10" s="645">
        <f>IF($D$10=1,G10*Curves!D18,0)</f>
        <v>163358</v>
      </c>
      <c r="I10" s="645">
        <f>IF($D$10=1,H10*Curves!E18,0)</f>
        <v>168258.74</v>
      </c>
      <c r="J10" s="645">
        <f>IF($D$10=1,I10*Curves!F18,0)</f>
        <v>173306.50219999999</v>
      </c>
      <c r="K10" s="645">
        <f>IF($D$10=1,J10*Curves!G18,0)</f>
        <v>180238.762288</v>
      </c>
      <c r="L10" s="645">
        <f>IF($D$10=1,K10*Curves!H18,0)</f>
        <v>189250.70040240002</v>
      </c>
      <c r="M10" s="645">
        <f>IF($D$10=1,L10*Curves!I18,0)</f>
        <v>198713.23542252003</v>
      </c>
      <c r="N10" s="645">
        <f>IF($D$10=1,M10*Curves!J18,0)</f>
        <v>208648.89719364603</v>
      </c>
      <c r="O10" s="645">
        <f>IF($D$10=1,N10*Curves!K18,0)</f>
        <v>219081.34205332835</v>
      </c>
      <c r="P10" s="645">
        <f>IF($D$10=1,O10*Curves!L18,0)</f>
        <v>230035.40915599477</v>
      </c>
      <c r="Q10" s="645">
        <f>IF($D$10=1,P10*Curves!M18,0)</f>
        <v>236936.47143067463</v>
      </c>
      <c r="R10" s="645">
        <f>IF($D$10=1,Q10*Curves!N18,0)</f>
        <v>244044.56557359488</v>
      </c>
    </row>
    <row r="11" spans="1:18">
      <c r="A11" s="6" t="s">
        <v>319</v>
      </c>
      <c r="E11" s="249"/>
      <c r="F11" s="613"/>
      <c r="G11" s="613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</row>
    <row r="12" spans="1:18">
      <c r="B12" t="s">
        <v>312</v>
      </c>
      <c r="D12" s="623">
        <v>1</v>
      </c>
      <c r="E12" s="249"/>
      <c r="F12" s="613"/>
      <c r="G12" s="613"/>
      <c r="H12" s="646">
        <f>IF(D12=1,5700*Curves!D25,0)</f>
        <v>5700</v>
      </c>
      <c r="I12" s="646">
        <f>IF(D12=1,68200*Curves!E25,0)</f>
        <v>68200</v>
      </c>
      <c r="J12" s="645">
        <f>IF($D$12=1,I12*Curves!F19*Curves!F25,0)</f>
        <v>68882</v>
      </c>
      <c r="K12" s="645">
        <f>IF($D$12=1,J12*Curves!G19*Curves!G25,0)</f>
        <v>69570.820000000007</v>
      </c>
      <c r="L12" s="645">
        <f>IF($D$12=1,K12*Curves!H19*Curves!H25,0)</f>
        <v>70266.528200000001</v>
      </c>
      <c r="M12" s="645">
        <f>IF($D$12=1,L12*Curves!I19*Curves!I25,0)</f>
        <v>70969.193482000002</v>
      </c>
      <c r="N12" s="645">
        <f>IF($D$12=1,M12*Curves!J19*Curves!J25,0)</f>
        <v>71678.885416820005</v>
      </c>
      <c r="O12" s="645">
        <f>IF($D$12=1,N12*Curves!K19*Curves!K25,0)</f>
        <v>72395.674270988209</v>
      </c>
      <c r="P12" s="645">
        <f>IF($D$12=1,O12*Curves!L19*Curves!L25,0)</f>
        <v>73119.63101369809</v>
      </c>
      <c r="Q12" s="645">
        <f>IF($D$12=1,P12*Curves!M19*Curves!M25,0)</f>
        <v>73850.827323835067</v>
      </c>
      <c r="R12" s="645">
        <f>IF($D$12=1,Q12*Curves!N19*Curves!N25,0)</f>
        <v>74589.335597073412</v>
      </c>
    </row>
    <row r="13" spans="1:18">
      <c r="B13" t="s">
        <v>313</v>
      </c>
      <c r="D13" s="625">
        <v>0</v>
      </c>
      <c r="E13" s="249"/>
      <c r="F13" s="613"/>
      <c r="G13" s="613"/>
      <c r="H13" s="646">
        <v>0</v>
      </c>
      <c r="I13" s="646">
        <f>IF(D13=1,38300*Curves!E26,0)</f>
        <v>0</v>
      </c>
      <c r="J13" s="646">
        <f>IF(D13=1,76700*Curves!F26,0)</f>
        <v>0</v>
      </c>
      <c r="K13" s="645">
        <f>IF($D$13=1,J13*Curves!G20*Curves!G26,0)</f>
        <v>0</v>
      </c>
      <c r="L13" s="645">
        <f>IF($D$13=1,K13*Curves!H20*Curves!H26,0)</f>
        <v>0</v>
      </c>
      <c r="M13" s="645">
        <f>IF($D$13=1,L13*Curves!I20*Curves!I26,0)</f>
        <v>0</v>
      </c>
      <c r="N13" s="645">
        <f>IF($D$13=1,M13*Curves!J20*Curves!J26,0)</f>
        <v>0</v>
      </c>
      <c r="O13" s="645">
        <f>IF($D$13=1,N13*Curves!K20*Curves!K26,0)</f>
        <v>0</v>
      </c>
      <c r="P13" s="645">
        <f>IF($D$13=1,O13*Curves!L20*Curves!L26,0)</f>
        <v>0</v>
      </c>
      <c r="Q13" s="645">
        <f>IF($D$13=1,P13*Curves!M20*Curves!M26,0)</f>
        <v>0</v>
      </c>
      <c r="R13" s="645">
        <f>IF($D$13=1,Q13*Curves!N20*Curves!N26,0)</f>
        <v>0</v>
      </c>
    </row>
    <row r="14" spans="1:18">
      <c r="B14" t="s">
        <v>321</v>
      </c>
      <c r="D14" s="624">
        <v>1</v>
      </c>
      <c r="E14" s="611"/>
      <c r="F14" s="612"/>
      <c r="G14" s="612"/>
      <c r="H14" s="355"/>
      <c r="I14" s="355"/>
      <c r="J14" s="355"/>
      <c r="K14" s="355"/>
      <c r="L14" s="355"/>
      <c r="M14" s="355"/>
      <c r="N14" s="355"/>
      <c r="O14" s="355"/>
      <c r="P14" s="355"/>
      <c r="Q14" s="355"/>
      <c r="R14" s="355"/>
    </row>
    <row r="15" spans="1:18">
      <c r="A15" s="6" t="s">
        <v>308</v>
      </c>
      <c r="E15" s="244"/>
      <c r="F15" s="647">
        <f>SUM(F9:F14)</f>
        <v>253500</v>
      </c>
      <c r="G15" s="647">
        <f t="shared" ref="G15:M15" si="0">SUM(G9:G14)</f>
        <v>275200</v>
      </c>
      <c r="H15" s="648">
        <f t="shared" si="0"/>
        <v>287990</v>
      </c>
      <c r="I15" s="648">
        <f t="shared" si="0"/>
        <v>357769.38</v>
      </c>
      <c r="J15" s="648">
        <f t="shared" si="0"/>
        <v>365925.35499999998</v>
      </c>
      <c r="K15" s="648">
        <f t="shared" si="0"/>
        <v>376021.17214400001</v>
      </c>
      <c r="L15" s="648">
        <f t="shared" si="0"/>
        <v>388253.05025552004</v>
      </c>
      <c r="M15" s="648">
        <f t="shared" si="0"/>
        <v>400992.96699070244</v>
      </c>
      <c r="N15" s="648">
        <f>SUM(N9:N14)</f>
        <v>414264.53145837208</v>
      </c>
      <c r="O15" s="648">
        <f>SUM(O9:O14)</f>
        <v>428092.50014918076</v>
      </c>
      <c r="P15" s="648">
        <f>SUM(P9:P14)</f>
        <v>442502.83367105434</v>
      </c>
      <c r="Q15" s="648">
        <f>SUM(Q9:Q14)</f>
        <v>452922.04812589841</v>
      </c>
      <c r="R15" s="648">
        <f>SUM(R9:R14)</f>
        <v>463611.3455294848</v>
      </c>
    </row>
    <row r="16" spans="1:18">
      <c r="D16" s="355"/>
      <c r="E16" s="16"/>
      <c r="F16" s="16"/>
      <c r="G16" s="16"/>
    </row>
    <row r="17" spans="1:18">
      <c r="A17" s="6" t="s">
        <v>183</v>
      </c>
      <c r="D17" s="624">
        <v>1</v>
      </c>
      <c r="E17" s="16"/>
      <c r="F17" s="16"/>
      <c r="G17" s="665">
        <v>117500</v>
      </c>
      <c r="H17" s="10">
        <f>IF($D$17=1,G17*Curves!D22,0)</f>
        <v>123375</v>
      </c>
      <c r="I17" s="10">
        <f>IF($D$17=1,H17*Curves!E22,0)</f>
        <v>129543.75</v>
      </c>
      <c r="J17" s="10">
        <f>IF($D$17=1,I17*Curves!F22,0)</f>
        <v>136020.9375</v>
      </c>
      <c r="K17" s="10">
        <f>IF($D$17=1,J17*Curves!G22,0)</f>
        <v>142821.984375</v>
      </c>
      <c r="L17" s="10">
        <f>IF($D$17=1,K17*Curves!H22,0)</f>
        <v>149963.08359374999</v>
      </c>
      <c r="M17" s="10">
        <f>IF($D$17=1,L17*Curves!I22,0)</f>
        <v>157461.23777343749</v>
      </c>
      <c r="N17" s="10">
        <f>IF($D$17=1,M17*Curves!J22,0)</f>
        <v>162185.07490664063</v>
      </c>
      <c r="O17" s="10">
        <f>IF($D$17=1,N17*Curves!K22,0)</f>
        <v>167050.62715383986</v>
      </c>
      <c r="P17" s="10">
        <f>IF($D$17=1,O17*Curves!L22,0)</f>
        <v>172062.14596845506</v>
      </c>
      <c r="Q17" s="10">
        <f>IF($D$17=1,P17*Curves!M22,0)</f>
        <v>177224.01034750871</v>
      </c>
      <c r="R17" s="10">
        <f>IF($D$17=1,Q17*Curves!N22,0)</f>
        <v>182540.73065793398</v>
      </c>
    </row>
    <row r="18" spans="1:18">
      <c r="E18" s="24"/>
      <c r="F18" s="24"/>
      <c r="G18" s="24"/>
      <c r="H18" s="24"/>
    </row>
    <row r="19" spans="1:18">
      <c r="A19" s="60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>
      <c r="A20" s="24"/>
      <c r="B20" s="24"/>
      <c r="C20" s="24"/>
      <c r="D20" s="24"/>
      <c r="E20" s="24"/>
      <c r="F20" s="24"/>
      <c r="G20" s="24"/>
      <c r="H20" s="637"/>
      <c r="I20" s="126"/>
      <c r="J20" s="126"/>
      <c r="K20" s="126"/>
      <c r="L20" s="126"/>
      <c r="M20" s="126"/>
      <c r="N20" s="126"/>
      <c r="O20" s="126"/>
      <c r="P20" s="126"/>
      <c r="Q20" s="126"/>
      <c r="R20" s="126"/>
    </row>
    <row r="21" spans="1:18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>
      <c r="A22" s="24"/>
      <c r="B22" s="24"/>
      <c r="C22" s="24"/>
      <c r="D22" s="24"/>
      <c r="E22" s="24"/>
      <c r="F22" s="24"/>
      <c r="G22" s="24"/>
      <c r="H22" s="638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2">
    <pageSetUpPr fitToPage="1"/>
  </sheetPr>
  <dimension ref="A1:S133"/>
  <sheetViews>
    <sheetView showGridLines="0" topLeftCell="A16" zoomScale="75" zoomScaleNormal="75" workbookViewId="0">
      <selection activeCell="L41" sqref="L41"/>
    </sheetView>
  </sheetViews>
  <sheetFormatPr defaultRowHeight="12.75" outlineLevelCol="1"/>
  <cols>
    <col min="1" max="1" width="32.5703125" customWidth="1"/>
    <col min="2" max="2" width="15.85546875" customWidth="1" outlineLevel="1"/>
    <col min="3" max="3" width="12.85546875" customWidth="1" outlineLevel="1"/>
    <col min="4" max="5" width="14.5703125" style="24" bestFit="1" customWidth="1"/>
    <col min="6" max="6" width="15.7109375" style="24" bestFit="1" customWidth="1"/>
    <col min="7" max="7" width="16.85546875" customWidth="1"/>
    <col min="8" max="9" width="15" bestFit="1" customWidth="1"/>
    <col min="10" max="10" width="14.57031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9" ht="20.25">
      <c r="A1" s="845" t="str">
        <f>"Project "&amp;Assumptions!D7</f>
        <v>Project Wolverine</v>
      </c>
      <c r="B1" s="128"/>
      <c r="C1" s="129"/>
      <c r="D1" s="60"/>
      <c r="E1" s="60"/>
      <c r="F1" s="540" t="s">
        <v>136</v>
      </c>
      <c r="G1" s="561"/>
      <c r="H1" s="539"/>
    </row>
    <row r="2" spans="1:19" ht="15.75">
      <c r="A2" s="846" t="str">
        <f>'Org Chart'!D5:D5</f>
        <v>Consumers Energy</v>
      </c>
      <c r="B2" s="160"/>
      <c r="C2" s="131"/>
      <c r="D2" s="47"/>
      <c r="E2" s="47"/>
      <c r="F2" s="562"/>
      <c r="G2" s="56"/>
      <c r="H2" s="175"/>
      <c r="I2" s="56"/>
      <c r="R2" s="24"/>
    </row>
    <row r="3" spans="1:19" ht="16.5" thickBot="1">
      <c r="A3" s="743"/>
      <c r="B3" s="744"/>
      <c r="C3" s="135"/>
      <c r="D3" s="47"/>
      <c r="E3" s="47"/>
      <c r="F3" s="562"/>
      <c r="G3" s="35"/>
      <c r="H3" s="175"/>
      <c r="I3" s="56"/>
      <c r="R3" s="24"/>
    </row>
    <row r="4" spans="1:19" ht="13.5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75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>
      <c r="A11" s="662" t="s">
        <v>361</v>
      </c>
      <c r="B11" s="88"/>
      <c r="C11" s="84"/>
      <c r="D11" s="650">
        <f t="shared" ref="D11:Q11" si="0">D59</f>
        <v>3657</v>
      </c>
      <c r="E11" s="650">
        <f t="shared" si="0"/>
        <v>3823</v>
      </c>
      <c r="F11" s="650">
        <f t="shared" si="0"/>
        <v>3872</v>
      </c>
      <c r="G11" s="650">
        <f t="shared" si="0"/>
        <v>4136</v>
      </c>
      <c r="H11" s="651">
        <f t="shared" si="0"/>
        <v>4192.9400000000005</v>
      </c>
      <c r="I11" s="651">
        <f t="shared" si="0"/>
        <v>4250.7610000000004</v>
      </c>
      <c r="J11" s="651">
        <f t="shared" si="0"/>
        <v>4309.4780420000006</v>
      </c>
      <c r="K11" s="651">
        <f t="shared" si="0"/>
        <v>4369.1064430600009</v>
      </c>
      <c r="L11" s="651">
        <f t="shared" si="0"/>
        <v>4429.6618005434011</v>
      </c>
      <c r="M11" s="651">
        <f t="shared" si="0"/>
        <v>4491.1599974626906</v>
      </c>
      <c r="N11" s="651">
        <f t="shared" si="0"/>
        <v>4553.6172079294511</v>
      </c>
      <c r="O11" s="651">
        <f t="shared" si="0"/>
        <v>4617.0499027107207</v>
      </c>
      <c r="P11" s="651">
        <f t="shared" si="0"/>
        <v>4681.4748548938442</v>
      </c>
      <c r="Q11" s="651">
        <f t="shared" si="0"/>
        <v>4746.9091456619171</v>
      </c>
      <c r="R11" s="24"/>
    </row>
    <row r="12" spans="1:19">
      <c r="D12" s="247"/>
      <c r="E12" s="247"/>
      <c r="F12" s="18"/>
      <c r="G12" s="757"/>
      <c r="H12" s="12"/>
      <c r="I12" s="12"/>
      <c r="J12" s="12"/>
      <c r="K12" s="12"/>
      <c r="L12" s="1"/>
      <c r="M12" s="1"/>
      <c r="N12" s="1"/>
      <c r="O12" s="1"/>
      <c r="P12" s="1"/>
      <c r="Q12" s="1"/>
      <c r="R12" s="24"/>
    </row>
    <row r="13" spans="1:19">
      <c r="A13" s="117" t="s">
        <v>362</v>
      </c>
      <c r="B13" s="87"/>
      <c r="C13" s="35"/>
      <c r="D13" s="650">
        <f t="shared" ref="D13:Q13" si="1">D83</f>
        <v>359</v>
      </c>
      <c r="E13" s="650">
        <f t="shared" si="1"/>
        <v>406</v>
      </c>
      <c r="F13" s="650">
        <f t="shared" si="1"/>
        <v>408</v>
      </c>
      <c r="G13" s="650">
        <f t="shared" si="1"/>
        <v>342</v>
      </c>
      <c r="H13" s="651">
        <f t="shared" si="1"/>
        <v>345.42</v>
      </c>
      <c r="I13" s="651">
        <f t="shared" si="1"/>
        <v>348.87420000000003</v>
      </c>
      <c r="J13" s="651">
        <f t="shared" si="1"/>
        <v>352.36294200000003</v>
      </c>
      <c r="K13" s="651">
        <f t="shared" si="1"/>
        <v>355.88657142000005</v>
      </c>
      <c r="L13" s="651">
        <f t="shared" si="1"/>
        <v>359.44543713420006</v>
      </c>
      <c r="M13" s="651">
        <f t="shared" si="1"/>
        <v>363.03989150554207</v>
      </c>
      <c r="N13" s="651">
        <f t="shared" si="1"/>
        <v>366.6702904205975</v>
      </c>
      <c r="O13" s="651">
        <f t="shared" si="1"/>
        <v>370.33699332480347</v>
      </c>
      <c r="P13" s="651">
        <f t="shared" si="1"/>
        <v>374.04036325805151</v>
      </c>
      <c r="Q13" s="651">
        <f t="shared" si="1"/>
        <v>377.78076689063204</v>
      </c>
      <c r="R13" s="24"/>
    </row>
    <row r="14" spans="1:19">
      <c r="A14" s="117"/>
      <c r="B14" s="87"/>
      <c r="C14" s="35"/>
      <c r="D14" s="670"/>
      <c r="E14" s="670"/>
      <c r="F14" s="670"/>
      <c r="G14" s="670"/>
      <c r="H14" s="671"/>
      <c r="I14" s="671"/>
      <c r="J14" s="671"/>
      <c r="K14" s="671"/>
      <c r="L14" s="671"/>
      <c r="M14" s="671"/>
      <c r="N14" s="671"/>
      <c r="O14" s="671"/>
      <c r="P14" s="671"/>
      <c r="Q14" s="671"/>
      <c r="R14" s="24"/>
    </row>
    <row r="15" spans="1:19">
      <c r="A15" s="117" t="s">
        <v>1</v>
      </c>
      <c r="B15" s="35"/>
      <c r="C15" s="35"/>
      <c r="D15" s="650">
        <f t="shared" ref="D15:Q15" si="2">(D11-D13)</f>
        <v>3298</v>
      </c>
      <c r="E15" s="650">
        <f t="shared" si="2"/>
        <v>3417</v>
      </c>
      <c r="F15" s="650">
        <f t="shared" si="2"/>
        <v>3464</v>
      </c>
      <c r="G15" s="650">
        <f t="shared" si="2"/>
        <v>3794</v>
      </c>
      <c r="H15" s="651">
        <f t="shared" si="2"/>
        <v>3847.5200000000004</v>
      </c>
      <c r="I15" s="651">
        <f t="shared" si="2"/>
        <v>3901.8868000000002</v>
      </c>
      <c r="J15" s="651">
        <f t="shared" si="2"/>
        <v>3957.1151000000004</v>
      </c>
      <c r="K15" s="651">
        <f t="shared" si="2"/>
        <v>4013.2198716400007</v>
      </c>
      <c r="L15" s="651">
        <f t="shared" si="2"/>
        <v>4070.2163634092012</v>
      </c>
      <c r="M15" s="651">
        <f t="shared" si="2"/>
        <v>4128.1201059571486</v>
      </c>
      <c r="N15" s="651">
        <f t="shared" si="2"/>
        <v>4186.9469175088534</v>
      </c>
      <c r="O15" s="651">
        <f t="shared" si="2"/>
        <v>4246.7129093859176</v>
      </c>
      <c r="P15" s="651">
        <f t="shared" si="2"/>
        <v>4307.4344916357923</v>
      </c>
      <c r="Q15" s="651">
        <f t="shared" si="2"/>
        <v>4369.1283787712855</v>
      </c>
      <c r="R15" s="24"/>
    </row>
    <row r="16" spans="1:19">
      <c r="A16" s="690" t="s">
        <v>347</v>
      </c>
      <c r="B16" s="7"/>
      <c r="C16" s="7"/>
      <c r="D16" s="691">
        <f t="shared" ref="D16:Q16" si="3">D11/D13</f>
        <v>10.186629526462395</v>
      </c>
      <c r="E16" s="691">
        <f t="shared" si="3"/>
        <v>9.416256157635468</v>
      </c>
      <c r="F16" s="691">
        <f t="shared" si="3"/>
        <v>9.4901960784313726</v>
      </c>
      <c r="G16" s="691">
        <f t="shared" si="3"/>
        <v>12.093567251461989</v>
      </c>
      <c r="H16" s="692">
        <f t="shared" si="3"/>
        <v>12.138671761913034</v>
      </c>
      <c r="I16" s="692">
        <f t="shared" si="3"/>
        <v>12.184222851675475</v>
      </c>
      <c r="J16" s="692">
        <f t="shared" si="3"/>
        <v>12.230224942326654</v>
      </c>
      <c r="K16" s="692">
        <f t="shared" si="3"/>
        <v>12.276682499221904</v>
      </c>
      <c r="L16" s="692">
        <f t="shared" si="3"/>
        <v>12.323600031927999</v>
      </c>
      <c r="M16" s="692">
        <f t="shared" si="3"/>
        <v>12.370982094660883</v>
      </c>
      <c r="N16" s="692">
        <f t="shared" si="3"/>
        <v>12.418833286727759</v>
      </c>
      <c r="O16" s="692">
        <f t="shared" si="3"/>
        <v>12.467158252973514</v>
      </c>
      <c r="P16" s="692">
        <f t="shared" si="3"/>
        <v>12.515961684231605</v>
      </c>
      <c r="Q16" s="692">
        <f t="shared" si="3"/>
        <v>12.565248317779377</v>
      </c>
      <c r="R16" s="24"/>
    </row>
    <row r="17" spans="1:18">
      <c r="A17" s="690" t="s">
        <v>348</v>
      </c>
      <c r="B17" s="7"/>
      <c r="C17" s="7"/>
      <c r="D17" s="693">
        <f t="shared" ref="D17:Q17" si="4">(D11-D13)/D11</f>
        <v>0.90183210281651627</v>
      </c>
      <c r="E17" s="693">
        <f t="shared" si="4"/>
        <v>0.89380068009416691</v>
      </c>
      <c r="F17" s="693">
        <f t="shared" si="4"/>
        <v>0.89462809917355368</v>
      </c>
      <c r="G17" s="693">
        <f t="shared" si="4"/>
        <v>0.91731141199226307</v>
      </c>
      <c r="H17" s="694">
        <f t="shared" si="4"/>
        <v>0.91761866375383383</v>
      </c>
      <c r="I17" s="694">
        <f t="shared" si="4"/>
        <v>0.91792664889886777</v>
      </c>
      <c r="J17" s="694">
        <f t="shared" si="4"/>
        <v>0.91823535505555776</v>
      </c>
      <c r="K17" s="694">
        <f t="shared" si="4"/>
        <v>0.91854476972395593</v>
      </c>
      <c r="L17" s="694">
        <f t="shared" si="4"/>
        <v>0.91885488027774365</v>
      </c>
      <c r="M17" s="694">
        <f t="shared" si="4"/>
        <v>0.91916567396604798</v>
      </c>
      <c r="N17" s="694">
        <f t="shared" si="4"/>
        <v>0.91947713791530483</v>
      </c>
      <c r="O17" s="694">
        <f t="shared" si="4"/>
        <v>0.91978925913116638</v>
      </c>
      <c r="P17" s="694">
        <f t="shared" si="4"/>
        <v>0.92010202450045342</v>
      </c>
      <c r="Q17" s="694">
        <f t="shared" si="4"/>
        <v>0.92041542079315419</v>
      </c>
      <c r="R17" s="24"/>
    </row>
    <row r="18" spans="1:18">
      <c r="D18" s="16"/>
      <c r="E18" s="16"/>
      <c r="F18" s="16"/>
      <c r="G18" s="16"/>
      <c r="R18" s="24"/>
    </row>
    <row r="19" spans="1:18">
      <c r="A19" s="6" t="s">
        <v>283</v>
      </c>
      <c r="D19" s="676">
        <v>-33</v>
      </c>
      <c r="E19" s="676">
        <v>18</v>
      </c>
      <c r="F19" s="677">
        <v>0</v>
      </c>
      <c r="G19" s="684">
        <v>0</v>
      </c>
      <c r="H19" s="642">
        <f>G19*Curves!E34</f>
        <v>0</v>
      </c>
      <c r="I19" s="642">
        <f>H19*Curves!F34</f>
        <v>0</v>
      </c>
      <c r="J19" s="642">
        <f>I19*Curves!G34</f>
        <v>0</v>
      </c>
      <c r="K19" s="642">
        <f>J19*Curves!H34</f>
        <v>0</v>
      </c>
      <c r="L19" s="642">
        <f>K19*Curves!I34</f>
        <v>0</v>
      </c>
      <c r="M19" s="642">
        <f>L19*Curves!J34</f>
        <v>0</v>
      </c>
      <c r="N19" s="642">
        <f>M19*Curves!K34</f>
        <v>0</v>
      </c>
      <c r="O19" s="642">
        <f>N19*Curves!L34</f>
        <v>0</v>
      </c>
      <c r="P19" s="642">
        <f>O19*Curves!M34</f>
        <v>0</v>
      </c>
      <c r="Q19" s="642">
        <f>P19*Curves!N34</f>
        <v>0</v>
      </c>
      <c r="R19" s="24"/>
    </row>
    <row r="20" spans="1:18">
      <c r="A20" s="6" t="s">
        <v>284</v>
      </c>
      <c r="D20" s="676">
        <v>0</v>
      </c>
      <c r="E20" s="676">
        <v>0</v>
      </c>
      <c r="F20" s="677">
        <v>0</v>
      </c>
      <c r="G20" s="684">
        <v>0</v>
      </c>
      <c r="H20" s="642">
        <f>G20</f>
        <v>0</v>
      </c>
      <c r="I20" s="642">
        <f>H20*Curves!F35</f>
        <v>0</v>
      </c>
      <c r="J20" s="642">
        <f>I20*Curves!G35</f>
        <v>0</v>
      </c>
      <c r="K20" s="642">
        <f>J20*Curves!H35</f>
        <v>0</v>
      </c>
      <c r="L20" s="642">
        <f>K20*Curves!I35</f>
        <v>0</v>
      </c>
      <c r="M20" s="642">
        <f>L20*Curves!J35</f>
        <v>0</v>
      </c>
      <c r="N20" s="642">
        <f>M20*Curves!K35</f>
        <v>0</v>
      </c>
      <c r="O20" s="642">
        <f>N20*Curves!L35</f>
        <v>0</v>
      </c>
      <c r="P20" s="642">
        <f>O20*Curves!M35</f>
        <v>0</v>
      </c>
      <c r="Q20" s="642">
        <f>P20*Curves!N35</f>
        <v>0</v>
      </c>
      <c r="R20" s="24"/>
    </row>
    <row r="21" spans="1:18">
      <c r="A21" s="6" t="s">
        <v>360</v>
      </c>
      <c r="B21" s="15"/>
      <c r="D21" s="676">
        <v>484</v>
      </c>
      <c r="E21" s="676">
        <v>595</v>
      </c>
      <c r="F21" s="677">
        <v>637</v>
      </c>
      <c r="G21" s="758">
        <f>269*2</f>
        <v>538</v>
      </c>
      <c r="H21" s="675">
        <f t="shared" ref="H21:Q21" si="5">H128</f>
        <v>717.47620587249048</v>
      </c>
      <c r="I21" s="675">
        <f t="shared" si="5"/>
        <v>734.97620587249048</v>
      </c>
      <c r="J21" s="675">
        <f t="shared" si="5"/>
        <v>747.22620587249048</v>
      </c>
      <c r="K21" s="675">
        <f t="shared" si="5"/>
        <v>759.63245587249048</v>
      </c>
      <c r="L21" s="675">
        <f t="shared" si="5"/>
        <v>772.19719337249046</v>
      </c>
      <c r="M21" s="675">
        <f t="shared" si="5"/>
        <v>784.92269174749049</v>
      </c>
      <c r="N21" s="675">
        <f t="shared" si="5"/>
        <v>797.81126087624045</v>
      </c>
      <c r="O21" s="675">
        <f t="shared" si="5"/>
        <v>810.86524778167802</v>
      </c>
      <c r="P21" s="675">
        <f t="shared" si="5"/>
        <v>824.08703728327782</v>
      </c>
      <c r="Q21" s="675">
        <f t="shared" si="5"/>
        <v>837.47905266154385</v>
      </c>
      <c r="R21" s="24"/>
    </row>
    <row r="22" spans="1:18">
      <c r="D22" s="678"/>
      <c r="E22" s="678"/>
      <c r="F22" s="640"/>
      <c r="G22" s="640"/>
      <c r="H22" s="641"/>
      <c r="I22" s="641"/>
      <c r="J22" s="679"/>
      <c r="K22" s="679"/>
      <c r="L22" s="641"/>
      <c r="M22" s="641"/>
      <c r="N22" s="641"/>
      <c r="O22" s="641"/>
      <c r="P22" s="641"/>
      <c r="Q22" s="641"/>
      <c r="R22" s="24"/>
    </row>
    <row r="23" spans="1:18">
      <c r="A23" s="117" t="s">
        <v>2</v>
      </c>
      <c r="B23" s="35"/>
      <c r="C23" s="35"/>
      <c r="D23" s="650">
        <f t="shared" ref="D23:Q23" si="6">D15+D19+D20-D21</f>
        <v>2781</v>
      </c>
      <c r="E23" s="650">
        <f t="shared" si="6"/>
        <v>2840</v>
      </c>
      <c r="F23" s="650">
        <f t="shared" si="6"/>
        <v>2827</v>
      </c>
      <c r="G23" s="650">
        <f t="shared" si="6"/>
        <v>3256</v>
      </c>
      <c r="H23" s="651">
        <f t="shared" si="6"/>
        <v>3130.04379412751</v>
      </c>
      <c r="I23" s="651">
        <f t="shared" si="6"/>
        <v>3166.9105941275097</v>
      </c>
      <c r="J23" s="651">
        <f t="shared" si="6"/>
        <v>3209.88889412751</v>
      </c>
      <c r="K23" s="651">
        <f t="shared" si="6"/>
        <v>3253.5874157675103</v>
      </c>
      <c r="L23" s="651">
        <f t="shared" si="6"/>
        <v>3298.0191700367109</v>
      </c>
      <c r="M23" s="651">
        <f t="shared" si="6"/>
        <v>3343.1974142096578</v>
      </c>
      <c r="N23" s="651">
        <f t="shared" si="6"/>
        <v>3389.1356566326131</v>
      </c>
      <c r="O23" s="651">
        <f t="shared" si="6"/>
        <v>3435.8476616042394</v>
      </c>
      <c r="P23" s="651">
        <f t="shared" si="6"/>
        <v>3483.3474543525144</v>
      </c>
      <c r="Q23" s="651">
        <f t="shared" si="6"/>
        <v>3531.6493261097417</v>
      </c>
      <c r="R23" s="24"/>
    </row>
    <row r="24" spans="1:18">
      <c r="D24" s="246"/>
      <c r="E24" s="246"/>
      <c r="F24" s="18"/>
      <c r="G24" s="18"/>
      <c r="H24" s="1"/>
      <c r="I24" s="1"/>
      <c r="J24" s="12"/>
      <c r="K24" s="12"/>
      <c r="L24" s="1"/>
      <c r="M24" s="1"/>
      <c r="N24" s="1"/>
      <c r="O24" s="1"/>
      <c r="P24" s="1"/>
      <c r="Q24" s="1"/>
      <c r="R24" s="24"/>
    </row>
    <row r="25" spans="1:18">
      <c r="A25" s="347" t="s">
        <v>363</v>
      </c>
      <c r="D25" s="246"/>
      <c r="E25" s="246"/>
      <c r="F25" s="18"/>
      <c r="G25" s="18"/>
      <c r="H25" s="1"/>
      <c r="I25" s="1"/>
      <c r="J25" s="12"/>
      <c r="K25" s="12"/>
      <c r="L25" s="1"/>
      <c r="M25" s="1"/>
      <c r="N25" s="1"/>
      <c r="O25" s="1"/>
      <c r="P25" s="1"/>
      <c r="Q25" s="1"/>
      <c r="R25" s="24"/>
    </row>
    <row r="26" spans="1:18">
      <c r="A26" s="682" t="s">
        <v>3</v>
      </c>
      <c r="D26" s="676">
        <v>100</v>
      </c>
      <c r="E26" s="676">
        <v>64</v>
      </c>
      <c r="F26" s="677">
        <v>60</v>
      </c>
      <c r="G26" s="684">
        <v>0</v>
      </c>
      <c r="H26" s="642">
        <f t="shared" ref="H26:Q26" si="7">G26</f>
        <v>0</v>
      </c>
      <c r="I26" s="642">
        <f t="shared" si="7"/>
        <v>0</v>
      </c>
      <c r="J26" s="642">
        <f t="shared" si="7"/>
        <v>0</v>
      </c>
      <c r="K26" s="642">
        <f t="shared" si="7"/>
        <v>0</v>
      </c>
      <c r="L26" s="642">
        <f t="shared" si="7"/>
        <v>0</v>
      </c>
      <c r="M26" s="642">
        <f t="shared" si="7"/>
        <v>0</v>
      </c>
      <c r="N26" s="642">
        <f t="shared" si="7"/>
        <v>0</v>
      </c>
      <c r="O26" s="642">
        <f t="shared" si="7"/>
        <v>0</v>
      </c>
      <c r="P26" s="642">
        <f t="shared" si="7"/>
        <v>0</v>
      </c>
      <c r="Q26" s="642">
        <f t="shared" si="7"/>
        <v>0</v>
      </c>
      <c r="R26" s="24"/>
    </row>
    <row r="27" spans="1:18">
      <c r="A27" s="682" t="s">
        <v>4</v>
      </c>
      <c r="D27" s="680">
        <v>0</v>
      </c>
      <c r="E27" s="680">
        <v>0</v>
      </c>
      <c r="F27" s="681">
        <v>0</v>
      </c>
      <c r="G27" s="759">
        <v>0</v>
      </c>
      <c r="H27" s="763">
        <f t="shared" ref="H27:Q27" si="8">G27</f>
        <v>0</v>
      </c>
      <c r="I27" s="763">
        <f t="shared" si="8"/>
        <v>0</v>
      </c>
      <c r="J27" s="763">
        <f t="shared" si="8"/>
        <v>0</v>
      </c>
      <c r="K27" s="763">
        <f t="shared" si="8"/>
        <v>0</v>
      </c>
      <c r="L27" s="763">
        <f t="shared" si="8"/>
        <v>0</v>
      </c>
      <c r="M27" s="763">
        <f t="shared" si="8"/>
        <v>0</v>
      </c>
      <c r="N27" s="763">
        <f t="shared" si="8"/>
        <v>0</v>
      </c>
      <c r="O27" s="763">
        <f t="shared" si="8"/>
        <v>0</v>
      </c>
      <c r="P27" s="763">
        <f t="shared" si="8"/>
        <v>0</v>
      </c>
      <c r="Q27" s="763">
        <f t="shared" si="8"/>
        <v>0</v>
      </c>
      <c r="R27" s="24"/>
    </row>
    <row r="28" spans="1:18">
      <c r="A28" s="74" t="s">
        <v>364</v>
      </c>
      <c r="B28" s="771">
        <f>Assumptions!D21</f>
        <v>0.38500000000000001</v>
      </c>
      <c r="D28" s="765">
        <f>SUM(D26:D27)</f>
        <v>100</v>
      </c>
      <c r="E28" s="765">
        <f>SUM(E26:E27)</f>
        <v>64</v>
      </c>
      <c r="F28" s="765">
        <f>SUM(F26:F27)</f>
        <v>60</v>
      </c>
      <c r="G28" s="765">
        <f>SUM(G26:G27)</f>
        <v>0</v>
      </c>
      <c r="H28" s="719">
        <f t="shared" ref="H28:Q28" si="9">H23*$B$28</f>
        <v>1205.0668607390915</v>
      </c>
      <c r="I28" s="719">
        <f t="shared" si="9"/>
        <v>1219.2605787390912</v>
      </c>
      <c r="J28" s="719">
        <f t="shared" si="9"/>
        <v>1235.8072242390913</v>
      </c>
      <c r="K28" s="719">
        <f t="shared" si="9"/>
        <v>1252.6311550704916</v>
      </c>
      <c r="L28" s="719">
        <f t="shared" si="9"/>
        <v>1269.7373804641338</v>
      </c>
      <c r="M28" s="719">
        <f t="shared" si="9"/>
        <v>1287.1310044707184</v>
      </c>
      <c r="N28" s="719">
        <f t="shared" si="9"/>
        <v>1304.8172278035561</v>
      </c>
      <c r="O28" s="719">
        <f t="shared" si="9"/>
        <v>1322.8013497176323</v>
      </c>
      <c r="P28" s="719">
        <f t="shared" si="9"/>
        <v>1341.088769925718</v>
      </c>
      <c r="Q28" s="719">
        <f t="shared" si="9"/>
        <v>1359.6849905522506</v>
      </c>
      <c r="R28" s="24"/>
    </row>
    <row r="29" spans="1:18">
      <c r="A29" s="1"/>
      <c r="B29" s="23"/>
      <c r="D29" s="678"/>
      <c r="E29" s="678"/>
      <c r="F29" s="640"/>
      <c r="G29" s="640"/>
      <c r="H29" s="641"/>
      <c r="I29" s="641"/>
      <c r="J29" s="679"/>
      <c r="K29" s="679"/>
      <c r="L29" s="641"/>
      <c r="M29" s="641"/>
      <c r="N29" s="641"/>
      <c r="O29" s="641"/>
      <c r="P29" s="641"/>
      <c r="Q29" s="641"/>
      <c r="R29" s="24"/>
    </row>
    <row r="30" spans="1:18">
      <c r="A30" s="683" t="s">
        <v>13</v>
      </c>
      <c r="B30" s="268"/>
      <c r="C30" s="35"/>
      <c r="D30" s="650">
        <f t="shared" ref="D30:Q30" si="10">D23-D28</f>
        <v>2681</v>
      </c>
      <c r="E30" s="650">
        <f t="shared" si="10"/>
        <v>2776</v>
      </c>
      <c r="F30" s="650">
        <f t="shared" si="10"/>
        <v>2767</v>
      </c>
      <c r="G30" s="650">
        <f t="shared" si="10"/>
        <v>3256</v>
      </c>
      <c r="H30" s="651">
        <f t="shared" si="10"/>
        <v>1924.9769333884185</v>
      </c>
      <c r="I30" s="651">
        <f t="shared" si="10"/>
        <v>1947.6500153884185</v>
      </c>
      <c r="J30" s="651">
        <f t="shared" si="10"/>
        <v>1974.0816698884187</v>
      </c>
      <c r="K30" s="651">
        <f t="shared" si="10"/>
        <v>2000.9562606970187</v>
      </c>
      <c r="L30" s="651">
        <f t="shared" si="10"/>
        <v>2028.2817895725771</v>
      </c>
      <c r="M30" s="651">
        <f t="shared" si="10"/>
        <v>2056.0664097389395</v>
      </c>
      <c r="N30" s="651">
        <f t="shared" si="10"/>
        <v>2084.3184288290568</v>
      </c>
      <c r="O30" s="651">
        <f t="shared" si="10"/>
        <v>2113.0463118866073</v>
      </c>
      <c r="P30" s="651">
        <f t="shared" si="10"/>
        <v>2142.2586844267962</v>
      </c>
      <c r="Q30" s="651">
        <f t="shared" si="10"/>
        <v>2171.9643355574908</v>
      </c>
      <c r="R30" s="19" t="s">
        <v>1</v>
      </c>
    </row>
    <row r="31" spans="1:18">
      <c r="A31" s="2"/>
      <c r="B31" s="23"/>
      <c r="D31" s="246"/>
      <c r="E31" s="246"/>
      <c r="F31" s="18"/>
      <c r="G31" s="18"/>
      <c r="H31" s="1"/>
      <c r="I31" s="1"/>
      <c r="J31" s="12"/>
      <c r="K31" s="12"/>
      <c r="L31" s="1"/>
      <c r="M31" s="1"/>
      <c r="N31" s="1"/>
      <c r="O31" s="1"/>
      <c r="P31" s="1"/>
      <c r="Q31" s="1"/>
      <c r="R31" s="19" t="s">
        <v>58</v>
      </c>
    </row>
    <row r="32" spans="1:18">
      <c r="A32" s="77" t="s">
        <v>365</v>
      </c>
      <c r="B32" s="23"/>
      <c r="D32" s="684">
        <f t="shared" ref="D32:Q32" si="11">D30+D27+D21</f>
        <v>3165</v>
      </c>
      <c r="E32" s="684">
        <f t="shared" si="11"/>
        <v>3371</v>
      </c>
      <c r="F32" s="684">
        <f t="shared" si="11"/>
        <v>3404</v>
      </c>
      <c r="G32" s="684">
        <f t="shared" si="11"/>
        <v>3794</v>
      </c>
      <c r="H32" s="642">
        <f t="shared" si="11"/>
        <v>2642.4531392609088</v>
      </c>
      <c r="I32" s="642">
        <f t="shared" si="11"/>
        <v>2682.626221260909</v>
      </c>
      <c r="J32" s="258">
        <f t="shared" si="11"/>
        <v>2721.3078757609092</v>
      </c>
      <c r="K32" s="258">
        <f t="shared" si="11"/>
        <v>2760.5887165695094</v>
      </c>
      <c r="L32" s="642">
        <f t="shared" si="11"/>
        <v>2800.4789829450674</v>
      </c>
      <c r="M32" s="642">
        <f t="shared" si="11"/>
        <v>2840.9891014864297</v>
      </c>
      <c r="N32" s="642">
        <f t="shared" si="11"/>
        <v>2882.1296897052971</v>
      </c>
      <c r="O32" s="642">
        <f t="shared" si="11"/>
        <v>2923.9115596682855</v>
      </c>
      <c r="P32" s="642">
        <f t="shared" si="11"/>
        <v>2966.345721710074</v>
      </c>
      <c r="Q32" s="642">
        <f t="shared" si="11"/>
        <v>3009.4433882190347</v>
      </c>
      <c r="R32" s="19" t="s">
        <v>59</v>
      </c>
    </row>
    <row r="33" spans="1:18">
      <c r="A33" s="77" t="s">
        <v>18</v>
      </c>
      <c r="B33" s="112"/>
      <c r="D33" s="18">
        <f t="shared" ref="D33:Q33" si="12">D107</f>
        <v>0</v>
      </c>
      <c r="E33" s="18">
        <f t="shared" si="12"/>
        <v>0</v>
      </c>
      <c r="F33" s="18">
        <f t="shared" si="12"/>
        <v>0</v>
      </c>
      <c r="G33" s="684">
        <f t="shared" si="12"/>
        <v>700</v>
      </c>
      <c r="H33" s="258">
        <f t="shared" si="12"/>
        <v>700</v>
      </c>
      <c r="I33" s="258">
        <f t="shared" si="12"/>
        <v>490</v>
      </c>
      <c r="J33" s="258">
        <f t="shared" si="12"/>
        <v>496.25</v>
      </c>
      <c r="K33" s="258">
        <f t="shared" si="12"/>
        <v>502.58950000000004</v>
      </c>
      <c r="L33" s="258">
        <f t="shared" si="12"/>
        <v>509.01993500000003</v>
      </c>
      <c r="M33" s="258">
        <f t="shared" si="12"/>
        <v>515.54276515000004</v>
      </c>
      <c r="N33" s="258">
        <f t="shared" si="12"/>
        <v>522.15947621750001</v>
      </c>
      <c r="O33" s="258">
        <f t="shared" si="12"/>
        <v>528.871580063995</v>
      </c>
      <c r="P33" s="258">
        <f t="shared" si="12"/>
        <v>535.6806151306414</v>
      </c>
      <c r="Q33" s="258">
        <f t="shared" si="12"/>
        <v>542.58814693327429</v>
      </c>
      <c r="R33" s="687">
        <f>Assumptions!E44</f>
        <v>12</v>
      </c>
    </row>
    <row r="34" spans="1:18">
      <c r="A34" s="2"/>
      <c r="B34" s="112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4"/>
    </row>
    <row r="35" spans="1:18" ht="27.75" customHeight="1" thickBot="1">
      <c r="A35" s="768" t="s">
        <v>406</v>
      </c>
      <c r="B35" s="685"/>
      <c r="C35" s="685"/>
      <c r="D35" s="688">
        <f t="shared" ref="D35:Q35" si="13">D32-D33</f>
        <v>3165</v>
      </c>
      <c r="E35" s="688">
        <f t="shared" si="13"/>
        <v>3371</v>
      </c>
      <c r="F35" s="688">
        <f t="shared" si="13"/>
        <v>3404</v>
      </c>
      <c r="G35" s="688">
        <f t="shared" si="13"/>
        <v>3094</v>
      </c>
      <c r="H35" s="689">
        <f t="shared" si="13"/>
        <v>1942.4531392609088</v>
      </c>
      <c r="I35" s="689">
        <f t="shared" si="13"/>
        <v>2192.626221260909</v>
      </c>
      <c r="J35" s="689">
        <f t="shared" si="13"/>
        <v>2225.0578757609092</v>
      </c>
      <c r="K35" s="689">
        <f t="shared" si="13"/>
        <v>2257.9992165695094</v>
      </c>
      <c r="L35" s="689">
        <f t="shared" si="13"/>
        <v>2291.4590479450671</v>
      </c>
      <c r="M35" s="689">
        <f t="shared" si="13"/>
        <v>2325.4463363364298</v>
      </c>
      <c r="N35" s="689">
        <f t="shared" si="13"/>
        <v>2359.9702134877971</v>
      </c>
      <c r="O35" s="689">
        <f t="shared" si="13"/>
        <v>2395.0399796042902</v>
      </c>
      <c r="P35" s="689">
        <f t="shared" si="13"/>
        <v>2430.6651065794326</v>
      </c>
      <c r="Q35" s="689">
        <f t="shared" si="13"/>
        <v>2466.8552412857603</v>
      </c>
      <c r="R35" s="686">
        <f>Q15*R37</f>
        <v>52429.540545255426</v>
      </c>
    </row>
    <row r="36" spans="1:18" ht="13.5" thickTop="1">
      <c r="A36" s="745"/>
      <c r="B36" s="35"/>
      <c r="C36" s="35"/>
      <c r="D36" s="651"/>
      <c r="E36" s="651"/>
      <c r="F36" s="651"/>
      <c r="G36" s="651"/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234"/>
    </row>
    <row r="37" spans="1:18">
      <c r="A37" s="745"/>
      <c r="B37" s="35"/>
      <c r="C37" s="35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96">
        <f>Scenarios!C5</f>
        <v>12</v>
      </c>
    </row>
    <row r="38" spans="1:18">
      <c r="A38" s="745"/>
      <c r="B38" s="35"/>
      <c r="C38" s="35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95" t="s">
        <v>369</v>
      </c>
    </row>
    <row r="39" spans="1:18" ht="13.5" thickBot="1"/>
    <row r="40" spans="1:18" ht="15">
      <c r="F40"/>
      <c r="G40" s="164" t="s">
        <v>10</v>
      </c>
      <c r="H40" s="165" t="str">
        <f>(Assumptions!D14-1&amp;" EBITDA")</f>
        <v>2001 EBITDA</v>
      </c>
      <c r="I40" s="165" t="s">
        <v>60</v>
      </c>
      <c r="J40" s="166"/>
      <c r="K40" s="1006" t="s">
        <v>11</v>
      </c>
      <c r="L40" s="1006"/>
      <c r="M40" s="1007"/>
      <c r="P40" s="1"/>
      <c r="Q40" s="1"/>
    </row>
    <row r="41" spans="1:18" ht="15">
      <c r="F41"/>
      <c r="G41" s="167" t="s">
        <v>12</v>
      </c>
      <c r="H41" s="168" t="s">
        <v>19</v>
      </c>
      <c r="I41" s="168" t="s">
        <v>61</v>
      </c>
      <c r="J41" s="169"/>
      <c r="K41" s="170">
        <f>Asset3Drate-0.025</f>
        <v>0.1</v>
      </c>
      <c r="L41" s="703">
        <f>Scenarios!C6</f>
        <v>0.125</v>
      </c>
      <c r="M41" s="171">
        <f>Asset3Drate+0.025</f>
        <v>0.15</v>
      </c>
      <c r="P41" s="1"/>
      <c r="Q41" s="1"/>
    </row>
    <row r="42" spans="1:18">
      <c r="F42" s="8" t="s">
        <v>17</v>
      </c>
      <c r="G42" s="172"/>
      <c r="H42" s="173"/>
      <c r="I42" s="173"/>
      <c r="J42" s="162"/>
      <c r="K42" s="162"/>
      <c r="L42" s="162"/>
      <c r="M42" s="174"/>
      <c r="P42" s="1"/>
      <c r="Q42" s="1"/>
    </row>
    <row r="43" spans="1:18" ht="13.5" thickBot="1">
      <c r="F43">
        <f>IF(ABS(G43-L43)&lt;0.05,0,1)</f>
        <v>1</v>
      </c>
      <c r="G43" s="216">
        <v>27999.048234899619</v>
      </c>
      <c r="H43" s="217">
        <f>G43/F15</f>
        <v>8.0828661186199824</v>
      </c>
      <c r="I43" s="218" t="str">
        <f>Assumptions!D41</f>
        <v>ETS</v>
      </c>
      <c r="J43" s="219"/>
      <c r="K43" s="783">
        <f>NPV(K41,$G$35:$R$35)</f>
        <v>32098.073850733574</v>
      </c>
      <c r="L43" s="783">
        <f>NPV(L41,$G$35:$R$35)</f>
        <v>26547.20834600172</v>
      </c>
      <c r="M43" s="215">
        <f>NPV(M41,$G$35:$R$35)</f>
        <v>22243.398244466778</v>
      </c>
      <c r="P43" s="1"/>
      <c r="Q43" s="1"/>
      <c r="R43" s="1"/>
    </row>
    <row r="44" spans="1:18">
      <c r="F44"/>
      <c r="G44" s="12"/>
      <c r="H44" s="163"/>
      <c r="I44" s="163"/>
      <c r="J44" s="12"/>
      <c r="K44" s="781"/>
      <c r="L44" s="782"/>
      <c r="M44" s="78"/>
      <c r="P44" s="1"/>
      <c r="Q44" s="1"/>
      <c r="R44" s="1"/>
    </row>
    <row r="45" spans="1:18">
      <c r="F45" s="12"/>
      <c r="G45" s="1"/>
      <c r="H45" s="1"/>
      <c r="I45" s="1"/>
      <c r="J45" s="1"/>
      <c r="K45" s="781"/>
      <c r="L45" s="78"/>
      <c r="N45" s="1"/>
      <c r="O45" s="1"/>
      <c r="P45" s="1"/>
      <c r="Q45" s="1"/>
    </row>
    <row r="46" spans="1:18">
      <c r="D46" s="12"/>
      <c r="E46" s="12"/>
      <c r="F46" s="12"/>
      <c r="G46" s="12"/>
      <c r="H46" s="12"/>
      <c r="I46" s="24"/>
      <c r="J46" s="24"/>
      <c r="K46" s="24"/>
      <c r="L46" s="24"/>
      <c r="M46" s="24"/>
      <c r="N46" s="24"/>
      <c r="O46" s="24"/>
      <c r="P46" s="24"/>
      <c r="Q46" s="24"/>
    </row>
    <row r="47" spans="1:18" ht="15.75">
      <c r="A47" s="563" t="s">
        <v>63</v>
      </c>
      <c r="B47" s="442"/>
      <c r="C47" s="442"/>
      <c r="D47" s="442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 s="442"/>
      <c r="P47" s="442"/>
      <c r="Q47" s="442"/>
      <c r="R47" s="24"/>
    </row>
    <row r="48" spans="1:18">
      <c r="D48" s="560"/>
      <c r="E48" s="560"/>
      <c r="F48" s="386"/>
      <c r="G48" s="372" t="s">
        <v>263</v>
      </c>
      <c r="H48" s="391"/>
      <c r="I48" s="386"/>
      <c r="J48" s="386"/>
      <c r="K48" s="304"/>
      <c r="L48" s="386"/>
      <c r="M48" s="304"/>
      <c r="N48" s="304"/>
      <c r="O48" s="304"/>
      <c r="P48" s="304"/>
      <c r="Q48" s="355"/>
      <c r="R48" s="24"/>
    </row>
    <row r="49" spans="1:18">
      <c r="D49" s="316">
        <v>1998</v>
      </c>
      <c r="E49" s="316">
        <v>1999</v>
      </c>
      <c r="F49" s="316">
        <v>2000</v>
      </c>
      <c r="G49" s="316">
        <v>2001</v>
      </c>
      <c r="H49" s="352">
        <v>2002</v>
      </c>
      <c r="I49" s="352">
        <v>2003</v>
      </c>
      <c r="J49" s="352">
        <v>2004</v>
      </c>
      <c r="K49" s="352">
        <v>2005</v>
      </c>
      <c r="L49" s="352">
        <v>2006</v>
      </c>
      <c r="M49" s="356">
        <v>2007</v>
      </c>
      <c r="N49" s="356">
        <v>2008</v>
      </c>
      <c r="O49" s="356">
        <v>2009</v>
      </c>
      <c r="P49" s="356">
        <v>2010</v>
      </c>
      <c r="Q49" s="760">
        <v>2011</v>
      </c>
      <c r="R49" s="24"/>
    </row>
    <row r="50" spans="1:18">
      <c r="B50" s="40" t="s">
        <v>84</v>
      </c>
      <c r="C50" s="373"/>
      <c r="F50" s="8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</row>
    <row r="51" spans="1:18">
      <c r="A51" s="6" t="s">
        <v>388</v>
      </c>
      <c r="B51" s="778">
        <v>1</v>
      </c>
      <c r="C51" s="373"/>
      <c r="D51" s="643">
        <f>$B$51*2606</f>
        <v>2606</v>
      </c>
      <c r="E51" s="643">
        <f>$B$51*2667</f>
        <v>2667</v>
      </c>
      <c r="F51" s="643">
        <f>$B$51*2676</f>
        <v>2676</v>
      </c>
      <c r="G51" s="643">
        <f>$B$51*2*1289</f>
        <v>2578</v>
      </c>
      <c r="H51" s="642">
        <f t="shared" ref="H51:Q51" si="14">G51*H62</f>
        <v>2603.7800000000002</v>
      </c>
      <c r="I51" s="642">
        <f t="shared" si="14"/>
        <v>2629.8178000000003</v>
      </c>
      <c r="J51" s="642">
        <f t="shared" si="14"/>
        <v>2656.1159780000003</v>
      </c>
      <c r="K51" s="642">
        <f t="shared" si="14"/>
        <v>2682.6771377800005</v>
      </c>
      <c r="L51" s="642">
        <f t="shared" si="14"/>
        <v>2709.5039091578005</v>
      </c>
      <c r="M51" s="642">
        <f t="shared" si="14"/>
        <v>2736.5989482493787</v>
      </c>
      <c r="N51" s="642">
        <f t="shared" si="14"/>
        <v>2763.9649377318724</v>
      </c>
      <c r="O51" s="642">
        <f t="shared" si="14"/>
        <v>2791.604587109191</v>
      </c>
      <c r="P51" s="642">
        <f t="shared" si="14"/>
        <v>2819.5206329802832</v>
      </c>
      <c r="Q51" s="642">
        <f t="shared" si="14"/>
        <v>2847.7158393100858</v>
      </c>
      <c r="R51" s="24"/>
    </row>
    <row r="52" spans="1:18">
      <c r="A52" s="740" t="s">
        <v>389</v>
      </c>
      <c r="B52" s="778">
        <v>1</v>
      </c>
      <c r="C52" s="373"/>
      <c r="D52" s="643">
        <f>$B$52*1051</f>
        <v>1051</v>
      </c>
      <c r="E52" s="643">
        <f>$B$52*1156</f>
        <v>1156</v>
      </c>
      <c r="F52" s="643">
        <f>$B$52*1196</f>
        <v>1196</v>
      </c>
      <c r="G52" s="643">
        <f>$B$52*2*779</f>
        <v>1558</v>
      </c>
      <c r="H52" s="642">
        <f t="shared" ref="H52:Q52" si="15">G52*H63</f>
        <v>1589.16</v>
      </c>
      <c r="I52" s="642">
        <f t="shared" si="15"/>
        <v>1620.9432000000002</v>
      </c>
      <c r="J52" s="642">
        <f t="shared" si="15"/>
        <v>1653.3620640000001</v>
      </c>
      <c r="K52" s="642">
        <f t="shared" si="15"/>
        <v>1686.4293052800001</v>
      </c>
      <c r="L52" s="642">
        <f t="shared" si="15"/>
        <v>1720.1578913856001</v>
      </c>
      <c r="M52" s="642">
        <f t="shared" si="15"/>
        <v>1754.5610492133121</v>
      </c>
      <c r="N52" s="642">
        <f t="shared" si="15"/>
        <v>1789.6522701975784</v>
      </c>
      <c r="O52" s="642">
        <f t="shared" si="15"/>
        <v>1825.44531560153</v>
      </c>
      <c r="P52" s="642">
        <f t="shared" si="15"/>
        <v>1861.9542219135606</v>
      </c>
      <c r="Q52" s="642">
        <f t="shared" si="15"/>
        <v>1899.1933063518318</v>
      </c>
      <c r="R52" s="24"/>
    </row>
    <row r="53" spans="1:18">
      <c r="A53" s="740" t="s">
        <v>390</v>
      </c>
      <c r="B53" s="778">
        <v>0</v>
      </c>
      <c r="C53" s="373"/>
      <c r="D53" s="750">
        <f>$B$53*160</f>
        <v>0</v>
      </c>
      <c r="E53" s="750">
        <f>$B$53*785</f>
        <v>0</v>
      </c>
      <c r="F53" s="750">
        <f>$B$53*906</f>
        <v>0</v>
      </c>
      <c r="G53" s="750">
        <f>$B$53*2*649</f>
        <v>0</v>
      </c>
      <c r="H53" s="642">
        <f t="shared" ref="H53:Q53" si="16">G53*H64</f>
        <v>0</v>
      </c>
      <c r="I53" s="642">
        <f t="shared" si="16"/>
        <v>0</v>
      </c>
      <c r="J53" s="642">
        <f t="shared" si="16"/>
        <v>0</v>
      </c>
      <c r="K53" s="642">
        <f t="shared" si="16"/>
        <v>0</v>
      </c>
      <c r="L53" s="642">
        <f t="shared" si="16"/>
        <v>0</v>
      </c>
      <c r="M53" s="642">
        <f t="shared" si="16"/>
        <v>0</v>
      </c>
      <c r="N53" s="642">
        <f t="shared" si="16"/>
        <v>0</v>
      </c>
      <c r="O53" s="642">
        <f t="shared" si="16"/>
        <v>0</v>
      </c>
      <c r="P53" s="642">
        <f t="shared" si="16"/>
        <v>0</v>
      </c>
      <c r="Q53" s="642">
        <f t="shared" si="16"/>
        <v>0</v>
      </c>
      <c r="R53" s="24"/>
    </row>
    <row r="54" spans="1:18">
      <c r="A54" s="6" t="s">
        <v>391</v>
      </c>
      <c r="B54" s="778">
        <v>0</v>
      </c>
      <c r="C54" s="373"/>
      <c r="D54" s="643">
        <f>$B$54*277</f>
        <v>0</v>
      </c>
      <c r="E54" s="643">
        <f>$B$54*390</f>
        <v>0</v>
      </c>
      <c r="F54" s="643">
        <f>$B$54*500</f>
        <v>0</v>
      </c>
      <c r="G54" s="643">
        <f>$B$54*2*216</f>
        <v>0</v>
      </c>
      <c r="H54" s="642">
        <f t="shared" ref="H54:Q54" si="17">G54*H65</f>
        <v>0</v>
      </c>
      <c r="I54" s="642">
        <f t="shared" si="17"/>
        <v>0</v>
      </c>
      <c r="J54" s="642">
        <f t="shared" si="17"/>
        <v>0</v>
      </c>
      <c r="K54" s="642">
        <f t="shared" si="17"/>
        <v>0</v>
      </c>
      <c r="L54" s="642">
        <f t="shared" si="17"/>
        <v>0</v>
      </c>
      <c r="M54" s="642">
        <f t="shared" si="17"/>
        <v>0</v>
      </c>
      <c r="N54" s="642">
        <f t="shared" si="17"/>
        <v>0</v>
      </c>
      <c r="O54" s="642">
        <f t="shared" si="17"/>
        <v>0</v>
      </c>
      <c r="P54" s="642">
        <f t="shared" si="17"/>
        <v>0</v>
      </c>
      <c r="Q54" s="642">
        <f t="shared" si="17"/>
        <v>0</v>
      </c>
      <c r="R54" s="24"/>
    </row>
    <row r="55" spans="1:18">
      <c r="A55" s="6" t="s">
        <v>408</v>
      </c>
      <c r="B55" s="778">
        <v>0</v>
      </c>
      <c r="C55" s="373"/>
      <c r="D55" s="643">
        <f>$B$55*63</f>
        <v>0</v>
      </c>
      <c r="E55" s="643">
        <f>$B$55*98</f>
        <v>0</v>
      </c>
      <c r="F55" s="643">
        <f>$B$55*131</f>
        <v>0</v>
      </c>
      <c r="G55" s="643">
        <f>$B$55*2*96</f>
        <v>0</v>
      </c>
      <c r="H55" s="642">
        <f t="shared" ref="H55:Q55" si="18">G55*H66</f>
        <v>0</v>
      </c>
      <c r="I55" s="642">
        <f t="shared" si="18"/>
        <v>0</v>
      </c>
      <c r="J55" s="642">
        <f t="shared" si="18"/>
        <v>0</v>
      </c>
      <c r="K55" s="642">
        <f t="shared" si="18"/>
        <v>0</v>
      </c>
      <c r="L55" s="642">
        <f t="shared" si="18"/>
        <v>0</v>
      </c>
      <c r="M55" s="642">
        <f t="shared" si="18"/>
        <v>0</v>
      </c>
      <c r="N55" s="642">
        <f t="shared" si="18"/>
        <v>0</v>
      </c>
      <c r="O55" s="642">
        <f t="shared" si="18"/>
        <v>0</v>
      </c>
      <c r="P55" s="642">
        <f t="shared" si="18"/>
        <v>0</v>
      </c>
      <c r="Q55" s="642">
        <f t="shared" si="18"/>
        <v>0</v>
      </c>
      <c r="R55" s="24"/>
    </row>
    <row r="56" spans="1:18">
      <c r="A56" s="740" t="s">
        <v>393</v>
      </c>
      <c r="B56" s="778">
        <v>0</v>
      </c>
      <c r="C56" s="373"/>
      <c r="D56" s="643">
        <f>$B$56*939</f>
        <v>0</v>
      </c>
      <c r="E56" s="643">
        <f>$B$56*799</f>
        <v>0</v>
      </c>
      <c r="F56" s="643">
        <f>$B$56*3294</f>
        <v>0</v>
      </c>
      <c r="G56" s="643">
        <f>$B$56*2*5433</f>
        <v>0</v>
      </c>
      <c r="H56" s="642">
        <f t="shared" ref="H56:Q56" si="19">G56*H67</f>
        <v>0</v>
      </c>
      <c r="I56" s="642">
        <f t="shared" si="19"/>
        <v>0</v>
      </c>
      <c r="J56" s="642">
        <f t="shared" si="19"/>
        <v>0</v>
      </c>
      <c r="K56" s="642">
        <f t="shared" si="19"/>
        <v>0</v>
      </c>
      <c r="L56" s="642">
        <f t="shared" si="19"/>
        <v>0</v>
      </c>
      <c r="M56" s="642">
        <f t="shared" si="19"/>
        <v>0</v>
      </c>
      <c r="N56" s="642">
        <f t="shared" si="19"/>
        <v>0</v>
      </c>
      <c r="O56" s="642">
        <f t="shared" si="19"/>
        <v>0</v>
      </c>
      <c r="P56" s="642">
        <f t="shared" si="19"/>
        <v>0</v>
      </c>
      <c r="Q56" s="642">
        <f t="shared" si="19"/>
        <v>0</v>
      </c>
      <c r="R56" s="24"/>
    </row>
    <row r="57" spans="1:18">
      <c r="A57" s="740" t="s">
        <v>394</v>
      </c>
      <c r="B57" s="778">
        <v>0</v>
      </c>
      <c r="C57" s="373"/>
      <c r="D57" s="643">
        <f>$B$57*30</f>
        <v>0</v>
      </c>
      <c r="E57" s="643">
        <f>$B$57*177</f>
        <v>0</v>
      </c>
      <c r="F57" s="643">
        <f>$B$57*265</f>
        <v>0</v>
      </c>
      <c r="G57" s="643">
        <f>$B$57*2*72</f>
        <v>0</v>
      </c>
      <c r="H57" s="642">
        <f t="shared" ref="H57:Q57" si="20">G57*H68</f>
        <v>0</v>
      </c>
      <c r="I57" s="642">
        <f t="shared" si="20"/>
        <v>0</v>
      </c>
      <c r="J57" s="642">
        <f t="shared" si="20"/>
        <v>0</v>
      </c>
      <c r="K57" s="642">
        <f t="shared" si="20"/>
        <v>0</v>
      </c>
      <c r="L57" s="642">
        <f t="shared" si="20"/>
        <v>0</v>
      </c>
      <c r="M57" s="642">
        <f t="shared" si="20"/>
        <v>0</v>
      </c>
      <c r="N57" s="642">
        <f t="shared" si="20"/>
        <v>0</v>
      </c>
      <c r="O57" s="642">
        <f t="shared" si="20"/>
        <v>0</v>
      </c>
      <c r="P57" s="642">
        <f t="shared" si="20"/>
        <v>0</v>
      </c>
      <c r="Q57" s="642">
        <f t="shared" si="20"/>
        <v>0</v>
      </c>
      <c r="R57" s="24"/>
    </row>
    <row r="58" spans="1:18">
      <c r="A58" s="749" t="s">
        <v>85</v>
      </c>
      <c r="B58" s="779">
        <v>0</v>
      </c>
      <c r="C58" s="756"/>
      <c r="D58" s="649">
        <f>$B$58*15</f>
        <v>0</v>
      </c>
      <c r="E58" s="649">
        <f>$B$58*31</f>
        <v>0</v>
      </c>
      <c r="F58" s="649">
        <f>$B$58*30</f>
        <v>0</v>
      </c>
      <c r="G58" s="649">
        <f>$B$58*2*13</f>
        <v>0</v>
      </c>
      <c r="H58" s="763">
        <f t="shared" ref="H58:Q58" si="21">G58*H69</f>
        <v>0</v>
      </c>
      <c r="I58" s="763">
        <f t="shared" si="21"/>
        <v>0</v>
      </c>
      <c r="J58" s="763">
        <f t="shared" si="21"/>
        <v>0</v>
      </c>
      <c r="K58" s="763">
        <f t="shared" si="21"/>
        <v>0</v>
      </c>
      <c r="L58" s="763">
        <f t="shared" si="21"/>
        <v>0</v>
      </c>
      <c r="M58" s="763">
        <f t="shared" si="21"/>
        <v>0</v>
      </c>
      <c r="N58" s="763">
        <f t="shared" si="21"/>
        <v>0</v>
      </c>
      <c r="O58" s="763">
        <f t="shared" si="21"/>
        <v>0</v>
      </c>
      <c r="P58" s="763">
        <f t="shared" si="21"/>
        <v>0</v>
      </c>
      <c r="Q58" s="763">
        <f t="shared" si="21"/>
        <v>0</v>
      </c>
      <c r="R58" s="24"/>
    </row>
    <row r="59" spans="1:18">
      <c r="A59" s="654" t="s">
        <v>335</v>
      </c>
      <c r="B59" s="653"/>
      <c r="C59" s="373"/>
      <c r="D59" s="650">
        <f t="shared" ref="D59:Q59" si="22">SUM(D51:D58)</f>
        <v>3657</v>
      </c>
      <c r="E59" s="650">
        <f t="shared" si="22"/>
        <v>3823</v>
      </c>
      <c r="F59" s="650">
        <f t="shared" si="22"/>
        <v>3872</v>
      </c>
      <c r="G59" s="650">
        <f t="shared" si="22"/>
        <v>4136</v>
      </c>
      <c r="H59" s="651">
        <f t="shared" si="22"/>
        <v>4192.9400000000005</v>
      </c>
      <c r="I59" s="651">
        <f t="shared" si="22"/>
        <v>4250.7610000000004</v>
      </c>
      <c r="J59" s="651">
        <f t="shared" si="22"/>
        <v>4309.4780420000006</v>
      </c>
      <c r="K59" s="651">
        <f t="shared" si="22"/>
        <v>4369.1064430600009</v>
      </c>
      <c r="L59" s="651">
        <f t="shared" si="22"/>
        <v>4429.6618005434011</v>
      </c>
      <c r="M59" s="651">
        <f t="shared" si="22"/>
        <v>4491.1599974626906</v>
      </c>
      <c r="N59" s="651">
        <f t="shared" si="22"/>
        <v>4553.6172079294511</v>
      </c>
      <c r="O59" s="651">
        <f t="shared" si="22"/>
        <v>4617.0499027107207</v>
      </c>
      <c r="P59" s="651">
        <f t="shared" si="22"/>
        <v>4681.4748548938442</v>
      </c>
      <c r="Q59" s="651">
        <f t="shared" si="22"/>
        <v>4746.9091456619171</v>
      </c>
      <c r="R59" s="24"/>
    </row>
    <row r="60" spans="1:18">
      <c r="C60" s="373"/>
      <c r="D60" s="652"/>
      <c r="F60" s="85"/>
      <c r="G60" s="80"/>
      <c r="H60" s="80"/>
      <c r="I60" s="80"/>
      <c r="J60" s="86"/>
      <c r="K60" s="86"/>
      <c r="L60" s="80"/>
      <c r="M60" s="80"/>
      <c r="N60" s="80"/>
      <c r="O60" s="80"/>
      <c r="P60" s="80"/>
      <c r="Q60" s="80"/>
      <c r="R60" s="24"/>
    </row>
    <row r="61" spans="1:18" ht="15.75">
      <c r="A61" s="755" t="s">
        <v>395</v>
      </c>
      <c r="B61" s="477"/>
      <c r="C61" s="751"/>
      <c r="D61" s="752"/>
      <c r="E61" s="477"/>
      <c r="F61" s="753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69"/>
    </row>
    <row r="62" spans="1:18">
      <c r="A62" s="6" t="s">
        <v>388</v>
      </c>
      <c r="C62" s="373"/>
      <c r="D62" s="652"/>
      <c r="F62" s="85"/>
      <c r="G62" s="747"/>
      <c r="H62" s="746">
        <v>1.01</v>
      </c>
      <c r="I62" s="746">
        <v>1.01</v>
      </c>
      <c r="J62" s="746">
        <v>1.01</v>
      </c>
      <c r="K62" s="746">
        <v>1.01</v>
      </c>
      <c r="L62" s="746">
        <v>1.01</v>
      </c>
      <c r="M62" s="746">
        <v>1.01</v>
      </c>
      <c r="N62" s="746">
        <v>1.01</v>
      </c>
      <c r="O62" s="746">
        <v>1.01</v>
      </c>
      <c r="P62" s="746">
        <v>1.01</v>
      </c>
      <c r="Q62" s="746">
        <v>1.01</v>
      </c>
      <c r="R62" s="24"/>
    </row>
    <row r="63" spans="1:18">
      <c r="A63" s="740" t="s">
        <v>389</v>
      </c>
      <c r="C63" s="373"/>
      <c r="D63" s="652"/>
      <c r="F63" s="85"/>
      <c r="G63" s="747"/>
      <c r="H63" s="746">
        <v>1.02</v>
      </c>
      <c r="I63" s="746">
        <v>1.02</v>
      </c>
      <c r="J63" s="746">
        <v>1.02</v>
      </c>
      <c r="K63" s="746">
        <v>1.02</v>
      </c>
      <c r="L63" s="746">
        <v>1.02</v>
      </c>
      <c r="M63" s="746">
        <v>1.02</v>
      </c>
      <c r="N63" s="746">
        <v>1.02</v>
      </c>
      <c r="O63" s="746">
        <v>1.02</v>
      </c>
      <c r="P63" s="746">
        <v>1.02</v>
      </c>
      <c r="Q63" s="746">
        <v>1.02</v>
      </c>
      <c r="R63" s="24"/>
    </row>
    <row r="64" spans="1:18">
      <c r="A64" s="740" t="s">
        <v>390</v>
      </c>
      <c r="C64" s="373"/>
      <c r="D64" s="652"/>
      <c r="F64" s="85"/>
      <c r="G64" s="747"/>
      <c r="H64" s="746">
        <v>1.03</v>
      </c>
      <c r="I64" s="746">
        <v>1.03</v>
      </c>
      <c r="J64" s="746">
        <v>1.03</v>
      </c>
      <c r="K64" s="746">
        <v>1.03</v>
      </c>
      <c r="L64" s="746">
        <v>1.03</v>
      </c>
      <c r="M64" s="746">
        <v>1.03</v>
      </c>
      <c r="N64" s="746">
        <v>1.03</v>
      </c>
      <c r="O64" s="746">
        <v>1.03</v>
      </c>
      <c r="P64" s="746">
        <v>1.03</v>
      </c>
      <c r="Q64" s="746">
        <v>1.03</v>
      </c>
      <c r="R64" s="24"/>
    </row>
    <row r="65" spans="1:18">
      <c r="A65" s="6" t="s">
        <v>391</v>
      </c>
      <c r="C65" s="373"/>
      <c r="D65" s="652"/>
      <c r="F65" s="85"/>
      <c r="G65" s="747"/>
      <c r="H65" s="746">
        <v>1.02</v>
      </c>
      <c r="I65" s="746">
        <v>1.02</v>
      </c>
      <c r="J65" s="746">
        <v>1.02</v>
      </c>
      <c r="K65" s="746">
        <v>1.02</v>
      </c>
      <c r="L65" s="746">
        <v>1.02</v>
      </c>
      <c r="M65" s="746">
        <v>1.02</v>
      </c>
      <c r="N65" s="746">
        <v>1.02</v>
      </c>
      <c r="O65" s="746">
        <v>1.02</v>
      </c>
      <c r="P65" s="746">
        <v>1.02</v>
      </c>
      <c r="Q65" s="746">
        <v>1.02</v>
      </c>
      <c r="R65" s="24"/>
    </row>
    <row r="66" spans="1:18">
      <c r="A66" s="6" t="s">
        <v>392</v>
      </c>
      <c r="C66" s="373"/>
      <c r="D66" s="652"/>
      <c r="F66" s="85"/>
      <c r="G66" s="747"/>
      <c r="H66" s="746">
        <v>1.03</v>
      </c>
      <c r="I66" s="746">
        <v>1.03</v>
      </c>
      <c r="J66" s="746">
        <v>1.03</v>
      </c>
      <c r="K66" s="746">
        <v>1.03</v>
      </c>
      <c r="L66" s="746">
        <v>1.03</v>
      </c>
      <c r="M66" s="746">
        <v>1.03</v>
      </c>
      <c r="N66" s="746">
        <v>1.03</v>
      </c>
      <c r="O66" s="746">
        <v>1.03</v>
      </c>
      <c r="P66" s="746">
        <v>1.03</v>
      </c>
      <c r="Q66" s="746">
        <v>1.03</v>
      </c>
      <c r="R66" s="24"/>
    </row>
    <row r="67" spans="1:18">
      <c r="A67" s="740" t="s">
        <v>393</v>
      </c>
      <c r="C67" s="373"/>
      <c r="D67" s="652"/>
      <c r="F67" s="85"/>
      <c r="G67" s="747"/>
      <c r="H67" s="746">
        <v>1.25</v>
      </c>
      <c r="I67" s="746">
        <v>1.25</v>
      </c>
      <c r="J67" s="746">
        <v>1.1499999999999999</v>
      </c>
      <c r="K67" s="746">
        <v>1.1499999999999999</v>
      </c>
      <c r="L67" s="746">
        <v>1.05</v>
      </c>
      <c r="M67" s="746">
        <v>1.05</v>
      </c>
      <c r="N67" s="746">
        <v>0.95</v>
      </c>
      <c r="O67" s="746">
        <v>0.95</v>
      </c>
      <c r="P67" s="746">
        <v>0.85</v>
      </c>
      <c r="Q67" s="746">
        <v>0.85</v>
      </c>
      <c r="R67" s="24"/>
    </row>
    <row r="68" spans="1:18">
      <c r="A68" s="740" t="s">
        <v>394</v>
      </c>
      <c r="C68" s="373"/>
      <c r="D68" s="652"/>
      <c r="F68" s="85"/>
      <c r="G68" s="747"/>
      <c r="H68" s="746">
        <v>1.01</v>
      </c>
      <c r="I68" s="746">
        <v>1.01</v>
      </c>
      <c r="J68" s="746">
        <v>1.01</v>
      </c>
      <c r="K68" s="746">
        <v>1.01</v>
      </c>
      <c r="L68" s="746">
        <v>1.01</v>
      </c>
      <c r="M68" s="746">
        <v>1.01</v>
      </c>
      <c r="N68" s="746">
        <v>1.01</v>
      </c>
      <c r="O68" s="746">
        <v>1.01</v>
      </c>
      <c r="P68" s="746">
        <v>1.01</v>
      </c>
      <c r="Q68" s="746">
        <v>1.01</v>
      </c>
      <c r="R68" s="24"/>
    </row>
    <row r="69" spans="1:18">
      <c r="A69" s="662" t="s">
        <v>85</v>
      </c>
      <c r="C69" s="373"/>
      <c r="D69" s="652"/>
      <c r="F69" s="85"/>
      <c r="G69" s="747"/>
      <c r="H69" s="746">
        <v>1.01</v>
      </c>
      <c r="I69" s="746">
        <v>1.01</v>
      </c>
      <c r="J69" s="746">
        <v>1.01</v>
      </c>
      <c r="K69" s="746">
        <v>1.01</v>
      </c>
      <c r="L69" s="746">
        <v>1.01</v>
      </c>
      <c r="M69" s="746">
        <v>1.01</v>
      </c>
      <c r="N69" s="746">
        <v>1.01</v>
      </c>
      <c r="O69" s="746">
        <v>1.01</v>
      </c>
      <c r="P69" s="746">
        <v>1.01</v>
      </c>
      <c r="Q69" s="746">
        <v>1.01</v>
      </c>
      <c r="R69" s="24"/>
    </row>
    <row r="70" spans="1:18">
      <c r="R70" s="24"/>
    </row>
    <row r="71" spans="1:18">
      <c r="R71" s="24"/>
    </row>
    <row r="72" spans="1:18" ht="15.75">
      <c r="A72" s="563" t="s">
        <v>304</v>
      </c>
      <c r="B72" s="442"/>
      <c r="C72" s="442"/>
      <c r="D72" s="442"/>
      <c r="E72" s="442"/>
      <c r="F72" s="442"/>
      <c r="G72" s="442"/>
      <c r="H72" s="442"/>
      <c r="I72" s="442"/>
      <c r="J72" s="442"/>
      <c r="K72" s="442"/>
      <c r="L72" s="442"/>
      <c r="M72" s="442"/>
      <c r="N72" s="442"/>
      <c r="O72" s="442"/>
      <c r="P72" s="442"/>
      <c r="Q72" s="442"/>
      <c r="R72" s="24"/>
    </row>
    <row r="73" spans="1:18" s="24" customFormat="1" ht="14.25" customHeight="1">
      <c r="A73" s="568"/>
      <c r="D73" s="560"/>
      <c r="E73" s="560"/>
      <c r="F73" s="386"/>
      <c r="G73" s="372" t="s">
        <v>263</v>
      </c>
      <c r="H73" s="391"/>
      <c r="I73" s="386"/>
      <c r="J73" s="386"/>
      <c r="K73" s="304"/>
      <c r="L73" s="386"/>
      <c r="M73" s="304"/>
      <c r="N73" s="304"/>
      <c r="O73" s="304"/>
      <c r="P73" s="304"/>
      <c r="Q73" s="355"/>
    </row>
    <row r="74" spans="1:18" s="24" customFormat="1" ht="15.75">
      <c r="A74" s="568"/>
      <c r="B74" s="40" t="s">
        <v>84</v>
      </c>
      <c r="D74" s="316">
        <v>1998</v>
      </c>
      <c r="E74" s="316">
        <v>1999</v>
      </c>
      <c r="F74" s="316">
        <v>2000</v>
      </c>
      <c r="G74" s="316">
        <v>2001</v>
      </c>
      <c r="H74" s="352">
        <v>2002</v>
      </c>
      <c r="I74" s="352">
        <v>2003</v>
      </c>
      <c r="J74" s="352">
        <v>2004</v>
      </c>
      <c r="K74" s="352">
        <v>2005</v>
      </c>
      <c r="L74" s="352">
        <v>2006</v>
      </c>
      <c r="M74" s="356">
        <v>2007</v>
      </c>
      <c r="N74" s="356">
        <v>2008</v>
      </c>
      <c r="O74" s="356">
        <v>2009</v>
      </c>
      <c r="P74" s="356">
        <v>2010</v>
      </c>
      <c r="Q74" s="537">
        <v>2011</v>
      </c>
    </row>
    <row r="75" spans="1:18">
      <c r="A75" s="6" t="s">
        <v>396</v>
      </c>
      <c r="B75" s="778">
        <v>1</v>
      </c>
      <c r="C75" s="35"/>
      <c r="D75" s="643">
        <f>$B$75*359</f>
        <v>359</v>
      </c>
      <c r="E75" s="643">
        <f>$B$75*406</f>
        <v>406</v>
      </c>
      <c r="F75" s="643">
        <f>$B$75*408</f>
        <v>408</v>
      </c>
      <c r="G75" s="643">
        <f>$B$75*2*171</f>
        <v>342</v>
      </c>
      <c r="H75" s="642">
        <f t="shared" ref="H75:Q75" si="23">G75*H86</f>
        <v>345.42</v>
      </c>
      <c r="I75" s="642">
        <f t="shared" si="23"/>
        <v>348.87420000000003</v>
      </c>
      <c r="J75" s="642">
        <f t="shared" si="23"/>
        <v>352.36294200000003</v>
      </c>
      <c r="K75" s="642">
        <f t="shared" si="23"/>
        <v>355.88657142000005</v>
      </c>
      <c r="L75" s="642">
        <f t="shared" si="23"/>
        <v>359.44543713420006</v>
      </c>
      <c r="M75" s="642">
        <f t="shared" si="23"/>
        <v>363.03989150554207</v>
      </c>
      <c r="N75" s="642">
        <f t="shared" si="23"/>
        <v>366.6702904205975</v>
      </c>
      <c r="O75" s="642">
        <f t="shared" si="23"/>
        <v>370.33699332480347</v>
      </c>
      <c r="P75" s="642">
        <f t="shared" si="23"/>
        <v>374.04036325805151</v>
      </c>
      <c r="Q75" s="642">
        <f t="shared" si="23"/>
        <v>377.78076689063204</v>
      </c>
      <c r="R75" s="24"/>
    </row>
    <row r="76" spans="1:18">
      <c r="A76" s="780" t="s">
        <v>409</v>
      </c>
      <c r="B76" s="778">
        <v>0</v>
      </c>
      <c r="C76" s="35"/>
      <c r="D76" s="643">
        <f>$B$76*287</f>
        <v>0</v>
      </c>
      <c r="E76" s="643">
        <f>$B$76*108</f>
        <v>0</v>
      </c>
      <c r="F76" s="643">
        <f>$B$76*1457</f>
        <v>0</v>
      </c>
      <c r="G76" s="643">
        <f>$B$76*2*2999</f>
        <v>0</v>
      </c>
      <c r="H76" s="642">
        <f t="shared" ref="H76:Q76" si="24">G76*H87</f>
        <v>0</v>
      </c>
      <c r="I76" s="642">
        <f t="shared" si="24"/>
        <v>0</v>
      </c>
      <c r="J76" s="642">
        <f t="shared" si="24"/>
        <v>0</v>
      </c>
      <c r="K76" s="642">
        <f t="shared" si="24"/>
        <v>0</v>
      </c>
      <c r="L76" s="642">
        <f t="shared" si="24"/>
        <v>0</v>
      </c>
      <c r="M76" s="642">
        <f t="shared" si="24"/>
        <v>0</v>
      </c>
      <c r="N76" s="642">
        <f t="shared" si="24"/>
        <v>0</v>
      </c>
      <c r="O76" s="642">
        <f t="shared" si="24"/>
        <v>0</v>
      </c>
      <c r="P76" s="642">
        <f t="shared" si="24"/>
        <v>0</v>
      </c>
      <c r="Q76" s="642">
        <f t="shared" si="24"/>
        <v>0</v>
      </c>
      <c r="R76" s="24"/>
    </row>
    <row r="77" spans="1:18">
      <c r="A77" s="6" t="s">
        <v>397</v>
      </c>
      <c r="B77" s="778">
        <v>0</v>
      </c>
      <c r="C77" s="35"/>
      <c r="D77" s="643">
        <f>$B$77*297</f>
        <v>0</v>
      </c>
      <c r="E77" s="643">
        <f>$B$77*401</f>
        <v>0</v>
      </c>
      <c r="F77" s="643">
        <f>$B$77*529</f>
        <v>0</v>
      </c>
      <c r="G77" s="643">
        <f>$B$77*2*266</f>
        <v>0</v>
      </c>
      <c r="H77" s="642">
        <f t="shared" ref="H77:Q77" si="25">G77*H88</f>
        <v>0</v>
      </c>
      <c r="I77" s="642">
        <f t="shared" si="25"/>
        <v>0</v>
      </c>
      <c r="J77" s="642">
        <f t="shared" si="25"/>
        <v>0</v>
      </c>
      <c r="K77" s="642">
        <f t="shared" si="25"/>
        <v>0</v>
      </c>
      <c r="L77" s="642">
        <f t="shared" si="25"/>
        <v>0</v>
      </c>
      <c r="M77" s="642">
        <f t="shared" si="25"/>
        <v>0</v>
      </c>
      <c r="N77" s="642">
        <f t="shared" si="25"/>
        <v>0</v>
      </c>
      <c r="O77" s="642">
        <f t="shared" si="25"/>
        <v>0</v>
      </c>
      <c r="P77" s="642">
        <f t="shared" si="25"/>
        <v>0</v>
      </c>
      <c r="Q77" s="642">
        <f t="shared" si="25"/>
        <v>0</v>
      </c>
      <c r="R77" s="24"/>
    </row>
    <row r="78" spans="1:18">
      <c r="A78" s="6" t="s">
        <v>398</v>
      </c>
      <c r="B78" s="778">
        <v>0</v>
      </c>
      <c r="C78" s="35"/>
      <c r="D78" s="643">
        <f>$B$78*573</f>
        <v>0</v>
      </c>
      <c r="E78" s="643">
        <f>$B$78*560</f>
        <v>0</v>
      </c>
      <c r="F78" s="643">
        <f>$B$78*555</f>
        <v>0</v>
      </c>
      <c r="G78" s="643">
        <f>$B$78*2*244</f>
        <v>0</v>
      </c>
      <c r="H78" s="642">
        <f t="shared" ref="H78:Q78" si="26">G78*H89</f>
        <v>0</v>
      </c>
      <c r="I78" s="642">
        <f t="shared" si="26"/>
        <v>0</v>
      </c>
      <c r="J78" s="642">
        <f t="shared" si="26"/>
        <v>0</v>
      </c>
      <c r="K78" s="642">
        <f t="shared" si="26"/>
        <v>0</v>
      </c>
      <c r="L78" s="642">
        <f t="shared" si="26"/>
        <v>0</v>
      </c>
      <c r="M78" s="642">
        <f t="shared" si="26"/>
        <v>0</v>
      </c>
      <c r="N78" s="642">
        <f t="shared" si="26"/>
        <v>0</v>
      </c>
      <c r="O78" s="642">
        <f t="shared" si="26"/>
        <v>0</v>
      </c>
      <c r="P78" s="642">
        <f t="shared" si="26"/>
        <v>0</v>
      </c>
      <c r="Q78" s="642">
        <f t="shared" si="26"/>
        <v>0</v>
      </c>
      <c r="R78" s="24"/>
    </row>
    <row r="79" spans="1:18">
      <c r="A79" s="740" t="s">
        <v>410</v>
      </c>
      <c r="B79" s="778">
        <v>0</v>
      </c>
      <c r="C79" s="35"/>
      <c r="D79" s="750">
        <f>$B$79*628</f>
        <v>0</v>
      </c>
      <c r="E79" s="750">
        <f>$B$79*700</f>
        <v>0</v>
      </c>
      <c r="F79" s="750">
        <f>$B$79*1734</f>
        <v>0</v>
      </c>
      <c r="G79" s="750">
        <f>$B$79*2*2142</f>
        <v>0</v>
      </c>
      <c r="H79" s="642">
        <f t="shared" ref="H79:Q79" si="27">G79*H90</f>
        <v>0</v>
      </c>
      <c r="I79" s="642">
        <f t="shared" si="27"/>
        <v>0</v>
      </c>
      <c r="J79" s="642">
        <f t="shared" si="27"/>
        <v>0</v>
      </c>
      <c r="K79" s="642">
        <f t="shared" si="27"/>
        <v>0</v>
      </c>
      <c r="L79" s="642">
        <f t="shared" si="27"/>
        <v>0</v>
      </c>
      <c r="M79" s="642">
        <f t="shared" si="27"/>
        <v>0</v>
      </c>
      <c r="N79" s="642">
        <f t="shared" si="27"/>
        <v>0</v>
      </c>
      <c r="O79" s="642">
        <f t="shared" si="27"/>
        <v>0</v>
      </c>
      <c r="P79" s="642">
        <f t="shared" si="27"/>
        <v>0</v>
      </c>
      <c r="Q79" s="642">
        <f t="shared" si="27"/>
        <v>0</v>
      </c>
      <c r="R79" s="24"/>
    </row>
    <row r="80" spans="1:18">
      <c r="A80" s="6" t="s">
        <v>399</v>
      </c>
      <c r="B80" s="778">
        <v>0</v>
      </c>
      <c r="C80" s="35"/>
      <c r="D80" s="750">
        <f>$B$80*584</f>
        <v>0</v>
      </c>
      <c r="E80" s="750">
        <f>$B$80*846</f>
        <v>0</v>
      </c>
      <c r="F80" s="750">
        <f>$B$80*967</f>
        <v>0</v>
      </c>
      <c r="G80" s="750">
        <f>$B$80*2*871</f>
        <v>0</v>
      </c>
      <c r="H80" s="642">
        <f t="shared" ref="H80:Q80" si="28">G80*H91</f>
        <v>0</v>
      </c>
      <c r="I80" s="642">
        <f t="shared" si="28"/>
        <v>0</v>
      </c>
      <c r="J80" s="642">
        <f t="shared" si="28"/>
        <v>0</v>
      </c>
      <c r="K80" s="642">
        <f t="shared" si="28"/>
        <v>0</v>
      </c>
      <c r="L80" s="642">
        <f t="shared" si="28"/>
        <v>0</v>
      </c>
      <c r="M80" s="642">
        <f t="shared" si="28"/>
        <v>0</v>
      </c>
      <c r="N80" s="642">
        <f t="shared" si="28"/>
        <v>0</v>
      </c>
      <c r="O80" s="642">
        <f t="shared" si="28"/>
        <v>0</v>
      </c>
      <c r="P80" s="642">
        <f t="shared" si="28"/>
        <v>0</v>
      </c>
      <c r="Q80" s="642">
        <f t="shared" si="28"/>
        <v>0</v>
      </c>
      <c r="R80" s="24"/>
    </row>
    <row r="81" spans="1:18">
      <c r="A81" s="6" t="s">
        <v>400</v>
      </c>
      <c r="B81" s="778">
        <v>0</v>
      </c>
      <c r="C81" s="35"/>
      <c r="D81" s="750">
        <f>$B$81*814</f>
        <v>0</v>
      </c>
      <c r="E81" s="750">
        <f>$B$81*1049</f>
        <v>0</v>
      </c>
      <c r="F81" s="750">
        <f>$B$81*1076</f>
        <v>0</v>
      </c>
      <c r="G81" s="750">
        <f>$B$81*2*743</f>
        <v>0</v>
      </c>
      <c r="H81" s="642">
        <f t="shared" ref="H81:Q81" si="29">G81*H92</f>
        <v>0</v>
      </c>
      <c r="I81" s="642">
        <f t="shared" si="29"/>
        <v>0</v>
      </c>
      <c r="J81" s="642">
        <f t="shared" si="29"/>
        <v>0</v>
      </c>
      <c r="K81" s="642">
        <f t="shared" si="29"/>
        <v>0</v>
      </c>
      <c r="L81" s="642">
        <f t="shared" si="29"/>
        <v>0</v>
      </c>
      <c r="M81" s="642">
        <f t="shared" si="29"/>
        <v>0</v>
      </c>
      <c r="N81" s="642">
        <f t="shared" si="29"/>
        <v>0</v>
      </c>
      <c r="O81" s="642">
        <f t="shared" si="29"/>
        <v>0</v>
      </c>
      <c r="P81" s="642">
        <f t="shared" si="29"/>
        <v>0</v>
      </c>
      <c r="Q81" s="642">
        <f t="shared" si="29"/>
        <v>0</v>
      </c>
      <c r="R81" s="24"/>
    </row>
    <row r="82" spans="1:18">
      <c r="A82" s="420" t="s">
        <v>401</v>
      </c>
      <c r="B82" s="779">
        <v>0</v>
      </c>
      <c r="C82" s="355"/>
      <c r="D82" s="649">
        <f>$B$82*176</f>
        <v>0</v>
      </c>
      <c r="E82" s="649">
        <f>$B$82*216</f>
        <v>0</v>
      </c>
      <c r="F82" s="649">
        <f>$B$82*298</f>
        <v>0</v>
      </c>
      <c r="G82" s="649">
        <f>$B$82*2*131</f>
        <v>0</v>
      </c>
      <c r="H82" s="763">
        <f t="shared" ref="H82:Q82" si="30">G82*H93</f>
        <v>0</v>
      </c>
      <c r="I82" s="763">
        <f t="shared" si="30"/>
        <v>0</v>
      </c>
      <c r="J82" s="763">
        <f t="shared" si="30"/>
        <v>0</v>
      </c>
      <c r="K82" s="763">
        <f t="shared" si="30"/>
        <v>0</v>
      </c>
      <c r="L82" s="763">
        <f t="shared" si="30"/>
        <v>0</v>
      </c>
      <c r="M82" s="763">
        <f t="shared" si="30"/>
        <v>0</v>
      </c>
      <c r="N82" s="763">
        <f t="shared" si="30"/>
        <v>0</v>
      </c>
      <c r="O82" s="763">
        <f t="shared" si="30"/>
        <v>0</v>
      </c>
      <c r="P82" s="763">
        <f t="shared" si="30"/>
        <v>0</v>
      </c>
      <c r="Q82" s="763">
        <f t="shared" si="30"/>
        <v>0</v>
      </c>
      <c r="R82" s="24"/>
    </row>
    <row r="83" spans="1:18">
      <c r="A83" s="654" t="s">
        <v>346</v>
      </c>
      <c r="B83" s="762"/>
      <c r="C83" s="373"/>
      <c r="D83" s="668">
        <f t="shared" ref="D83:Q83" si="31">SUM(D75:D82)</f>
        <v>359</v>
      </c>
      <c r="E83" s="668">
        <f t="shared" si="31"/>
        <v>406</v>
      </c>
      <c r="F83" s="668">
        <f t="shared" si="31"/>
        <v>408</v>
      </c>
      <c r="G83" s="668">
        <f t="shared" si="31"/>
        <v>342</v>
      </c>
      <c r="H83" s="669">
        <f t="shared" si="31"/>
        <v>345.42</v>
      </c>
      <c r="I83" s="669">
        <f t="shared" si="31"/>
        <v>348.87420000000003</v>
      </c>
      <c r="J83" s="669">
        <f t="shared" si="31"/>
        <v>352.36294200000003</v>
      </c>
      <c r="K83" s="669">
        <f t="shared" si="31"/>
        <v>355.88657142000005</v>
      </c>
      <c r="L83" s="669">
        <f t="shared" si="31"/>
        <v>359.44543713420006</v>
      </c>
      <c r="M83" s="669">
        <f t="shared" si="31"/>
        <v>363.03989150554207</v>
      </c>
      <c r="N83" s="669">
        <f t="shared" si="31"/>
        <v>366.6702904205975</v>
      </c>
      <c r="O83" s="669">
        <f t="shared" si="31"/>
        <v>370.33699332480347</v>
      </c>
      <c r="P83" s="669">
        <f t="shared" si="31"/>
        <v>374.04036325805151</v>
      </c>
      <c r="Q83" s="669">
        <f t="shared" si="31"/>
        <v>377.78076689063204</v>
      </c>
      <c r="R83" s="24"/>
    </row>
    <row r="84" spans="1:18">
      <c r="C84" s="35"/>
      <c r="F84" s="85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24"/>
    </row>
    <row r="85" spans="1:18" ht="15.75">
      <c r="A85" s="755" t="s">
        <v>395</v>
      </c>
      <c r="B85" s="477"/>
      <c r="C85" s="751"/>
      <c r="D85" s="752"/>
      <c r="E85" s="477"/>
      <c r="F85" s="753"/>
      <c r="G85" s="754"/>
      <c r="H85" s="754"/>
      <c r="I85" s="754"/>
      <c r="J85" s="754"/>
      <c r="K85" s="754"/>
      <c r="L85" s="754"/>
      <c r="M85" s="754"/>
      <c r="N85" s="754"/>
      <c r="O85" s="754"/>
      <c r="P85" s="754"/>
      <c r="Q85" s="754"/>
      <c r="R85" s="769"/>
    </row>
    <row r="86" spans="1:18">
      <c r="A86" s="6" t="s">
        <v>396</v>
      </c>
      <c r="C86" s="373"/>
      <c r="D86" s="652"/>
      <c r="F86" s="85"/>
      <c r="G86" s="747"/>
      <c r="H86" s="746">
        <v>1.01</v>
      </c>
      <c r="I86" s="746">
        <v>1.01</v>
      </c>
      <c r="J86" s="746">
        <v>1.01</v>
      </c>
      <c r="K86" s="746">
        <v>1.01</v>
      </c>
      <c r="L86" s="746">
        <v>1.01</v>
      </c>
      <c r="M86" s="746">
        <v>1.01</v>
      </c>
      <c r="N86" s="746">
        <v>1.01</v>
      </c>
      <c r="O86" s="746">
        <v>1.01</v>
      </c>
      <c r="P86" s="746">
        <v>1.01</v>
      </c>
      <c r="Q86" s="746">
        <v>1.01</v>
      </c>
      <c r="R86" s="24"/>
    </row>
    <row r="87" spans="1:18">
      <c r="A87" s="780" t="s">
        <v>409</v>
      </c>
      <c r="C87" s="373"/>
      <c r="D87" s="652"/>
      <c r="F87" s="85"/>
      <c r="G87" s="747"/>
      <c r="H87" s="746">
        <v>1.25</v>
      </c>
      <c r="I87" s="746">
        <v>1.25</v>
      </c>
      <c r="J87" s="746">
        <v>1.1499999999999999</v>
      </c>
      <c r="K87" s="746">
        <v>1.1499999999999999</v>
      </c>
      <c r="L87" s="746">
        <v>1.05</v>
      </c>
      <c r="M87" s="746">
        <v>1.05</v>
      </c>
      <c r="N87" s="746">
        <v>0.95</v>
      </c>
      <c r="O87" s="746">
        <v>0.95</v>
      </c>
      <c r="P87" s="746">
        <v>0.85</v>
      </c>
      <c r="Q87" s="746">
        <v>0.85</v>
      </c>
      <c r="R87" s="24"/>
    </row>
    <row r="88" spans="1:18">
      <c r="A88" s="6" t="s">
        <v>397</v>
      </c>
      <c r="C88" s="373"/>
      <c r="D88" s="652"/>
      <c r="F88" s="85"/>
      <c r="G88" s="747"/>
      <c r="H88" s="746">
        <v>1.03</v>
      </c>
      <c r="I88" s="746">
        <v>1.03</v>
      </c>
      <c r="J88" s="746">
        <v>1.03</v>
      </c>
      <c r="K88" s="746">
        <v>1.03</v>
      </c>
      <c r="L88" s="746">
        <v>1.03</v>
      </c>
      <c r="M88" s="746">
        <v>1.03</v>
      </c>
      <c r="N88" s="746">
        <v>1.03</v>
      </c>
      <c r="O88" s="746">
        <v>1.03</v>
      </c>
      <c r="P88" s="746">
        <v>1.03</v>
      </c>
      <c r="Q88" s="746">
        <v>1.03</v>
      </c>
      <c r="R88" s="24"/>
    </row>
    <row r="89" spans="1:18">
      <c r="A89" s="6" t="s">
        <v>398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s="740" t="s">
        <v>410</v>
      </c>
      <c r="C90" s="373"/>
      <c r="D90" s="652"/>
      <c r="F90" s="85"/>
      <c r="G90" s="747"/>
      <c r="H90" s="746">
        <v>1.25</v>
      </c>
      <c r="I90" s="746">
        <v>1.25</v>
      </c>
      <c r="J90" s="746">
        <v>1.1499999999999999</v>
      </c>
      <c r="K90" s="746">
        <v>1.1499999999999999</v>
      </c>
      <c r="L90" s="746">
        <v>1.05</v>
      </c>
      <c r="M90" s="746">
        <v>1.05</v>
      </c>
      <c r="N90" s="746">
        <v>0.95</v>
      </c>
      <c r="O90" s="746">
        <v>0.95</v>
      </c>
      <c r="P90" s="746">
        <v>0.85</v>
      </c>
      <c r="Q90" s="746">
        <v>0.85</v>
      </c>
      <c r="R90" s="24"/>
    </row>
    <row r="91" spans="1:18">
      <c r="A91" s="6" t="s">
        <v>399</v>
      </c>
      <c r="C91" s="373"/>
      <c r="D91" s="652"/>
      <c r="F91" s="85"/>
      <c r="G91" s="747"/>
      <c r="H91" s="746">
        <v>1.01</v>
      </c>
      <c r="I91" s="746">
        <v>1.01</v>
      </c>
      <c r="J91" s="746">
        <v>1.01</v>
      </c>
      <c r="K91" s="746">
        <v>1.01</v>
      </c>
      <c r="L91" s="746">
        <v>1.01</v>
      </c>
      <c r="M91" s="746">
        <v>1.01</v>
      </c>
      <c r="N91" s="746">
        <v>1.01</v>
      </c>
      <c r="O91" s="746">
        <v>1.01</v>
      </c>
      <c r="P91" s="746">
        <v>1.01</v>
      </c>
      <c r="Q91" s="746">
        <v>1.01</v>
      </c>
      <c r="R91" s="24"/>
    </row>
    <row r="92" spans="1:18">
      <c r="A92" s="6" t="s">
        <v>400</v>
      </c>
      <c r="C92" s="373"/>
      <c r="D92" s="652"/>
      <c r="F92" s="85"/>
      <c r="G92" s="747"/>
      <c r="H92" s="746">
        <v>1.01</v>
      </c>
      <c r="I92" s="746">
        <v>1.01</v>
      </c>
      <c r="J92" s="746">
        <v>1.01</v>
      </c>
      <c r="K92" s="746">
        <v>1.01</v>
      </c>
      <c r="L92" s="746">
        <v>1.01</v>
      </c>
      <c r="M92" s="746">
        <v>1.01</v>
      </c>
      <c r="N92" s="746">
        <v>1.01</v>
      </c>
      <c r="O92" s="746">
        <v>1.01</v>
      </c>
      <c r="P92" s="746">
        <v>1.01</v>
      </c>
      <c r="Q92" s="746">
        <v>1.01</v>
      </c>
      <c r="R92" s="24"/>
    </row>
    <row r="93" spans="1:18">
      <c r="A93" s="117" t="s">
        <v>401</v>
      </c>
      <c r="C93" s="373"/>
      <c r="D93" s="652"/>
      <c r="F93" s="85"/>
      <c r="G93" s="747"/>
      <c r="H93" s="746">
        <v>1.01</v>
      </c>
      <c r="I93" s="746">
        <v>1.01</v>
      </c>
      <c r="J93" s="746">
        <v>1.01</v>
      </c>
      <c r="K93" s="746">
        <v>1.01</v>
      </c>
      <c r="L93" s="746">
        <v>1.01</v>
      </c>
      <c r="M93" s="746">
        <v>1.01</v>
      </c>
      <c r="N93" s="746">
        <v>1.01</v>
      </c>
      <c r="O93" s="746">
        <v>1.01</v>
      </c>
      <c r="P93" s="746">
        <v>1.01</v>
      </c>
      <c r="Q93" s="746">
        <v>1.01</v>
      </c>
      <c r="R93" s="24"/>
    </row>
    <row r="94" spans="1:18">
      <c r="R94" s="24"/>
    </row>
    <row r="95" spans="1:18" ht="15.75">
      <c r="A95" s="563" t="s">
        <v>349</v>
      </c>
      <c r="B95" s="442"/>
      <c r="C95" s="442"/>
      <c r="D95" s="442"/>
      <c r="E95" s="442"/>
      <c r="F95" s="442"/>
      <c r="G95" s="442"/>
      <c r="H95" s="442"/>
      <c r="I95" s="442"/>
      <c r="J95" s="442"/>
      <c r="K95" s="442"/>
      <c r="L95" s="442"/>
      <c r="M95" s="442"/>
      <c r="N95" s="442"/>
      <c r="O95" s="442"/>
      <c r="P95" s="442"/>
      <c r="Q95" s="442"/>
      <c r="R95" s="24"/>
    </row>
    <row r="96" spans="1:18" s="24" customFormat="1" ht="12.75" customHeight="1">
      <c r="A96" s="568"/>
      <c r="D96" s="560"/>
      <c r="E96" s="560"/>
      <c r="F96" s="386"/>
      <c r="G96" s="372" t="s">
        <v>263</v>
      </c>
      <c r="H96" s="391"/>
      <c r="I96" s="386"/>
      <c r="J96" s="386"/>
      <c r="K96" s="304"/>
      <c r="L96" s="386"/>
      <c r="M96" s="304"/>
      <c r="N96" s="304"/>
      <c r="O96" s="304"/>
      <c r="P96" s="304"/>
      <c r="Q96" s="355"/>
    </row>
    <row r="97" spans="1:18" s="24" customFormat="1" ht="12.75" customHeight="1">
      <c r="A97" s="568"/>
      <c r="D97" s="316">
        <v>1998</v>
      </c>
      <c r="E97" s="316">
        <v>1999</v>
      </c>
      <c r="F97" s="316">
        <v>2000</v>
      </c>
      <c r="G97" s="316">
        <v>2001</v>
      </c>
      <c r="H97" s="352">
        <v>2002</v>
      </c>
      <c r="I97" s="352">
        <v>2003</v>
      </c>
      <c r="J97" s="352">
        <v>2004</v>
      </c>
      <c r="K97" s="352">
        <v>2005</v>
      </c>
      <c r="L97" s="352">
        <v>2006</v>
      </c>
      <c r="M97" s="356">
        <v>2007</v>
      </c>
      <c r="N97" s="356">
        <v>2008</v>
      </c>
      <c r="O97" s="356">
        <v>2009</v>
      </c>
      <c r="P97" s="356">
        <v>2010</v>
      </c>
      <c r="Q97" s="537">
        <v>2011</v>
      </c>
    </row>
    <row r="98" spans="1:18" s="24" customFormat="1" ht="12.75" customHeight="1">
      <c r="A98" s="568"/>
      <c r="B98" s="40" t="s">
        <v>84</v>
      </c>
      <c r="F98" s="567" t="s">
        <v>273</v>
      </c>
      <c r="G98" s="316">
        <v>1</v>
      </c>
      <c r="H98" s="352">
        <v>2</v>
      </c>
      <c r="I98" s="352">
        <v>3</v>
      </c>
      <c r="J98" s="352">
        <v>4</v>
      </c>
      <c r="K98" s="352">
        <v>5</v>
      </c>
      <c r="L98" s="352">
        <v>6</v>
      </c>
      <c r="M98" s="352">
        <v>7</v>
      </c>
      <c r="N98" s="352">
        <v>8</v>
      </c>
      <c r="O98" s="352">
        <v>9</v>
      </c>
      <c r="P98" s="352">
        <v>10</v>
      </c>
      <c r="Q98" s="452">
        <v>11</v>
      </c>
    </row>
    <row r="99" spans="1:18">
      <c r="A99" s="6" t="s">
        <v>402</v>
      </c>
      <c r="B99" s="778">
        <v>1</v>
      </c>
      <c r="D99" s="643"/>
      <c r="E99" s="643"/>
      <c r="F99" s="643"/>
      <c r="G99" s="643">
        <f>$B$99*555</f>
        <v>555</v>
      </c>
      <c r="H99" s="643">
        <f>$B$99*555</f>
        <v>555</v>
      </c>
      <c r="I99" s="643">
        <f>$B$99*355</f>
        <v>355</v>
      </c>
      <c r="J99" s="642">
        <f t="shared" ref="J99:Q106" si="32">I99*J110</f>
        <v>358.55</v>
      </c>
      <c r="K99" s="642">
        <f t="shared" si="32"/>
        <v>362.13550000000004</v>
      </c>
      <c r="L99" s="642">
        <f t="shared" si="32"/>
        <v>365.75685500000003</v>
      </c>
      <c r="M99" s="642">
        <f t="shared" si="32"/>
        <v>369.41442355000004</v>
      </c>
      <c r="N99" s="642">
        <f t="shared" si="32"/>
        <v>373.10856778550004</v>
      </c>
      <c r="O99" s="642">
        <f t="shared" si="32"/>
        <v>376.83965346335503</v>
      </c>
      <c r="P99" s="642">
        <f t="shared" si="32"/>
        <v>380.60804999798859</v>
      </c>
      <c r="Q99" s="642">
        <f t="shared" si="32"/>
        <v>384.41413049796847</v>
      </c>
      <c r="R99" s="24"/>
    </row>
    <row r="100" spans="1:18">
      <c r="A100" s="6" t="s">
        <v>403</v>
      </c>
      <c r="B100" s="778">
        <v>1</v>
      </c>
      <c r="D100" s="643"/>
      <c r="E100" s="643"/>
      <c r="F100" s="643"/>
      <c r="G100" s="643">
        <f>$B$100*145</f>
        <v>145</v>
      </c>
      <c r="H100" s="643">
        <f>$B$100*145</f>
        <v>145</v>
      </c>
      <c r="I100" s="643">
        <f>$B$100*135</f>
        <v>135</v>
      </c>
      <c r="J100" s="642">
        <f t="shared" si="32"/>
        <v>137.69999999999999</v>
      </c>
      <c r="K100" s="642">
        <f t="shared" si="32"/>
        <v>140.45399999999998</v>
      </c>
      <c r="L100" s="642">
        <f t="shared" si="32"/>
        <v>143.26307999999997</v>
      </c>
      <c r="M100" s="642">
        <f t="shared" si="32"/>
        <v>146.12834159999997</v>
      </c>
      <c r="N100" s="642">
        <f t="shared" si="32"/>
        <v>149.05090843199997</v>
      </c>
      <c r="O100" s="642">
        <f t="shared" si="32"/>
        <v>152.03192660063996</v>
      </c>
      <c r="P100" s="642">
        <f t="shared" si="32"/>
        <v>155.07256513265276</v>
      </c>
      <c r="Q100" s="642">
        <f t="shared" si="32"/>
        <v>158.17401643530582</v>
      </c>
      <c r="R100" s="24"/>
    </row>
    <row r="101" spans="1:18">
      <c r="A101" s="6" t="s">
        <v>404</v>
      </c>
      <c r="B101" s="778">
        <v>0</v>
      </c>
      <c r="D101" s="643"/>
      <c r="E101" s="639"/>
      <c r="F101" s="639"/>
      <c r="G101" s="643">
        <f>$B$101*220</f>
        <v>0</v>
      </c>
      <c r="H101" s="643">
        <f>$B$101*215</f>
        <v>0</v>
      </c>
      <c r="I101" s="643">
        <f>$B$101*280</f>
        <v>0</v>
      </c>
      <c r="J101" s="642">
        <f t="shared" si="32"/>
        <v>0</v>
      </c>
      <c r="K101" s="642">
        <f t="shared" si="32"/>
        <v>0</v>
      </c>
      <c r="L101" s="642">
        <f t="shared" si="32"/>
        <v>0</v>
      </c>
      <c r="M101" s="642">
        <f t="shared" si="32"/>
        <v>0</v>
      </c>
      <c r="N101" s="642">
        <f t="shared" si="32"/>
        <v>0</v>
      </c>
      <c r="O101" s="642">
        <f t="shared" si="32"/>
        <v>0</v>
      </c>
      <c r="P101" s="642">
        <f t="shared" si="32"/>
        <v>0</v>
      </c>
      <c r="Q101" s="642">
        <f t="shared" si="32"/>
        <v>0</v>
      </c>
      <c r="R101" s="24"/>
    </row>
    <row r="102" spans="1:18">
      <c r="A102" s="6" t="s">
        <v>391</v>
      </c>
      <c r="B102" s="778">
        <v>0</v>
      </c>
      <c r="D102" s="643"/>
      <c r="E102" s="639"/>
      <c r="F102" s="639"/>
      <c r="G102" s="643">
        <f>$B$102*65</f>
        <v>0</v>
      </c>
      <c r="H102" s="643">
        <f>$B$102*150</f>
        <v>0</v>
      </c>
      <c r="I102" s="643">
        <f>$B$102*240</f>
        <v>0</v>
      </c>
      <c r="J102" s="642">
        <f t="shared" si="32"/>
        <v>0</v>
      </c>
      <c r="K102" s="642">
        <f t="shared" si="32"/>
        <v>0</v>
      </c>
      <c r="L102" s="642">
        <f t="shared" si="32"/>
        <v>0</v>
      </c>
      <c r="M102" s="642">
        <f t="shared" si="32"/>
        <v>0</v>
      </c>
      <c r="N102" s="642">
        <f t="shared" si="32"/>
        <v>0</v>
      </c>
      <c r="O102" s="642">
        <f t="shared" si="32"/>
        <v>0</v>
      </c>
      <c r="P102" s="642">
        <f t="shared" si="32"/>
        <v>0</v>
      </c>
      <c r="Q102" s="642">
        <f t="shared" si="32"/>
        <v>0</v>
      </c>
      <c r="R102" s="24"/>
    </row>
    <row r="103" spans="1:18">
      <c r="A103" s="6" t="s">
        <v>411</v>
      </c>
      <c r="B103" s="778">
        <v>0</v>
      </c>
      <c r="D103" s="750"/>
      <c r="E103" s="761"/>
      <c r="F103" s="761"/>
      <c r="G103" s="750">
        <f>$B$103*195</f>
        <v>0</v>
      </c>
      <c r="H103" s="750">
        <f>$B$103*235</f>
        <v>0</v>
      </c>
      <c r="I103" s="750">
        <f>$B$103*245</f>
        <v>0</v>
      </c>
      <c r="J103" s="642">
        <f t="shared" si="32"/>
        <v>0</v>
      </c>
      <c r="K103" s="642">
        <f t="shared" si="32"/>
        <v>0</v>
      </c>
      <c r="L103" s="642">
        <f t="shared" si="32"/>
        <v>0</v>
      </c>
      <c r="M103" s="642">
        <f t="shared" si="32"/>
        <v>0</v>
      </c>
      <c r="N103" s="642">
        <f t="shared" si="32"/>
        <v>0</v>
      </c>
      <c r="O103" s="642">
        <f t="shared" si="32"/>
        <v>0</v>
      </c>
      <c r="P103" s="642">
        <f t="shared" si="32"/>
        <v>0</v>
      </c>
      <c r="Q103" s="642">
        <f t="shared" si="32"/>
        <v>0</v>
      </c>
      <c r="R103" s="24"/>
    </row>
    <row r="104" spans="1:18">
      <c r="A104" s="6" t="s">
        <v>393</v>
      </c>
      <c r="B104" s="778">
        <v>0</v>
      </c>
      <c r="D104" s="643"/>
      <c r="E104" s="643"/>
      <c r="F104" s="643"/>
      <c r="G104" s="643">
        <f>$B$104*5</f>
        <v>0</v>
      </c>
      <c r="H104" s="643">
        <f>$B$104*5</f>
        <v>0</v>
      </c>
      <c r="I104" s="643">
        <f>$B$104*5</f>
        <v>0</v>
      </c>
      <c r="J104" s="642">
        <f t="shared" si="32"/>
        <v>0</v>
      </c>
      <c r="K104" s="642">
        <f t="shared" si="32"/>
        <v>0</v>
      </c>
      <c r="L104" s="642">
        <f t="shared" si="32"/>
        <v>0</v>
      </c>
      <c r="M104" s="642">
        <f t="shared" si="32"/>
        <v>0</v>
      </c>
      <c r="N104" s="642">
        <f t="shared" si="32"/>
        <v>0</v>
      </c>
      <c r="O104" s="642">
        <f t="shared" si="32"/>
        <v>0</v>
      </c>
      <c r="P104" s="642">
        <f t="shared" si="32"/>
        <v>0</v>
      </c>
      <c r="Q104" s="642">
        <f t="shared" si="32"/>
        <v>0</v>
      </c>
      <c r="R104" s="24"/>
    </row>
    <row r="105" spans="1:18">
      <c r="A105" s="6" t="s">
        <v>394</v>
      </c>
      <c r="B105" s="778">
        <v>0</v>
      </c>
      <c r="D105" s="643"/>
      <c r="E105" s="643"/>
      <c r="F105" s="643"/>
      <c r="G105" s="643">
        <f>$B$105*60</f>
        <v>0</v>
      </c>
      <c r="H105" s="643">
        <f>$B$105*5</f>
        <v>0</v>
      </c>
      <c r="I105" s="643">
        <f>$B$105*5</f>
        <v>0</v>
      </c>
      <c r="J105" s="642">
        <f t="shared" si="32"/>
        <v>0</v>
      </c>
      <c r="K105" s="642">
        <f t="shared" si="32"/>
        <v>0</v>
      </c>
      <c r="L105" s="642">
        <f t="shared" si="32"/>
        <v>0</v>
      </c>
      <c r="M105" s="642">
        <f t="shared" si="32"/>
        <v>0</v>
      </c>
      <c r="N105" s="642">
        <f t="shared" si="32"/>
        <v>0</v>
      </c>
      <c r="O105" s="642">
        <f t="shared" si="32"/>
        <v>0</v>
      </c>
      <c r="P105" s="642">
        <f t="shared" si="32"/>
        <v>0</v>
      </c>
      <c r="Q105" s="642">
        <f t="shared" si="32"/>
        <v>0</v>
      </c>
      <c r="R105" s="24"/>
    </row>
    <row r="106" spans="1:18">
      <c r="A106" s="420" t="s">
        <v>85</v>
      </c>
      <c r="B106" s="779">
        <v>0</v>
      </c>
      <c r="C106" s="355"/>
      <c r="D106" s="649"/>
      <c r="E106" s="649"/>
      <c r="F106" s="649"/>
      <c r="G106" s="649">
        <f>$B$106*30</f>
        <v>0</v>
      </c>
      <c r="H106" s="649">
        <f>$B$106*25</f>
        <v>0</v>
      </c>
      <c r="I106" s="649">
        <f>$B$106*5</f>
        <v>0</v>
      </c>
      <c r="J106" s="763">
        <f t="shared" si="32"/>
        <v>0</v>
      </c>
      <c r="K106" s="763">
        <f t="shared" si="32"/>
        <v>0</v>
      </c>
      <c r="L106" s="763">
        <f t="shared" si="32"/>
        <v>0</v>
      </c>
      <c r="M106" s="763">
        <f t="shared" si="32"/>
        <v>0</v>
      </c>
      <c r="N106" s="763">
        <f t="shared" si="32"/>
        <v>0</v>
      </c>
      <c r="O106" s="763">
        <f t="shared" si="32"/>
        <v>0</v>
      </c>
      <c r="P106" s="763">
        <f t="shared" si="32"/>
        <v>0</v>
      </c>
      <c r="Q106" s="763">
        <f t="shared" si="32"/>
        <v>0</v>
      </c>
      <c r="R106" s="24"/>
    </row>
    <row r="107" spans="1:18">
      <c r="A107" s="39" t="s">
        <v>350</v>
      </c>
      <c r="D107" s="672"/>
      <c r="E107" s="672"/>
      <c r="F107" s="672"/>
      <c r="G107" s="668">
        <f t="shared" ref="G107:Q107" si="33">SUM(G99:G106)</f>
        <v>700</v>
      </c>
      <c r="H107" s="668">
        <f t="shared" si="33"/>
        <v>700</v>
      </c>
      <c r="I107" s="668">
        <f t="shared" si="33"/>
        <v>490</v>
      </c>
      <c r="J107" s="669">
        <f t="shared" si="33"/>
        <v>496.25</v>
      </c>
      <c r="K107" s="669">
        <f t="shared" si="33"/>
        <v>502.58950000000004</v>
      </c>
      <c r="L107" s="669">
        <f t="shared" si="33"/>
        <v>509.01993500000003</v>
      </c>
      <c r="M107" s="669">
        <f t="shared" si="33"/>
        <v>515.54276515000004</v>
      </c>
      <c r="N107" s="669">
        <f t="shared" si="33"/>
        <v>522.15947621750001</v>
      </c>
      <c r="O107" s="669">
        <f t="shared" si="33"/>
        <v>528.871580063995</v>
      </c>
      <c r="P107" s="669">
        <f t="shared" si="33"/>
        <v>535.6806151306414</v>
      </c>
      <c r="Q107" s="669">
        <f t="shared" si="33"/>
        <v>542.58814693327429</v>
      </c>
      <c r="R107" s="24"/>
    </row>
    <row r="108" spans="1:18">
      <c r="A108" s="39"/>
      <c r="D108" s="764"/>
      <c r="E108" s="764"/>
      <c r="F108" s="764"/>
      <c r="G108" s="669"/>
      <c r="H108" s="669"/>
      <c r="I108" s="669"/>
      <c r="J108" s="669"/>
      <c r="K108" s="669"/>
      <c r="L108" s="669"/>
      <c r="M108" s="669"/>
      <c r="N108" s="669"/>
      <c r="O108" s="669"/>
      <c r="P108" s="669"/>
      <c r="Q108" s="669"/>
      <c r="R108" s="24"/>
    </row>
    <row r="109" spans="1:18" ht="15.75">
      <c r="A109" s="755" t="s">
        <v>395</v>
      </c>
      <c r="B109" s="477"/>
      <c r="C109" s="751"/>
      <c r="D109" s="752"/>
      <c r="E109" s="477"/>
      <c r="F109" s="753"/>
      <c r="G109" s="754"/>
      <c r="H109" s="754"/>
      <c r="I109" s="754"/>
      <c r="J109" s="754"/>
      <c r="K109" s="754"/>
      <c r="L109" s="754"/>
      <c r="M109" s="754"/>
      <c r="N109" s="754"/>
      <c r="O109" s="754"/>
      <c r="P109" s="754"/>
      <c r="Q109" s="754"/>
      <c r="R109" s="769"/>
    </row>
    <row r="110" spans="1:18">
      <c r="A110" s="6" t="s">
        <v>402</v>
      </c>
      <c r="C110" s="373"/>
      <c r="D110" s="652"/>
      <c r="F110" s="85"/>
      <c r="G110" s="747"/>
      <c r="H110" s="661"/>
      <c r="I110" s="661"/>
      <c r="J110" s="746">
        <v>1.01</v>
      </c>
      <c r="K110" s="746">
        <v>1.01</v>
      </c>
      <c r="L110" s="746">
        <v>1.01</v>
      </c>
      <c r="M110" s="746">
        <v>1.01</v>
      </c>
      <c r="N110" s="746">
        <v>1.01</v>
      </c>
      <c r="O110" s="746">
        <v>1.01</v>
      </c>
      <c r="P110" s="746">
        <v>1.01</v>
      </c>
      <c r="Q110" s="746">
        <v>1.01</v>
      </c>
      <c r="R110" s="24"/>
    </row>
    <row r="111" spans="1:18">
      <c r="A111" s="6" t="s">
        <v>403</v>
      </c>
      <c r="C111" s="373"/>
      <c r="D111" s="652"/>
      <c r="F111" s="85"/>
      <c r="G111" s="747"/>
      <c r="H111" s="661"/>
      <c r="I111" s="661"/>
      <c r="J111" s="746">
        <v>1.02</v>
      </c>
      <c r="K111" s="746">
        <v>1.02</v>
      </c>
      <c r="L111" s="746">
        <v>1.02</v>
      </c>
      <c r="M111" s="746">
        <v>1.02</v>
      </c>
      <c r="N111" s="746">
        <v>1.02</v>
      </c>
      <c r="O111" s="746">
        <v>1.02</v>
      </c>
      <c r="P111" s="746">
        <v>1.02</v>
      </c>
      <c r="Q111" s="746">
        <v>1.02</v>
      </c>
      <c r="R111" s="24"/>
    </row>
    <row r="112" spans="1:18">
      <c r="A112" s="6" t="s">
        <v>404</v>
      </c>
      <c r="C112" s="373"/>
      <c r="D112" s="652"/>
      <c r="F112" s="85"/>
      <c r="G112" s="747"/>
      <c r="H112" s="661"/>
      <c r="I112" s="661"/>
      <c r="J112" s="746">
        <v>1.03</v>
      </c>
      <c r="K112" s="746">
        <v>1.03</v>
      </c>
      <c r="L112" s="746">
        <v>1.03</v>
      </c>
      <c r="M112" s="746">
        <v>1.03</v>
      </c>
      <c r="N112" s="746">
        <v>1.03</v>
      </c>
      <c r="O112" s="746">
        <v>1.03</v>
      </c>
      <c r="P112" s="746">
        <v>1.03</v>
      </c>
      <c r="Q112" s="746">
        <v>1.03</v>
      </c>
      <c r="R112" s="24"/>
    </row>
    <row r="113" spans="1:18">
      <c r="A113" s="6" t="s">
        <v>391</v>
      </c>
      <c r="C113" s="373"/>
      <c r="D113" s="652"/>
      <c r="F113" s="85"/>
      <c r="G113" s="747"/>
      <c r="H113" s="661"/>
      <c r="I113" s="661"/>
      <c r="J113" s="746">
        <v>1.02</v>
      </c>
      <c r="K113" s="746">
        <v>1.02</v>
      </c>
      <c r="L113" s="746">
        <v>1.02</v>
      </c>
      <c r="M113" s="746">
        <v>1.02</v>
      </c>
      <c r="N113" s="746">
        <v>1.02</v>
      </c>
      <c r="O113" s="746">
        <v>1.02</v>
      </c>
      <c r="P113" s="746">
        <v>1.02</v>
      </c>
      <c r="Q113" s="746">
        <v>1.02</v>
      </c>
      <c r="R113" s="24"/>
    </row>
    <row r="114" spans="1:18">
      <c r="A114" s="6" t="s">
        <v>405</v>
      </c>
      <c r="C114" s="373"/>
      <c r="D114" s="652"/>
      <c r="F114" s="85"/>
      <c r="G114" s="747"/>
      <c r="H114" s="661"/>
      <c r="I114" s="661"/>
      <c r="J114" s="746">
        <v>1.03</v>
      </c>
      <c r="K114" s="746">
        <v>1.03</v>
      </c>
      <c r="L114" s="746">
        <v>1.03</v>
      </c>
      <c r="M114" s="746">
        <v>1.03</v>
      </c>
      <c r="N114" s="746">
        <v>1.03</v>
      </c>
      <c r="O114" s="746">
        <v>1.03</v>
      </c>
      <c r="P114" s="746">
        <v>1.03</v>
      </c>
      <c r="Q114" s="746">
        <v>1.03</v>
      </c>
      <c r="R114" s="24"/>
    </row>
    <row r="115" spans="1:18">
      <c r="A115" s="6" t="s">
        <v>393</v>
      </c>
      <c r="C115" s="373"/>
      <c r="D115" s="652"/>
      <c r="F115" s="85"/>
      <c r="G115" s="747"/>
      <c r="H115" s="661"/>
      <c r="I115" s="661"/>
      <c r="J115" s="746">
        <v>1.01</v>
      </c>
      <c r="K115" s="746">
        <v>1.01</v>
      </c>
      <c r="L115" s="746">
        <v>1.01</v>
      </c>
      <c r="M115" s="746">
        <v>1.01</v>
      </c>
      <c r="N115" s="746">
        <v>1.01</v>
      </c>
      <c r="O115" s="746">
        <v>1.01</v>
      </c>
      <c r="P115" s="746">
        <v>1.01</v>
      </c>
      <c r="Q115" s="746">
        <v>1.01</v>
      </c>
      <c r="R115" s="24"/>
    </row>
    <row r="116" spans="1:18">
      <c r="A116" s="6" t="s">
        <v>394</v>
      </c>
      <c r="C116" s="373"/>
      <c r="D116" s="652"/>
      <c r="F116" s="85"/>
      <c r="G116" s="747"/>
      <c r="H116" s="661"/>
      <c r="I116" s="661"/>
      <c r="J116" s="746">
        <v>1.01</v>
      </c>
      <c r="K116" s="746">
        <v>1.01</v>
      </c>
      <c r="L116" s="746">
        <v>1.01</v>
      </c>
      <c r="M116" s="746">
        <v>1.01</v>
      </c>
      <c r="N116" s="746">
        <v>1.01</v>
      </c>
      <c r="O116" s="746">
        <v>1.01</v>
      </c>
      <c r="P116" s="746">
        <v>1.01</v>
      </c>
      <c r="Q116" s="746">
        <v>1.01</v>
      </c>
      <c r="R116" s="24"/>
    </row>
    <row r="117" spans="1:18">
      <c r="A117" s="117" t="s">
        <v>85</v>
      </c>
      <c r="C117" s="373"/>
      <c r="D117" s="652"/>
      <c r="F117" s="85"/>
      <c r="G117" s="747"/>
      <c r="H117" s="661"/>
      <c r="I117" s="661"/>
      <c r="J117" s="746">
        <v>1.01</v>
      </c>
      <c r="K117" s="746">
        <v>1.01</v>
      </c>
      <c r="L117" s="746">
        <v>1.01</v>
      </c>
      <c r="M117" s="746">
        <v>1.01</v>
      </c>
      <c r="N117" s="746">
        <v>1.01</v>
      </c>
      <c r="O117" s="746">
        <v>1.01</v>
      </c>
      <c r="P117" s="746">
        <v>1.01</v>
      </c>
      <c r="Q117" s="746">
        <v>1.01</v>
      </c>
      <c r="R117" s="24"/>
    </row>
    <row r="118" spans="1:18">
      <c r="A118" s="39"/>
      <c r="D118" s="764"/>
      <c r="E118" s="764"/>
      <c r="F118" s="764"/>
      <c r="G118" s="669"/>
      <c r="H118" s="669"/>
      <c r="I118" s="669"/>
      <c r="J118" s="669"/>
      <c r="K118" s="669"/>
      <c r="L118" s="669"/>
      <c r="M118" s="669"/>
      <c r="N118" s="669"/>
      <c r="O118" s="669"/>
      <c r="P118" s="669"/>
      <c r="Q118" s="669"/>
      <c r="R118" s="24"/>
    </row>
    <row r="119" spans="1:18">
      <c r="A119" s="8"/>
      <c r="R119" s="24"/>
    </row>
    <row r="120" spans="1:18">
      <c r="A120" s="8"/>
      <c r="R120" s="24"/>
    </row>
    <row r="121" spans="1:18" ht="15.75">
      <c r="A121" s="563" t="s">
        <v>381</v>
      </c>
      <c r="B121" s="477"/>
      <c r="C121" s="477"/>
      <c r="D121" s="477"/>
      <c r="E121" s="477"/>
      <c r="F121" s="477"/>
      <c r="G121" s="477"/>
      <c r="H121" s="477"/>
      <c r="I121" s="477"/>
      <c r="J121" s="477"/>
      <c r="K121" s="477"/>
      <c r="L121" s="477"/>
      <c r="M121" s="477"/>
      <c r="N121" s="477"/>
      <c r="O121" s="477"/>
      <c r="P121" s="477"/>
      <c r="Q121" s="477"/>
      <c r="R121" s="24"/>
    </row>
    <row r="122" spans="1:18">
      <c r="D122" s="560"/>
      <c r="E122" s="560"/>
      <c r="F122" s="386"/>
      <c r="G122" s="372" t="s">
        <v>263</v>
      </c>
      <c r="H122" s="391"/>
      <c r="I122" s="386"/>
      <c r="J122" s="386"/>
      <c r="K122" s="304"/>
      <c r="L122" s="386"/>
      <c r="M122" s="304"/>
      <c r="N122" s="304"/>
      <c r="O122" s="304"/>
      <c r="P122" s="304"/>
      <c r="Q122" s="355"/>
    </row>
    <row r="123" spans="1:18">
      <c r="D123" s="316">
        <v>1998</v>
      </c>
      <c r="E123" s="316">
        <v>1999</v>
      </c>
      <c r="F123" s="316">
        <v>2000</v>
      </c>
      <c r="G123" s="316">
        <v>2001</v>
      </c>
      <c r="H123" s="352">
        <v>2002</v>
      </c>
      <c r="I123" s="352">
        <v>2003</v>
      </c>
      <c r="J123" s="352">
        <v>2004</v>
      </c>
      <c r="K123" s="352">
        <v>2005</v>
      </c>
      <c r="L123" s="352">
        <v>2006</v>
      </c>
      <c r="M123" s="356">
        <v>2007</v>
      </c>
      <c r="N123" s="356">
        <v>2008</v>
      </c>
      <c r="O123" s="356">
        <v>2009</v>
      </c>
      <c r="P123" s="356">
        <v>2010</v>
      </c>
      <c r="Q123" s="537">
        <v>2011</v>
      </c>
    </row>
    <row r="124" spans="1:18">
      <c r="F124" s="567" t="s">
        <v>273</v>
      </c>
      <c r="G124" s="316">
        <v>1</v>
      </c>
      <c r="H124" s="352">
        <v>2</v>
      </c>
      <c r="I124" s="352">
        <v>3</v>
      </c>
      <c r="J124" s="352">
        <v>4</v>
      </c>
      <c r="K124" s="352">
        <v>5</v>
      </c>
      <c r="L124" s="352">
        <v>6</v>
      </c>
      <c r="M124" s="352">
        <v>7</v>
      </c>
      <c r="N124" s="352">
        <v>8</v>
      </c>
      <c r="O124" s="352">
        <v>9</v>
      </c>
      <c r="P124" s="352">
        <v>10</v>
      </c>
      <c r="Q124" s="452">
        <v>11</v>
      </c>
    </row>
    <row r="125" spans="1:18">
      <c r="A125" s="74" t="s">
        <v>38</v>
      </c>
      <c r="B125" s="23">
        <f>Assumptions!D22</f>
        <v>40</v>
      </c>
      <c r="C125" s="234">
        <f>Asset3PurPrice</f>
        <v>27999.048234899619</v>
      </c>
      <c r="D125" s="246"/>
      <c r="E125" s="246"/>
      <c r="F125" s="18"/>
      <c r="G125" s="16"/>
      <c r="H125" s="772">
        <f>1/B125</f>
        <v>2.5000000000000001E-2</v>
      </c>
      <c r="I125" s="773">
        <f t="shared" ref="I125:R125" si="34">H125</f>
        <v>2.5000000000000001E-2</v>
      </c>
      <c r="J125" s="773">
        <f t="shared" si="34"/>
        <v>2.5000000000000001E-2</v>
      </c>
      <c r="K125" s="773">
        <f t="shared" si="34"/>
        <v>2.5000000000000001E-2</v>
      </c>
      <c r="L125" s="773">
        <f t="shared" si="34"/>
        <v>2.5000000000000001E-2</v>
      </c>
      <c r="M125" s="773">
        <f t="shared" si="34"/>
        <v>2.5000000000000001E-2</v>
      </c>
      <c r="N125" s="773">
        <f t="shared" si="34"/>
        <v>2.5000000000000001E-2</v>
      </c>
      <c r="O125" s="773">
        <f t="shared" si="34"/>
        <v>2.5000000000000001E-2</v>
      </c>
      <c r="P125" s="773">
        <f t="shared" si="34"/>
        <v>2.5000000000000001E-2</v>
      </c>
      <c r="Q125" s="773">
        <f t="shared" si="34"/>
        <v>2.5000000000000001E-2</v>
      </c>
      <c r="R125" s="774">
        <f t="shared" si="34"/>
        <v>2.5000000000000001E-2</v>
      </c>
    </row>
    <row r="126" spans="1:18">
      <c r="A126" s="2" t="s">
        <v>8</v>
      </c>
      <c r="C126" s="766"/>
      <c r="D126" s="246"/>
      <c r="E126" s="246"/>
      <c r="F126" s="18"/>
      <c r="G126" s="16"/>
      <c r="H126" s="30">
        <f>C125/B125</f>
        <v>699.97620587249048</v>
      </c>
      <c r="I126" s="30">
        <f t="shared" ref="I126:R126" si="35">+H126</f>
        <v>699.97620587249048</v>
      </c>
      <c r="J126" s="30">
        <f t="shared" si="35"/>
        <v>699.97620587249048</v>
      </c>
      <c r="K126" s="30">
        <f t="shared" si="35"/>
        <v>699.97620587249048</v>
      </c>
      <c r="L126" s="30">
        <f t="shared" si="35"/>
        <v>699.97620587249048</v>
      </c>
      <c r="M126" s="30">
        <f t="shared" si="35"/>
        <v>699.97620587249048</v>
      </c>
      <c r="N126" s="30">
        <f t="shared" si="35"/>
        <v>699.97620587249048</v>
      </c>
      <c r="O126" s="30">
        <f t="shared" si="35"/>
        <v>699.97620587249048</v>
      </c>
      <c r="P126" s="30">
        <f t="shared" si="35"/>
        <v>699.97620587249048</v>
      </c>
      <c r="Q126" s="30">
        <f t="shared" si="35"/>
        <v>699.97620587249048</v>
      </c>
      <c r="R126" s="30">
        <f t="shared" si="35"/>
        <v>699.97620587249048</v>
      </c>
    </row>
    <row r="127" spans="1:18">
      <c r="A127" s="2" t="s">
        <v>9</v>
      </c>
      <c r="D127" s="767"/>
      <c r="E127" s="767"/>
      <c r="F127" s="254"/>
      <c r="G127" s="16"/>
      <c r="H127" s="718">
        <f>($G$33*H125)</f>
        <v>17.5</v>
      </c>
      <c r="I127" s="718">
        <f>($G$33*I125)+($H$33*H125)</f>
        <v>35</v>
      </c>
      <c r="J127" s="718">
        <f>($G$33*J125)+($H$33*I125)+($I$33*H125)</f>
        <v>47.25</v>
      </c>
      <c r="K127" s="718">
        <f>($G$33*K125)+($H$33*J125)+($I$33*I125)+($J$33*H125)</f>
        <v>59.65625</v>
      </c>
      <c r="L127" s="718">
        <f>($G$33*L125)+($H$33*K125)+($I$33*J125)+($J$33*I125)+($K$33*H125)</f>
        <v>72.220987500000007</v>
      </c>
      <c r="M127" s="718">
        <f>($G$33*M125)+($H$33*L125)+($I$33*K125)+($J$33*J125)+($K$33*I125)+($L$33*H125)</f>
        <v>84.946485875000008</v>
      </c>
      <c r="N127" s="718">
        <f>($G$33*N125)+($H$33*M125)+($I$33*L125)+($J$33*K125)+($K$33*J125)+($L$33*I125)+($M$33*H125)</f>
        <v>97.835055003750014</v>
      </c>
      <c r="O127" s="718">
        <f>($G$33*O125)+($H$33*N125)+($I$33*M125)+($J$33*L125)+($K$33*K125)+($L$33*J125)+($M$33*I125)+($N$33*H125)</f>
        <v>110.88904190918751</v>
      </c>
      <c r="P127" s="718">
        <f>($G$33*P125)+($H$33*O125)+($I$33*N125)+($J$33*M125)+($K$33*L125)+($L$33*K125)+($M$33*J125)+($N$33*I125)+($O$33*H125)</f>
        <v>124.11083141078738</v>
      </c>
      <c r="Q127" s="718">
        <f>($G$33*Q125)+($H$33*P125)+($I$33*O125)+($J$33*N125)+($K$33*M125)+($L$33*L125)+($M$33*K125)+($N$33*J125)+($O$33*I125)+($P$33*H125)</f>
        <v>137.50284678905342</v>
      </c>
      <c r="R127" s="718">
        <f>($G$33*R125)+($H$33*Q125)+($I$33*P125)+($J$33*O125)+($K$33*N125)+($L$33*M125)+($M$33*L125)+($N$33*K125)+($O$33*J125)+($P$33*I125)+($Q$33*H125)</f>
        <v>151.06755046238527</v>
      </c>
    </row>
    <row r="128" spans="1:18">
      <c r="A128" s="39" t="s">
        <v>282</v>
      </c>
      <c r="D128" s="246"/>
      <c r="E128" s="246"/>
      <c r="F128" s="18"/>
      <c r="G128" s="16"/>
      <c r="H128" s="719">
        <f t="shared" ref="H128:R128" si="36">SUM(H126:H127)</f>
        <v>717.47620587249048</v>
      </c>
      <c r="I128" s="719">
        <f t="shared" si="36"/>
        <v>734.97620587249048</v>
      </c>
      <c r="J128" s="719">
        <f t="shared" si="36"/>
        <v>747.22620587249048</v>
      </c>
      <c r="K128" s="669">
        <f t="shared" si="36"/>
        <v>759.63245587249048</v>
      </c>
      <c r="L128" s="669">
        <f t="shared" si="36"/>
        <v>772.19719337249046</v>
      </c>
      <c r="M128" s="719">
        <f t="shared" si="36"/>
        <v>784.92269174749049</v>
      </c>
      <c r="N128" s="719">
        <f t="shared" si="36"/>
        <v>797.81126087624045</v>
      </c>
      <c r="O128" s="719">
        <f t="shared" si="36"/>
        <v>810.86524778167802</v>
      </c>
      <c r="P128" s="719">
        <f t="shared" si="36"/>
        <v>824.08703728327782</v>
      </c>
      <c r="Q128" s="719">
        <f t="shared" si="36"/>
        <v>837.47905266154385</v>
      </c>
      <c r="R128" s="719">
        <f t="shared" si="36"/>
        <v>851.04375633487575</v>
      </c>
    </row>
    <row r="129" spans="1:18">
      <c r="A129" s="1"/>
      <c r="D129" s="246"/>
      <c r="E129" s="246"/>
      <c r="F129" s="18"/>
      <c r="G129" s="18"/>
      <c r="H129" s="1"/>
      <c r="I129" s="1"/>
      <c r="J129" s="12"/>
      <c r="K129" s="12"/>
      <c r="L129" s="1"/>
      <c r="M129" s="1"/>
      <c r="N129" s="1"/>
      <c r="O129" s="1"/>
      <c r="P129" s="1"/>
      <c r="Q129" s="1"/>
    </row>
    <row r="130" spans="1:18">
      <c r="A130" s="77" t="s">
        <v>7</v>
      </c>
      <c r="D130" s="246"/>
      <c r="E130" s="246"/>
      <c r="F130" s="18"/>
      <c r="G130" s="16"/>
      <c r="H130" s="52">
        <v>0.05</v>
      </c>
      <c r="I130" s="53">
        <v>9.5000000000000001E-2</v>
      </c>
      <c r="J130" s="53">
        <v>8.5500000000000007E-2</v>
      </c>
      <c r="K130" s="53">
        <v>7.6999999999999999E-2</v>
      </c>
      <c r="L130" s="53">
        <v>6.93E-2</v>
      </c>
      <c r="M130" s="53">
        <v>6.2300000000000001E-2</v>
      </c>
      <c r="N130" s="53">
        <v>5.8999999999999997E-2</v>
      </c>
      <c r="O130" s="53">
        <v>5.8999999999999997E-2</v>
      </c>
      <c r="P130" s="53">
        <v>5.91E-2</v>
      </c>
      <c r="Q130" s="53">
        <v>5.8999999999999997E-2</v>
      </c>
      <c r="R130" s="54">
        <v>5.91E-2</v>
      </c>
    </row>
    <row r="131" spans="1:18">
      <c r="A131" s="2" t="s">
        <v>8</v>
      </c>
      <c r="B131" s="14"/>
      <c r="D131" s="246"/>
      <c r="E131" s="246"/>
      <c r="F131" s="18"/>
      <c r="G131" s="16"/>
      <c r="H131" s="1">
        <f t="shared" ref="H131:R131" si="37">H130*$C$125</f>
        <v>1399.952411744981</v>
      </c>
      <c r="I131" s="1">
        <f t="shared" si="37"/>
        <v>2659.9095823154639</v>
      </c>
      <c r="J131" s="1">
        <f t="shared" si="37"/>
        <v>2393.9186240839176</v>
      </c>
      <c r="K131" s="1">
        <f t="shared" si="37"/>
        <v>2155.9267140872707</v>
      </c>
      <c r="L131" s="1">
        <f t="shared" si="37"/>
        <v>1940.3340426785437</v>
      </c>
      <c r="M131" s="1">
        <f t="shared" si="37"/>
        <v>1744.3407050342464</v>
      </c>
      <c r="N131" s="1">
        <f t="shared" si="37"/>
        <v>1651.9438458590776</v>
      </c>
      <c r="O131" s="1">
        <f t="shared" si="37"/>
        <v>1651.9438458590776</v>
      </c>
      <c r="P131" s="1">
        <f t="shared" si="37"/>
        <v>1654.7437506825675</v>
      </c>
      <c r="Q131" s="1">
        <f t="shared" si="37"/>
        <v>1651.9438458590776</v>
      </c>
      <c r="R131" s="1">
        <f t="shared" si="37"/>
        <v>1654.7437506825675</v>
      </c>
    </row>
    <row r="132" spans="1:18" ht="15">
      <c r="A132" s="2" t="s">
        <v>9</v>
      </c>
      <c r="B132" s="15"/>
      <c r="D132" s="248"/>
      <c r="E132" s="248"/>
      <c r="F132" s="18"/>
      <c r="G132" s="16"/>
      <c r="H132" s="5">
        <f>($G$33*H$130)</f>
        <v>35</v>
      </c>
      <c r="I132" s="5">
        <f>($G$33*I130)+($H$33*H130)</f>
        <v>101.5</v>
      </c>
      <c r="J132" s="5">
        <f>($G$33*J130)+($H$33*I130)+($I$33*H130)</f>
        <v>150.85</v>
      </c>
      <c r="K132" s="5">
        <f>($G$33*K130)+($H$33*J130)+($I$33*I130)+($J$33*H130)</f>
        <v>185.11250000000001</v>
      </c>
      <c r="L132" s="5">
        <f>($G$33*L130)+($H$33*K130)+($I$33*J130)+($J$33*I130)+($K$33*H130)</f>
        <v>216.57822500000003</v>
      </c>
      <c r="M132" s="5">
        <f>($G$33*M130)+($H$33*L130)+($I$33*K130)+($J$33*J130)+($K$33*I130)+($L$33*H130)</f>
        <v>245.47637424999999</v>
      </c>
      <c r="N132" s="5">
        <f>($G$33*N130)+($H$33*M130)+($I$33*L130)+($J$33*K130)+($K$33*J130)+($L$33*I130)+($M$33*H130)</f>
        <v>274.18368433249998</v>
      </c>
      <c r="O132" s="5">
        <f>($G$33*O130)+($H$33*N130)+($I$33*M130)+($J$33*L130)+($K$33*K130)+($L$33*J130)+($M$33*I130)+($N$33*H130)</f>
        <v>304.82225744262502</v>
      </c>
      <c r="P132" s="5">
        <f>($G$33*P130)+($H$33*O130)+($I$33*N130)+($J$33*M130)+($K$33*L130)+($L$33*K130)+($M$33*J130)+($N$33*I130)+($O$33*H130)</f>
        <v>336.64799800918729</v>
      </c>
      <c r="Q132" s="5">
        <f>($G$33*Q130)+($H$33*P130)+($I$33*O130)+($J$33*N130)+($K$33*M130)+($L$33*L130)+($M$33*K130)+($N$33*J130)+($O$33*I130)+($P$33*H130)</f>
        <v>368.81341634125783</v>
      </c>
      <c r="R132" s="5">
        <f>($G$33*R130)+($H$33*Q130)+($I$33*P130)+($J$33*O130)+($K$33*N130)+($L$33*M130)+($M$33*L130)+($N$33*K130)+($O$33*J130)+($P$33*I130)+($Q$33*H130)</f>
        <v>401.4434516236887</v>
      </c>
    </row>
    <row r="133" spans="1:18">
      <c r="A133" s="39" t="s">
        <v>281</v>
      </c>
      <c r="D133" s="246"/>
      <c r="E133" s="246"/>
      <c r="F133" s="18"/>
      <c r="G133" s="16"/>
      <c r="H133" s="1">
        <f t="shared" ref="H133:R133" si="38">SUM(H131:H132)</f>
        <v>1434.952411744981</v>
      </c>
      <c r="I133" s="1">
        <f t="shared" si="38"/>
        <v>2761.4095823154639</v>
      </c>
      <c r="J133" s="1">
        <f t="shared" si="38"/>
        <v>2544.7686240839175</v>
      </c>
      <c r="K133" s="12">
        <f t="shared" si="38"/>
        <v>2341.0392140872709</v>
      </c>
      <c r="L133" s="12">
        <f t="shared" si="38"/>
        <v>2156.9122676785437</v>
      </c>
      <c r="M133" s="1">
        <f t="shared" si="38"/>
        <v>1989.8170792842463</v>
      </c>
      <c r="N133" s="1">
        <f t="shared" si="38"/>
        <v>1926.1275301915775</v>
      </c>
      <c r="O133" s="1">
        <f t="shared" si="38"/>
        <v>1956.7661033017025</v>
      </c>
      <c r="P133" s="1">
        <f t="shared" si="38"/>
        <v>1991.3917486917549</v>
      </c>
      <c r="Q133" s="1">
        <f t="shared" si="38"/>
        <v>2020.7572622003354</v>
      </c>
      <c r="R133" s="1">
        <f t="shared" si="38"/>
        <v>2056.187202306256</v>
      </c>
    </row>
  </sheetData>
  <mergeCells count="1">
    <mergeCell ref="K40:M40"/>
  </mergeCells>
  <phoneticPr fontId="0" type="noConversion"/>
  <conditionalFormatting sqref="C11">
    <cfRule type="cellIs" dxfId="1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5" max="16383" man="1"/>
  </rowBreak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3">
    <pageSetUpPr fitToPage="1"/>
  </sheetPr>
  <dimension ref="A1:S133"/>
  <sheetViews>
    <sheetView showGridLines="0" topLeftCell="C25" zoomScale="75" zoomScaleNormal="75" workbookViewId="0">
      <selection activeCell="J50" sqref="J50"/>
    </sheetView>
  </sheetViews>
  <sheetFormatPr defaultRowHeight="12.75" outlineLevelCol="1"/>
  <cols>
    <col min="1" max="1" width="32.5703125" customWidth="1"/>
    <col min="2" max="2" width="15.85546875" customWidth="1" outlineLevel="1"/>
    <col min="3" max="3" width="12.85546875" customWidth="1" outlineLevel="1"/>
    <col min="4" max="5" width="14.5703125" style="24" bestFit="1" customWidth="1"/>
    <col min="6" max="6" width="15.7109375" style="24" bestFit="1" customWidth="1"/>
    <col min="7" max="7" width="16.85546875" customWidth="1"/>
    <col min="8" max="9" width="15" bestFit="1" customWidth="1"/>
    <col min="10" max="10" width="14.57031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9" ht="18">
      <c r="A1" s="558" t="str">
        <f>Assumptions!D7</f>
        <v>Wolverine</v>
      </c>
      <c r="B1" s="128"/>
      <c r="C1" s="129"/>
      <c r="D1" s="60"/>
      <c r="E1" s="60"/>
      <c r="F1" s="540" t="s">
        <v>136</v>
      </c>
      <c r="G1" s="561"/>
      <c r="H1" s="539"/>
    </row>
    <row r="2" spans="1:19" ht="15.75">
      <c r="A2" s="775" t="s">
        <v>85</v>
      </c>
      <c r="B2" s="160"/>
      <c r="C2" s="131"/>
      <c r="D2" s="47"/>
      <c r="E2" s="47"/>
      <c r="F2" s="562"/>
      <c r="G2" s="56"/>
      <c r="H2" s="175"/>
      <c r="I2" s="56"/>
      <c r="R2" s="24"/>
    </row>
    <row r="3" spans="1:19" ht="16.5" thickBot="1">
      <c r="A3" s="743"/>
      <c r="B3" s="744"/>
      <c r="C3" s="135"/>
      <c r="D3" s="47"/>
      <c r="E3" s="47"/>
      <c r="F3" s="562"/>
      <c r="G3" s="35"/>
      <c r="H3" s="175"/>
      <c r="I3" s="56"/>
      <c r="R3" s="24"/>
    </row>
    <row r="4" spans="1:19" ht="13.5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75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>
      <c r="A11" s="662" t="s">
        <v>361</v>
      </c>
      <c r="B11" s="88"/>
      <c r="C11" s="84"/>
      <c r="D11" s="650">
        <f t="shared" ref="D11:Q11" si="0">D59</f>
        <v>1324</v>
      </c>
      <c r="E11" s="650">
        <f t="shared" si="0"/>
        <v>1495</v>
      </c>
      <c r="F11" s="650">
        <f t="shared" si="0"/>
        <v>4220</v>
      </c>
      <c r="G11" s="650">
        <f t="shared" si="0"/>
        <v>11660</v>
      </c>
      <c r="H11" s="651">
        <f t="shared" si="0"/>
        <v>14392.6</v>
      </c>
      <c r="I11" s="651">
        <f t="shared" si="0"/>
        <v>17804.687600000001</v>
      </c>
      <c r="J11" s="651">
        <f t="shared" si="0"/>
        <v>20368.24036</v>
      </c>
      <c r="K11" s="651">
        <f t="shared" si="0"/>
        <v>23314.18137884</v>
      </c>
      <c r="L11" s="651">
        <f t="shared" si="0"/>
        <v>24454.464065890003</v>
      </c>
      <c r="M11" s="651">
        <f t="shared" si="0"/>
        <v>25651.279901189038</v>
      </c>
      <c r="N11" s="651">
        <f t="shared" si="0"/>
        <v>24431.939206498941</v>
      </c>
      <c r="O11" s="651">
        <f t="shared" si="0"/>
        <v>23274.905143928125</v>
      </c>
      <c r="P11" s="651">
        <f t="shared" si="0"/>
        <v>19942.949313685553</v>
      </c>
      <c r="Q11" s="651">
        <f t="shared" si="0"/>
        <v>17114.115715522494</v>
      </c>
      <c r="R11" s="24"/>
    </row>
    <row r="12" spans="1:19">
      <c r="D12" s="247"/>
      <c r="E12" s="247"/>
      <c r="F12" s="18"/>
      <c r="G12" s="757"/>
      <c r="H12" s="12"/>
      <c r="I12" s="12"/>
      <c r="J12" s="12"/>
      <c r="K12" s="12"/>
      <c r="L12" s="1"/>
      <c r="M12" s="1"/>
      <c r="N12" s="1"/>
      <c r="O12" s="1"/>
      <c r="P12" s="1"/>
      <c r="Q12" s="1"/>
      <c r="R12" s="24"/>
    </row>
    <row r="13" spans="1:19">
      <c r="A13" s="117" t="s">
        <v>362</v>
      </c>
      <c r="B13" s="87"/>
      <c r="C13" s="35"/>
      <c r="D13" s="650">
        <f t="shared" ref="D13:Q13" si="1">D83</f>
        <v>1785</v>
      </c>
      <c r="E13" s="650">
        <f t="shared" si="1"/>
        <v>1769</v>
      </c>
      <c r="F13" s="650">
        <f t="shared" si="1"/>
        <v>4275</v>
      </c>
      <c r="G13" s="650">
        <f t="shared" si="1"/>
        <v>11282</v>
      </c>
      <c r="H13" s="651">
        <f t="shared" si="1"/>
        <v>13877.619999999999</v>
      </c>
      <c r="I13" s="651">
        <f t="shared" si="1"/>
        <v>17116.521000000001</v>
      </c>
      <c r="J13" s="651">
        <f t="shared" si="1"/>
        <v>19552.814478</v>
      </c>
      <c r="K13" s="651">
        <f t="shared" si="1"/>
        <v>22351.276467299998</v>
      </c>
      <c r="L13" s="651">
        <f t="shared" si="1"/>
        <v>23441.468273628197</v>
      </c>
      <c r="M13" s="651">
        <f t="shared" si="1"/>
        <v>24585.506977829929</v>
      </c>
      <c r="N13" s="651">
        <f t="shared" si="1"/>
        <v>23443.609719246317</v>
      </c>
      <c r="O13" s="651">
        <f t="shared" si="1"/>
        <v>22361.043969218703</v>
      </c>
      <c r="P13" s="651">
        <f t="shared" si="1"/>
        <v>19220.833766784526</v>
      </c>
      <c r="Q13" s="651">
        <f t="shared" si="1"/>
        <v>16557.101477881457</v>
      </c>
      <c r="R13" s="24"/>
    </row>
    <row r="14" spans="1:19">
      <c r="A14" s="117"/>
      <c r="B14" s="87"/>
      <c r="C14" s="35"/>
      <c r="D14" s="670"/>
      <c r="E14" s="670"/>
      <c r="F14" s="670"/>
      <c r="G14" s="670"/>
      <c r="H14" s="671"/>
      <c r="I14" s="671"/>
      <c r="J14" s="671"/>
      <c r="K14" s="671"/>
      <c r="L14" s="671"/>
      <c r="M14" s="671"/>
      <c r="N14" s="671"/>
      <c r="O14" s="671"/>
      <c r="P14" s="671"/>
      <c r="Q14" s="671"/>
      <c r="R14" s="24"/>
    </row>
    <row r="15" spans="1:19">
      <c r="A15" s="117" t="s">
        <v>1</v>
      </c>
      <c r="B15" s="35"/>
      <c r="C15" s="35"/>
      <c r="D15" s="650">
        <f t="shared" ref="D15:Q15" si="2">(D11-D13)</f>
        <v>-461</v>
      </c>
      <c r="E15" s="650">
        <f t="shared" si="2"/>
        <v>-274</v>
      </c>
      <c r="F15" s="650">
        <f t="shared" si="2"/>
        <v>-55</v>
      </c>
      <c r="G15" s="650">
        <f t="shared" si="2"/>
        <v>378</v>
      </c>
      <c r="H15" s="651">
        <f t="shared" si="2"/>
        <v>514.98000000000138</v>
      </c>
      <c r="I15" s="651">
        <f t="shared" si="2"/>
        <v>688.16660000000047</v>
      </c>
      <c r="J15" s="651">
        <f t="shared" si="2"/>
        <v>815.42588199999955</v>
      </c>
      <c r="K15" s="651">
        <f t="shared" si="2"/>
        <v>962.90491154000119</v>
      </c>
      <c r="L15" s="651">
        <f t="shared" si="2"/>
        <v>1012.995792261805</v>
      </c>
      <c r="M15" s="651">
        <f t="shared" si="2"/>
        <v>1065.772923359109</v>
      </c>
      <c r="N15" s="651">
        <f t="shared" si="2"/>
        <v>988.32948725262395</v>
      </c>
      <c r="O15" s="651">
        <f t="shared" si="2"/>
        <v>913.8611747094219</v>
      </c>
      <c r="P15" s="651">
        <f t="shared" si="2"/>
        <v>722.11554690102639</v>
      </c>
      <c r="Q15" s="651">
        <f t="shared" si="2"/>
        <v>557.01423764103674</v>
      </c>
      <c r="R15" s="24"/>
    </row>
    <row r="16" spans="1:19">
      <c r="A16" s="690" t="s">
        <v>347</v>
      </c>
      <c r="B16" s="7"/>
      <c r="C16" s="7"/>
      <c r="D16" s="691">
        <f t="shared" ref="D16:Q16" si="3">D11/D13</f>
        <v>0.74173669467787118</v>
      </c>
      <c r="E16" s="691">
        <f t="shared" si="3"/>
        <v>0.84511023176936118</v>
      </c>
      <c r="F16" s="691">
        <f t="shared" si="3"/>
        <v>0.98713450292397664</v>
      </c>
      <c r="G16" s="691">
        <f t="shared" si="3"/>
        <v>1.0335046977486262</v>
      </c>
      <c r="H16" s="692">
        <f t="shared" si="3"/>
        <v>1.0371086684892656</v>
      </c>
      <c r="I16" s="692">
        <f t="shared" si="3"/>
        <v>1.0402048173223986</v>
      </c>
      <c r="J16" s="692">
        <f t="shared" si="3"/>
        <v>1.0417037599838879</v>
      </c>
      <c r="K16" s="692">
        <f t="shared" si="3"/>
        <v>1.0430805333623221</v>
      </c>
      <c r="L16" s="692">
        <f t="shared" si="3"/>
        <v>1.0432138371384114</v>
      </c>
      <c r="M16" s="692">
        <f t="shared" si="3"/>
        <v>1.043349641897569</v>
      </c>
      <c r="N16" s="692">
        <f t="shared" si="3"/>
        <v>1.0421577350539684</v>
      </c>
      <c r="O16" s="692">
        <f t="shared" si="3"/>
        <v>1.0408684485378861</v>
      </c>
      <c r="P16" s="692">
        <f t="shared" si="3"/>
        <v>1.0375694184582622</v>
      </c>
      <c r="Q16" s="692">
        <f t="shared" si="3"/>
        <v>1.033642013874539</v>
      </c>
      <c r="R16" s="24"/>
    </row>
    <row r="17" spans="1:18">
      <c r="A17" s="690" t="s">
        <v>348</v>
      </c>
      <c r="B17" s="7"/>
      <c r="C17" s="7"/>
      <c r="D17" s="693">
        <f t="shared" ref="D17:Q17" si="4">(D11-D13)/D11</f>
        <v>-0.34818731117824775</v>
      </c>
      <c r="E17" s="693">
        <f t="shared" si="4"/>
        <v>-0.18327759197324414</v>
      </c>
      <c r="F17" s="693">
        <f t="shared" si="4"/>
        <v>-1.3033175355450236E-2</v>
      </c>
      <c r="G17" s="693">
        <f t="shared" si="4"/>
        <v>3.2418524871355062E-2</v>
      </c>
      <c r="H17" s="694">
        <f t="shared" si="4"/>
        <v>3.578088740046978E-2</v>
      </c>
      <c r="I17" s="694">
        <f t="shared" si="4"/>
        <v>3.865086630332118E-2</v>
      </c>
      <c r="J17" s="694">
        <f t="shared" si="4"/>
        <v>4.0034183983873588E-2</v>
      </c>
      <c r="K17" s="694">
        <f t="shared" si="4"/>
        <v>4.1301253339906488E-2</v>
      </c>
      <c r="L17" s="694">
        <f t="shared" si="4"/>
        <v>4.1423757622837024E-2</v>
      </c>
      <c r="M17" s="694">
        <f t="shared" si="4"/>
        <v>4.1548528083766544E-2</v>
      </c>
      <c r="N17" s="694">
        <f t="shared" si="4"/>
        <v>4.0452355373810298E-2</v>
      </c>
      <c r="O17" s="694">
        <f t="shared" si="4"/>
        <v>3.9263798028746286E-2</v>
      </c>
      <c r="P17" s="694">
        <f t="shared" si="4"/>
        <v>3.6209064945348146E-2</v>
      </c>
      <c r="Q17" s="694">
        <f t="shared" si="4"/>
        <v>3.254706506020788E-2</v>
      </c>
      <c r="R17" s="24"/>
    </row>
    <row r="18" spans="1:18">
      <c r="D18" s="16"/>
      <c r="E18" s="16"/>
      <c r="F18" s="16"/>
      <c r="G18" s="16"/>
      <c r="R18" s="24"/>
    </row>
    <row r="19" spans="1:18">
      <c r="A19" s="6" t="s">
        <v>283</v>
      </c>
      <c r="D19" s="676">
        <v>14</v>
      </c>
      <c r="E19" s="676">
        <v>25</v>
      </c>
      <c r="F19" s="677">
        <v>54</v>
      </c>
      <c r="G19" s="684">
        <f>4*2</f>
        <v>8</v>
      </c>
      <c r="H19" s="642">
        <f>G19*Curves!E34</f>
        <v>8.08</v>
      </c>
      <c r="I19" s="642">
        <f>H19*Curves!F34</f>
        <v>8.1608000000000001</v>
      </c>
      <c r="J19" s="642">
        <f>I19*Curves!G34</f>
        <v>8.2424079999999993</v>
      </c>
      <c r="K19" s="642">
        <f>J19*Curves!H34</f>
        <v>8.3248320800000002</v>
      </c>
      <c r="L19" s="642">
        <f>K19*Curves!I34</f>
        <v>8.4080804007999994</v>
      </c>
      <c r="M19" s="642">
        <f>L19*Curves!J34</f>
        <v>8.4921612048079993</v>
      </c>
      <c r="N19" s="642">
        <f>M19*Curves!K34</f>
        <v>8.5770828168560787</v>
      </c>
      <c r="O19" s="642">
        <f>N19*Curves!L34</f>
        <v>8.6628536450246401</v>
      </c>
      <c r="P19" s="642">
        <f>O19*Curves!M34</f>
        <v>8.7494821814748871</v>
      </c>
      <c r="Q19" s="642">
        <f>P19*Curves!N34</f>
        <v>8.8369770032896362</v>
      </c>
      <c r="R19" s="24"/>
    </row>
    <row r="20" spans="1:18">
      <c r="A20" s="6" t="s">
        <v>284</v>
      </c>
      <c r="D20" s="676">
        <v>0</v>
      </c>
      <c r="E20" s="676">
        <v>-84</v>
      </c>
      <c r="F20" s="677">
        <v>-329</v>
      </c>
      <c r="G20" s="684">
        <v>0</v>
      </c>
      <c r="H20" s="642">
        <f>G20</f>
        <v>0</v>
      </c>
      <c r="I20" s="642">
        <f>H20*Curves!F35</f>
        <v>0</v>
      </c>
      <c r="J20" s="642">
        <f>I20*Curves!G35</f>
        <v>0</v>
      </c>
      <c r="K20" s="642">
        <f>J20*Curves!H35</f>
        <v>0</v>
      </c>
      <c r="L20" s="642">
        <f>K20*Curves!I35</f>
        <v>0</v>
      </c>
      <c r="M20" s="642">
        <f>L20*Curves!J35</f>
        <v>0</v>
      </c>
      <c r="N20" s="642">
        <f>M20*Curves!K35</f>
        <v>0</v>
      </c>
      <c r="O20" s="642">
        <f>N20*Curves!L35</f>
        <v>0</v>
      </c>
      <c r="P20" s="642">
        <f>O20*Curves!M35</f>
        <v>0</v>
      </c>
      <c r="Q20" s="642">
        <f>P20*Curves!N35</f>
        <v>0</v>
      </c>
      <c r="R20" s="24"/>
    </row>
    <row r="21" spans="1:18">
      <c r="A21" s="6" t="s">
        <v>360</v>
      </c>
      <c r="B21" s="15"/>
      <c r="D21" s="676">
        <v>484</v>
      </c>
      <c r="E21" s="676">
        <v>595</v>
      </c>
      <c r="F21" s="677">
        <v>637</v>
      </c>
      <c r="G21" s="758">
        <f>269*2</f>
        <v>538</v>
      </c>
      <c r="H21" s="675">
        <f t="shared" ref="H21:Q21" si="5">H128</f>
        <v>57.391476387517208</v>
      </c>
      <c r="I21" s="675">
        <f t="shared" si="5"/>
        <v>67.891476387517201</v>
      </c>
      <c r="J21" s="675">
        <f t="shared" si="5"/>
        <v>80.391476387517201</v>
      </c>
      <c r="K21" s="675">
        <f t="shared" si="5"/>
        <v>93.198976387517206</v>
      </c>
      <c r="L21" s="675">
        <f t="shared" si="5"/>
        <v>106.32192638751721</v>
      </c>
      <c r="M21" s="675">
        <f t="shared" si="5"/>
        <v>119.7684901375172</v>
      </c>
      <c r="N21" s="675">
        <f t="shared" si="5"/>
        <v>133.5470510625172</v>
      </c>
      <c r="O21" s="675">
        <f t="shared" si="5"/>
        <v>147.66621835559221</v>
      </c>
      <c r="P21" s="675">
        <f t="shared" si="5"/>
        <v>162.13483324389171</v>
      </c>
      <c r="Q21" s="675">
        <f t="shared" si="5"/>
        <v>176.96197543255485</v>
      </c>
      <c r="R21" s="24"/>
    </row>
    <row r="22" spans="1:18">
      <c r="D22" s="678"/>
      <c r="E22" s="678"/>
      <c r="F22" s="640"/>
      <c r="G22" s="640"/>
      <c r="H22" s="641"/>
      <c r="I22" s="641"/>
      <c r="J22" s="679"/>
      <c r="K22" s="679"/>
      <c r="L22" s="641"/>
      <c r="M22" s="641"/>
      <c r="N22" s="641"/>
      <c r="O22" s="641"/>
      <c r="P22" s="641"/>
      <c r="Q22" s="641"/>
      <c r="R22" s="24"/>
    </row>
    <row r="23" spans="1:18">
      <c r="A23" s="117" t="s">
        <v>2</v>
      </c>
      <c r="B23" s="35"/>
      <c r="C23" s="35"/>
      <c r="D23" s="650">
        <f t="shared" ref="D23:Q23" si="6">D15+D19+D20-D21</f>
        <v>-931</v>
      </c>
      <c r="E23" s="650">
        <f t="shared" si="6"/>
        <v>-928</v>
      </c>
      <c r="F23" s="650">
        <f t="shared" si="6"/>
        <v>-967</v>
      </c>
      <c r="G23" s="650">
        <f t="shared" si="6"/>
        <v>-152</v>
      </c>
      <c r="H23" s="651">
        <f t="shared" si="6"/>
        <v>465.66852361248419</v>
      </c>
      <c r="I23" s="651">
        <f t="shared" si="6"/>
        <v>628.43592361248329</v>
      </c>
      <c r="J23" s="651">
        <f t="shared" si="6"/>
        <v>743.27681361248233</v>
      </c>
      <c r="K23" s="651">
        <f t="shared" si="6"/>
        <v>878.03076723248398</v>
      </c>
      <c r="L23" s="651">
        <f t="shared" si="6"/>
        <v>915.08194627508783</v>
      </c>
      <c r="M23" s="651">
        <f t="shared" si="6"/>
        <v>954.49659442639984</v>
      </c>
      <c r="N23" s="651">
        <f t="shared" si="6"/>
        <v>863.35951900696284</v>
      </c>
      <c r="O23" s="651">
        <f t="shared" si="6"/>
        <v>774.85780999885424</v>
      </c>
      <c r="P23" s="651">
        <f t="shared" si="6"/>
        <v>568.73019583860946</v>
      </c>
      <c r="Q23" s="651">
        <f t="shared" si="6"/>
        <v>388.88923921177161</v>
      </c>
      <c r="R23" s="24"/>
    </row>
    <row r="24" spans="1:18">
      <c r="D24" s="246"/>
      <c r="E24" s="246"/>
      <c r="F24" s="18"/>
      <c r="G24" s="18"/>
      <c r="H24" s="1"/>
      <c r="I24" s="1"/>
      <c r="J24" s="12"/>
      <c r="K24" s="12"/>
      <c r="L24" s="1"/>
      <c r="M24" s="1"/>
      <c r="N24" s="1"/>
      <c r="O24" s="1"/>
      <c r="P24" s="1"/>
      <c r="Q24" s="1"/>
      <c r="R24" s="24"/>
    </row>
    <row r="25" spans="1:18">
      <c r="A25" s="347" t="s">
        <v>363</v>
      </c>
      <c r="D25" s="246"/>
      <c r="E25" s="246"/>
      <c r="F25" s="18"/>
      <c r="G25" s="18"/>
      <c r="H25" s="1"/>
      <c r="I25" s="1"/>
      <c r="J25" s="12"/>
      <c r="K25" s="12"/>
      <c r="L25" s="1"/>
      <c r="M25" s="1"/>
      <c r="N25" s="1"/>
      <c r="O25" s="1"/>
      <c r="P25" s="1"/>
      <c r="Q25" s="1"/>
      <c r="R25" s="24"/>
    </row>
    <row r="26" spans="1:18">
      <c r="A26" s="682" t="s">
        <v>3</v>
      </c>
      <c r="D26" s="676">
        <v>100</v>
      </c>
      <c r="E26" s="676">
        <v>64</v>
      </c>
      <c r="F26" s="677">
        <v>60</v>
      </c>
      <c r="G26" s="684">
        <v>0</v>
      </c>
      <c r="H26" s="642">
        <f t="shared" ref="H26:Q26" si="7">G26</f>
        <v>0</v>
      </c>
      <c r="I26" s="642">
        <f t="shared" si="7"/>
        <v>0</v>
      </c>
      <c r="J26" s="642">
        <f t="shared" si="7"/>
        <v>0</v>
      </c>
      <c r="K26" s="642">
        <f t="shared" si="7"/>
        <v>0</v>
      </c>
      <c r="L26" s="642">
        <f t="shared" si="7"/>
        <v>0</v>
      </c>
      <c r="M26" s="642">
        <f t="shared" si="7"/>
        <v>0</v>
      </c>
      <c r="N26" s="642">
        <f t="shared" si="7"/>
        <v>0</v>
      </c>
      <c r="O26" s="642">
        <f t="shared" si="7"/>
        <v>0</v>
      </c>
      <c r="P26" s="642">
        <f t="shared" si="7"/>
        <v>0</v>
      </c>
      <c r="Q26" s="642">
        <f t="shared" si="7"/>
        <v>0</v>
      </c>
      <c r="R26" s="24"/>
    </row>
    <row r="27" spans="1:18">
      <c r="A27" s="682" t="s">
        <v>4</v>
      </c>
      <c r="D27" s="680">
        <v>0</v>
      </c>
      <c r="E27" s="680">
        <v>0</v>
      </c>
      <c r="F27" s="681">
        <v>0</v>
      </c>
      <c r="G27" s="759">
        <v>0</v>
      </c>
      <c r="H27" s="763">
        <f t="shared" ref="H27:Q27" si="8">G27</f>
        <v>0</v>
      </c>
      <c r="I27" s="763">
        <f t="shared" si="8"/>
        <v>0</v>
      </c>
      <c r="J27" s="763">
        <f t="shared" si="8"/>
        <v>0</v>
      </c>
      <c r="K27" s="763">
        <f t="shared" si="8"/>
        <v>0</v>
      </c>
      <c r="L27" s="763">
        <f t="shared" si="8"/>
        <v>0</v>
      </c>
      <c r="M27" s="763">
        <f t="shared" si="8"/>
        <v>0</v>
      </c>
      <c r="N27" s="763">
        <f t="shared" si="8"/>
        <v>0</v>
      </c>
      <c r="O27" s="763">
        <f t="shared" si="8"/>
        <v>0</v>
      </c>
      <c r="P27" s="763">
        <f t="shared" si="8"/>
        <v>0</v>
      </c>
      <c r="Q27" s="763">
        <f t="shared" si="8"/>
        <v>0</v>
      </c>
      <c r="R27" s="24"/>
    </row>
    <row r="28" spans="1:18">
      <c r="A28" s="74" t="s">
        <v>364</v>
      </c>
      <c r="B28" s="771">
        <f>Assumptions!D21</f>
        <v>0.38500000000000001</v>
      </c>
      <c r="D28" s="765">
        <f>SUM(D26:D27)</f>
        <v>100</v>
      </c>
      <c r="E28" s="765">
        <f>SUM(E26:E27)</f>
        <v>64</v>
      </c>
      <c r="F28" s="765">
        <f>SUM(F26:F27)</f>
        <v>60</v>
      </c>
      <c r="G28" s="765">
        <f>SUM(G26:G27)</f>
        <v>0</v>
      </c>
      <c r="H28" s="719">
        <f t="shared" ref="H28:Q28" si="9">H23*$B$28</f>
        <v>179.28238159080641</v>
      </c>
      <c r="I28" s="719">
        <f t="shared" si="9"/>
        <v>241.94783059080606</v>
      </c>
      <c r="J28" s="719">
        <f t="shared" si="9"/>
        <v>286.16157324080569</v>
      </c>
      <c r="K28" s="719">
        <f t="shared" si="9"/>
        <v>338.04184538450636</v>
      </c>
      <c r="L28" s="719">
        <f t="shared" si="9"/>
        <v>352.3065493159088</v>
      </c>
      <c r="M28" s="719">
        <f t="shared" si="9"/>
        <v>367.48118885416392</v>
      </c>
      <c r="N28" s="719">
        <f t="shared" si="9"/>
        <v>332.39341481768071</v>
      </c>
      <c r="O28" s="719">
        <f t="shared" si="9"/>
        <v>298.32025684955892</v>
      </c>
      <c r="P28" s="719">
        <f t="shared" si="9"/>
        <v>218.96112539786463</v>
      </c>
      <c r="Q28" s="719">
        <f t="shared" si="9"/>
        <v>149.72235709653208</v>
      </c>
      <c r="R28" s="24"/>
    </row>
    <row r="29" spans="1:18">
      <c r="A29" s="1"/>
      <c r="B29" s="23"/>
      <c r="D29" s="678"/>
      <c r="E29" s="678"/>
      <c r="F29" s="640"/>
      <c r="G29" s="640"/>
      <c r="H29" s="641"/>
      <c r="I29" s="641"/>
      <c r="J29" s="679"/>
      <c r="K29" s="679"/>
      <c r="L29" s="641"/>
      <c r="M29" s="641"/>
      <c r="N29" s="641"/>
      <c r="O29" s="641"/>
      <c r="P29" s="641"/>
      <c r="Q29" s="641"/>
      <c r="R29" s="24"/>
    </row>
    <row r="30" spans="1:18">
      <c r="A30" s="683" t="s">
        <v>13</v>
      </c>
      <c r="B30" s="268"/>
      <c r="C30" s="35"/>
      <c r="D30" s="650">
        <f t="shared" ref="D30:Q30" si="10">D23-D28</f>
        <v>-1031</v>
      </c>
      <c r="E30" s="650">
        <f t="shared" si="10"/>
        <v>-992</v>
      </c>
      <c r="F30" s="650">
        <f t="shared" si="10"/>
        <v>-1027</v>
      </c>
      <c r="G30" s="650">
        <f t="shared" si="10"/>
        <v>-152</v>
      </c>
      <c r="H30" s="651">
        <f t="shared" si="10"/>
        <v>286.38614202167776</v>
      </c>
      <c r="I30" s="651">
        <f t="shared" si="10"/>
        <v>386.48809302167723</v>
      </c>
      <c r="J30" s="651">
        <f t="shared" si="10"/>
        <v>457.11524037167663</v>
      </c>
      <c r="K30" s="651">
        <f t="shared" si="10"/>
        <v>539.98892184797762</v>
      </c>
      <c r="L30" s="651">
        <f t="shared" si="10"/>
        <v>562.77539695917903</v>
      </c>
      <c r="M30" s="651">
        <f t="shared" si="10"/>
        <v>587.01540557223598</v>
      </c>
      <c r="N30" s="651">
        <f t="shared" si="10"/>
        <v>530.96610418928208</v>
      </c>
      <c r="O30" s="651">
        <f t="shared" si="10"/>
        <v>476.53755314929532</v>
      </c>
      <c r="P30" s="651">
        <f t="shared" si="10"/>
        <v>349.76907044074483</v>
      </c>
      <c r="Q30" s="651">
        <f t="shared" si="10"/>
        <v>239.16688211523953</v>
      </c>
      <c r="R30" s="19" t="s">
        <v>1</v>
      </c>
    </row>
    <row r="31" spans="1:18">
      <c r="A31" s="2"/>
      <c r="B31" s="23"/>
      <c r="D31" s="246"/>
      <c r="E31" s="246"/>
      <c r="F31" s="18"/>
      <c r="G31" s="18"/>
      <c r="H31" s="1"/>
      <c r="I31" s="1"/>
      <c r="J31" s="12"/>
      <c r="K31" s="12"/>
      <c r="L31" s="1"/>
      <c r="M31" s="1"/>
      <c r="N31" s="1"/>
      <c r="O31" s="1"/>
      <c r="P31" s="1"/>
      <c r="Q31" s="1"/>
      <c r="R31" s="19" t="s">
        <v>58</v>
      </c>
    </row>
    <row r="32" spans="1:18">
      <c r="A32" s="77" t="s">
        <v>365</v>
      </c>
      <c r="B32" s="23"/>
      <c r="D32" s="684">
        <f t="shared" ref="D32:Q32" si="11">D30+D27+D21</f>
        <v>-547</v>
      </c>
      <c r="E32" s="684">
        <f t="shared" si="11"/>
        <v>-397</v>
      </c>
      <c r="F32" s="684">
        <f t="shared" si="11"/>
        <v>-390</v>
      </c>
      <c r="G32" s="684">
        <f t="shared" si="11"/>
        <v>386</v>
      </c>
      <c r="H32" s="642">
        <f t="shared" si="11"/>
        <v>343.77761840919499</v>
      </c>
      <c r="I32" s="642">
        <f t="shared" si="11"/>
        <v>454.37956940919446</v>
      </c>
      <c r="J32" s="258">
        <f t="shared" si="11"/>
        <v>537.50671675919386</v>
      </c>
      <c r="K32" s="258">
        <f t="shared" si="11"/>
        <v>633.1878982354948</v>
      </c>
      <c r="L32" s="642">
        <f t="shared" si="11"/>
        <v>669.09732334669627</v>
      </c>
      <c r="M32" s="642">
        <f t="shared" si="11"/>
        <v>706.78389570975321</v>
      </c>
      <c r="N32" s="642">
        <f t="shared" si="11"/>
        <v>664.51315525179928</v>
      </c>
      <c r="O32" s="642">
        <f t="shared" si="11"/>
        <v>624.20377150488753</v>
      </c>
      <c r="P32" s="642">
        <f t="shared" si="11"/>
        <v>511.90390368463653</v>
      </c>
      <c r="Q32" s="642">
        <f t="shared" si="11"/>
        <v>416.12885754779438</v>
      </c>
      <c r="R32" s="19" t="s">
        <v>59</v>
      </c>
    </row>
    <row r="33" spans="1:18">
      <c r="A33" s="77" t="s">
        <v>18</v>
      </c>
      <c r="B33" s="112"/>
      <c r="D33" s="18">
        <f t="shared" ref="D33:Q33" si="12">D107</f>
        <v>0</v>
      </c>
      <c r="E33" s="18">
        <f t="shared" si="12"/>
        <v>0</v>
      </c>
      <c r="F33" s="18">
        <f t="shared" si="12"/>
        <v>0</v>
      </c>
      <c r="G33" s="684">
        <f t="shared" si="12"/>
        <v>355</v>
      </c>
      <c r="H33" s="258">
        <f t="shared" si="12"/>
        <v>420</v>
      </c>
      <c r="I33" s="258">
        <f t="shared" si="12"/>
        <v>500</v>
      </c>
      <c r="J33" s="258">
        <f t="shared" si="12"/>
        <v>512.29999999999995</v>
      </c>
      <c r="K33" s="258">
        <f t="shared" si="12"/>
        <v>524.91800000000001</v>
      </c>
      <c r="L33" s="258">
        <f t="shared" si="12"/>
        <v>537.86255000000017</v>
      </c>
      <c r="M33" s="258">
        <f t="shared" si="12"/>
        <v>551.14243699999997</v>
      </c>
      <c r="N33" s="258">
        <f t="shared" si="12"/>
        <v>564.76669172300001</v>
      </c>
      <c r="O33" s="258">
        <f t="shared" si="12"/>
        <v>578.74459553198005</v>
      </c>
      <c r="P33" s="258">
        <f t="shared" si="12"/>
        <v>593.08568754652572</v>
      </c>
      <c r="Q33" s="258">
        <f t="shared" si="12"/>
        <v>607.79977196493087</v>
      </c>
      <c r="R33" s="687">
        <f>Assumptions!E44</f>
        <v>12</v>
      </c>
    </row>
    <row r="34" spans="1:18">
      <c r="A34" s="2"/>
      <c r="B34" s="112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4"/>
    </row>
    <row r="35" spans="1:18" ht="27.75" customHeight="1" thickBot="1">
      <c r="A35" s="768" t="s">
        <v>406</v>
      </c>
      <c r="B35" s="685"/>
      <c r="C35" s="685"/>
      <c r="D35" s="688">
        <f t="shared" ref="D35:Q35" si="13">D32-D33</f>
        <v>-547</v>
      </c>
      <c r="E35" s="688">
        <f t="shared" si="13"/>
        <v>-397</v>
      </c>
      <c r="F35" s="688">
        <f t="shared" si="13"/>
        <v>-390</v>
      </c>
      <c r="G35" s="688">
        <f t="shared" si="13"/>
        <v>31</v>
      </c>
      <c r="H35" s="689">
        <f t="shared" si="13"/>
        <v>-76.222381590805014</v>
      </c>
      <c r="I35" s="689">
        <f t="shared" si="13"/>
        <v>-45.62043059080554</v>
      </c>
      <c r="J35" s="689">
        <f t="shared" si="13"/>
        <v>25.20671675919391</v>
      </c>
      <c r="K35" s="689">
        <f t="shared" si="13"/>
        <v>108.26989823549479</v>
      </c>
      <c r="L35" s="689">
        <f t="shared" si="13"/>
        <v>131.2347733466961</v>
      </c>
      <c r="M35" s="689">
        <f t="shared" si="13"/>
        <v>155.64145870975324</v>
      </c>
      <c r="N35" s="689">
        <f t="shared" si="13"/>
        <v>99.746463528799268</v>
      </c>
      <c r="O35" s="689">
        <f t="shared" si="13"/>
        <v>45.459175972907474</v>
      </c>
      <c r="P35" s="689">
        <f t="shared" si="13"/>
        <v>-81.181783861889187</v>
      </c>
      <c r="Q35" s="689">
        <f t="shared" si="13"/>
        <v>-191.67091441713649</v>
      </c>
      <c r="R35" s="686">
        <f>Q15*R37</f>
        <v>6684.1708516924409</v>
      </c>
    </row>
    <row r="36" spans="1:18" ht="13.5" thickTop="1">
      <c r="A36" s="745"/>
      <c r="B36" s="35"/>
      <c r="C36" s="35"/>
      <c r="D36" s="651"/>
      <c r="E36" s="651"/>
      <c r="F36" s="651"/>
      <c r="G36" s="651"/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234"/>
    </row>
    <row r="37" spans="1:18">
      <c r="A37" s="745"/>
      <c r="B37" s="35"/>
      <c r="C37" s="35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96">
        <f>Scenarios!C5</f>
        <v>12</v>
      </c>
    </row>
    <row r="38" spans="1:18">
      <c r="A38" s="745"/>
      <c r="B38" s="35"/>
      <c r="C38" s="35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95" t="s">
        <v>369</v>
      </c>
    </row>
    <row r="39" spans="1:18" ht="13.5" thickBot="1"/>
    <row r="40" spans="1:18" ht="15">
      <c r="F40"/>
      <c r="G40" s="164" t="s">
        <v>10</v>
      </c>
      <c r="H40" s="165" t="str">
        <f>(Assumptions!D14-1&amp;" EBITDA")</f>
        <v>2001 EBITDA</v>
      </c>
      <c r="I40" s="165" t="s">
        <v>60</v>
      </c>
      <c r="J40" s="166"/>
      <c r="K40" s="1006" t="s">
        <v>11</v>
      </c>
      <c r="L40" s="1006"/>
      <c r="M40" s="1007"/>
      <c r="P40" s="1"/>
      <c r="Q40" s="1"/>
    </row>
    <row r="41" spans="1:18" ht="15">
      <c r="F41"/>
      <c r="G41" s="167" t="s">
        <v>12</v>
      </c>
      <c r="H41" s="168" t="s">
        <v>19</v>
      </c>
      <c r="I41" s="168" t="s">
        <v>61</v>
      </c>
      <c r="J41" s="169"/>
      <c r="K41" s="170">
        <f>Asset3Drate-0.025</f>
        <v>0.1</v>
      </c>
      <c r="L41" s="703">
        <f>Scenarios!C6</f>
        <v>0.125</v>
      </c>
      <c r="M41" s="171">
        <f>Asset3Drate+0.025</f>
        <v>0.15</v>
      </c>
      <c r="P41" s="1"/>
      <c r="Q41" s="1"/>
    </row>
    <row r="42" spans="1:18">
      <c r="F42" s="8" t="s">
        <v>17</v>
      </c>
      <c r="G42" s="172"/>
      <c r="H42" s="173"/>
      <c r="I42" s="173"/>
      <c r="J42" s="162"/>
      <c r="K42" s="162"/>
      <c r="L42" s="162"/>
      <c r="M42" s="174"/>
      <c r="P42" s="1"/>
      <c r="Q42" s="1"/>
    </row>
    <row r="43" spans="1:18" ht="13.5" thickBot="1">
      <c r="F43">
        <f>IF(ABS(G43-L43)&lt;0.05,0,1)</f>
        <v>1</v>
      </c>
      <c r="G43" s="216">
        <v>1940.6590555006883</v>
      </c>
      <c r="H43" s="217">
        <f>G43/F15</f>
        <v>-35.284710100012511</v>
      </c>
      <c r="I43" s="218" t="str">
        <f>Assumptions!D41</f>
        <v>ETS</v>
      </c>
      <c r="J43" s="219"/>
      <c r="K43" s="783">
        <f>NPV(K41,$G$35:$R$35)</f>
        <v>2266.4195468109515</v>
      </c>
      <c r="L43" s="783">
        <f>NPV(L41,$G$35:$R$35)</f>
        <v>1747.606428944285</v>
      </c>
      <c r="M43" s="215">
        <f>NPV(M41,$G$35:$R$35)</f>
        <v>1356.3980736328604</v>
      </c>
      <c r="P43" s="1"/>
      <c r="Q43" s="1"/>
      <c r="R43" s="1"/>
    </row>
    <row r="44" spans="1:18">
      <c r="F44"/>
      <c r="G44" s="12"/>
      <c r="H44" s="163"/>
      <c r="I44" s="163"/>
      <c r="J44" s="12"/>
      <c r="K44" s="781"/>
      <c r="L44" s="782"/>
      <c r="M44" s="78"/>
      <c r="P44" s="1"/>
      <c r="Q44" s="1"/>
      <c r="R44" s="1"/>
    </row>
    <row r="45" spans="1:18">
      <c r="F45" s="12"/>
      <c r="G45" s="1"/>
      <c r="H45" s="1"/>
      <c r="I45" s="1"/>
      <c r="J45" s="1"/>
      <c r="K45" s="781"/>
      <c r="L45" s="78"/>
      <c r="N45" s="1"/>
      <c r="O45" s="1"/>
      <c r="P45" s="1"/>
      <c r="Q45" s="1"/>
    </row>
    <row r="46" spans="1:18">
      <c r="D46" s="12"/>
      <c r="E46" s="12"/>
      <c r="F46" s="12"/>
      <c r="G46" s="12"/>
      <c r="H46" s="12"/>
      <c r="I46" s="24"/>
      <c r="J46" s="24"/>
      <c r="K46" s="24"/>
      <c r="L46" s="24"/>
      <c r="M46" s="24"/>
      <c r="N46" s="24"/>
      <c r="O46" s="24"/>
      <c r="P46" s="24"/>
      <c r="Q46" s="24"/>
    </row>
    <row r="47" spans="1:18" ht="15.75">
      <c r="A47" s="563" t="s">
        <v>63</v>
      </c>
      <c r="B47" s="442"/>
      <c r="C47" s="442"/>
      <c r="D47" s="442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 s="442"/>
      <c r="P47" s="442"/>
      <c r="Q47" s="442"/>
      <c r="R47" s="24"/>
    </row>
    <row r="48" spans="1:18">
      <c r="D48" s="560"/>
      <c r="E48" s="560"/>
      <c r="F48" s="386"/>
      <c r="G48" s="372" t="s">
        <v>263</v>
      </c>
      <c r="H48" s="391"/>
      <c r="I48" s="386"/>
      <c r="J48" s="386"/>
      <c r="K48" s="304"/>
      <c r="L48" s="386"/>
      <c r="M48" s="304"/>
      <c r="N48" s="304"/>
      <c r="O48" s="304"/>
      <c r="P48" s="304"/>
      <c r="Q48" s="355"/>
      <c r="R48" s="24"/>
    </row>
    <row r="49" spans="1:18">
      <c r="D49" s="316">
        <v>1998</v>
      </c>
      <c r="E49" s="316">
        <v>1999</v>
      </c>
      <c r="F49" s="316">
        <v>2000</v>
      </c>
      <c r="G49" s="316">
        <v>2001</v>
      </c>
      <c r="H49" s="352">
        <v>2002</v>
      </c>
      <c r="I49" s="352">
        <v>2003</v>
      </c>
      <c r="J49" s="352">
        <v>2004</v>
      </c>
      <c r="K49" s="352">
        <v>2005</v>
      </c>
      <c r="L49" s="352">
        <v>2006</v>
      </c>
      <c r="M49" s="356">
        <v>2007</v>
      </c>
      <c r="N49" s="356">
        <v>2008</v>
      </c>
      <c r="O49" s="356">
        <v>2009</v>
      </c>
      <c r="P49" s="356">
        <v>2010</v>
      </c>
      <c r="Q49" s="760">
        <v>2011</v>
      </c>
      <c r="R49" s="24"/>
    </row>
    <row r="50" spans="1:18">
      <c r="B50" s="40" t="s">
        <v>84</v>
      </c>
      <c r="C50" s="373"/>
      <c r="F50" s="8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</row>
    <row r="51" spans="1:18">
      <c r="A51" s="6" t="s">
        <v>388</v>
      </c>
      <c r="B51" s="778">
        <v>0</v>
      </c>
      <c r="C51" s="373"/>
      <c r="D51" s="643">
        <f>$B$51*2606</f>
        <v>0</v>
      </c>
      <c r="E51" s="643">
        <f>$B$51*2667</f>
        <v>0</v>
      </c>
      <c r="F51" s="643">
        <f>$B$51*2676</f>
        <v>0</v>
      </c>
      <c r="G51" s="643">
        <f>$B$51*2*1289</f>
        <v>0</v>
      </c>
      <c r="H51" s="642">
        <f t="shared" ref="H51:Q51" si="14">G51*H62</f>
        <v>0</v>
      </c>
      <c r="I51" s="642">
        <f t="shared" si="14"/>
        <v>0</v>
      </c>
      <c r="J51" s="642">
        <f t="shared" si="14"/>
        <v>0</v>
      </c>
      <c r="K51" s="642">
        <f t="shared" si="14"/>
        <v>0</v>
      </c>
      <c r="L51" s="642">
        <f t="shared" si="14"/>
        <v>0</v>
      </c>
      <c r="M51" s="642">
        <f t="shared" si="14"/>
        <v>0</v>
      </c>
      <c r="N51" s="642">
        <f t="shared" si="14"/>
        <v>0</v>
      </c>
      <c r="O51" s="642">
        <f t="shared" si="14"/>
        <v>0</v>
      </c>
      <c r="P51" s="642">
        <f t="shared" si="14"/>
        <v>0</v>
      </c>
      <c r="Q51" s="642">
        <f t="shared" si="14"/>
        <v>0</v>
      </c>
      <c r="R51" s="24"/>
    </row>
    <row r="52" spans="1:18">
      <c r="A52" s="740" t="s">
        <v>389</v>
      </c>
      <c r="B52" s="778">
        <v>0</v>
      </c>
      <c r="C52" s="373"/>
      <c r="D52" s="643">
        <f>$B$52*1051</f>
        <v>0</v>
      </c>
      <c r="E52" s="643">
        <f>$B$52*1156</f>
        <v>0</v>
      </c>
      <c r="F52" s="643">
        <f>$B$52*1196</f>
        <v>0</v>
      </c>
      <c r="G52" s="643">
        <f>$B$52*2*779</f>
        <v>0</v>
      </c>
      <c r="H52" s="642">
        <f t="shared" ref="H52:Q52" si="15">G52*H63</f>
        <v>0</v>
      </c>
      <c r="I52" s="642">
        <f t="shared" si="15"/>
        <v>0</v>
      </c>
      <c r="J52" s="642">
        <f t="shared" si="15"/>
        <v>0</v>
      </c>
      <c r="K52" s="642">
        <f t="shared" si="15"/>
        <v>0</v>
      </c>
      <c r="L52" s="642">
        <f t="shared" si="15"/>
        <v>0</v>
      </c>
      <c r="M52" s="642">
        <f t="shared" si="15"/>
        <v>0</v>
      </c>
      <c r="N52" s="642">
        <f t="shared" si="15"/>
        <v>0</v>
      </c>
      <c r="O52" s="642">
        <f t="shared" si="15"/>
        <v>0</v>
      </c>
      <c r="P52" s="642">
        <f t="shared" si="15"/>
        <v>0</v>
      </c>
      <c r="Q52" s="642">
        <f t="shared" si="15"/>
        <v>0</v>
      </c>
      <c r="R52" s="24"/>
    </row>
    <row r="53" spans="1:18">
      <c r="A53" s="740" t="s">
        <v>390</v>
      </c>
      <c r="B53" s="778">
        <v>0</v>
      </c>
      <c r="C53" s="373"/>
      <c r="D53" s="750">
        <f>$B$53*160</f>
        <v>0</v>
      </c>
      <c r="E53" s="750">
        <f>$B$53*785</f>
        <v>0</v>
      </c>
      <c r="F53" s="750">
        <f>$B$53*906</f>
        <v>0</v>
      </c>
      <c r="G53" s="750">
        <f>$B$53*2*649</f>
        <v>0</v>
      </c>
      <c r="H53" s="642">
        <f t="shared" ref="H53:Q53" si="16">G53*H64</f>
        <v>0</v>
      </c>
      <c r="I53" s="642">
        <f t="shared" si="16"/>
        <v>0</v>
      </c>
      <c r="J53" s="642">
        <f t="shared" si="16"/>
        <v>0</v>
      </c>
      <c r="K53" s="642">
        <f t="shared" si="16"/>
        <v>0</v>
      </c>
      <c r="L53" s="642">
        <f t="shared" si="16"/>
        <v>0</v>
      </c>
      <c r="M53" s="642">
        <f t="shared" si="16"/>
        <v>0</v>
      </c>
      <c r="N53" s="642">
        <f t="shared" si="16"/>
        <v>0</v>
      </c>
      <c r="O53" s="642">
        <f t="shared" si="16"/>
        <v>0</v>
      </c>
      <c r="P53" s="642">
        <f t="shared" si="16"/>
        <v>0</v>
      </c>
      <c r="Q53" s="642">
        <f t="shared" si="16"/>
        <v>0</v>
      </c>
      <c r="R53" s="24"/>
    </row>
    <row r="54" spans="1:18">
      <c r="A54" s="6" t="s">
        <v>391</v>
      </c>
      <c r="B54" s="778">
        <v>1</v>
      </c>
      <c r="C54" s="373"/>
      <c r="D54" s="643">
        <f>$B$54*277</f>
        <v>277</v>
      </c>
      <c r="E54" s="643">
        <f>$B$54*390</f>
        <v>390</v>
      </c>
      <c r="F54" s="643">
        <f>$B$54*500</f>
        <v>500</v>
      </c>
      <c r="G54" s="643">
        <f>$B$54*2*216</f>
        <v>432</v>
      </c>
      <c r="H54" s="642">
        <f t="shared" ref="H54:Q54" si="17">G54*H65</f>
        <v>440.64</v>
      </c>
      <c r="I54" s="642">
        <f t="shared" si="17"/>
        <v>449.45279999999997</v>
      </c>
      <c r="J54" s="642">
        <f t="shared" si="17"/>
        <v>458.44185599999997</v>
      </c>
      <c r="K54" s="642">
        <f t="shared" si="17"/>
        <v>467.61069312000001</v>
      </c>
      <c r="L54" s="642">
        <f t="shared" si="17"/>
        <v>476.9629069824</v>
      </c>
      <c r="M54" s="642">
        <f t="shared" si="17"/>
        <v>486.50216512204798</v>
      </c>
      <c r="N54" s="642">
        <f t="shared" si="17"/>
        <v>496.23220842448893</v>
      </c>
      <c r="O54" s="642">
        <f t="shared" si="17"/>
        <v>506.15685259297874</v>
      </c>
      <c r="P54" s="642">
        <f t="shared" si="17"/>
        <v>516.27998964483834</v>
      </c>
      <c r="Q54" s="642">
        <f t="shared" si="17"/>
        <v>526.60558943773515</v>
      </c>
      <c r="R54" s="24"/>
    </row>
    <row r="55" spans="1:18">
      <c r="A55" s="6" t="s">
        <v>408</v>
      </c>
      <c r="B55" s="778">
        <v>1</v>
      </c>
      <c r="C55" s="373"/>
      <c r="D55" s="643">
        <f>$B$55*63</f>
        <v>63</v>
      </c>
      <c r="E55" s="643">
        <f>$B$55*98</f>
        <v>98</v>
      </c>
      <c r="F55" s="643">
        <f>$B$55*131</f>
        <v>131</v>
      </c>
      <c r="G55" s="643">
        <f>$B$55*2*96</f>
        <v>192</v>
      </c>
      <c r="H55" s="642">
        <f t="shared" ref="H55:Q55" si="18">G55*H66</f>
        <v>197.76</v>
      </c>
      <c r="I55" s="642">
        <f t="shared" si="18"/>
        <v>203.69280000000001</v>
      </c>
      <c r="J55" s="642">
        <f t="shared" si="18"/>
        <v>209.803584</v>
      </c>
      <c r="K55" s="642">
        <f t="shared" si="18"/>
        <v>216.09769152000001</v>
      </c>
      <c r="L55" s="642">
        <f t="shared" si="18"/>
        <v>222.58062226560003</v>
      </c>
      <c r="M55" s="642">
        <f t="shared" si="18"/>
        <v>229.25804093356803</v>
      </c>
      <c r="N55" s="642">
        <f t="shared" si="18"/>
        <v>236.13578216157507</v>
      </c>
      <c r="O55" s="642">
        <f t="shared" si="18"/>
        <v>243.21985562642232</v>
      </c>
      <c r="P55" s="642">
        <f t="shared" si="18"/>
        <v>250.51645129521498</v>
      </c>
      <c r="Q55" s="642">
        <f t="shared" si="18"/>
        <v>258.03194483407145</v>
      </c>
      <c r="R55" s="24"/>
    </row>
    <row r="56" spans="1:18">
      <c r="A56" s="740" t="s">
        <v>393</v>
      </c>
      <c r="B56" s="778">
        <v>1</v>
      </c>
      <c r="C56" s="373"/>
      <c r="D56" s="643">
        <f>$B$56*939</f>
        <v>939</v>
      </c>
      <c r="E56" s="643">
        <f>$B$56*799</f>
        <v>799</v>
      </c>
      <c r="F56" s="643">
        <f>$B$56*3294</f>
        <v>3294</v>
      </c>
      <c r="G56" s="643">
        <f>$B$56*2*5433</f>
        <v>10866</v>
      </c>
      <c r="H56" s="642">
        <f t="shared" ref="H56:Q56" si="19">G56*H67</f>
        <v>13582.5</v>
      </c>
      <c r="I56" s="642">
        <f t="shared" si="19"/>
        <v>16978.125</v>
      </c>
      <c r="J56" s="642">
        <f t="shared" si="19"/>
        <v>19524.84375</v>
      </c>
      <c r="K56" s="642">
        <f t="shared" si="19"/>
        <v>22453.5703125</v>
      </c>
      <c r="L56" s="642">
        <f t="shared" si="19"/>
        <v>23576.248828125001</v>
      </c>
      <c r="M56" s="642">
        <f t="shared" si="19"/>
        <v>24755.061269531252</v>
      </c>
      <c r="N56" s="642">
        <f t="shared" si="19"/>
        <v>23517.308206054688</v>
      </c>
      <c r="O56" s="642">
        <f t="shared" si="19"/>
        <v>22341.442795751951</v>
      </c>
      <c r="P56" s="642">
        <f t="shared" si="19"/>
        <v>18990.226376389157</v>
      </c>
      <c r="Q56" s="642">
        <f t="shared" si="19"/>
        <v>16141.692419930783</v>
      </c>
      <c r="R56" s="24"/>
    </row>
    <row r="57" spans="1:18">
      <c r="A57" s="740" t="s">
        <v>394</v>
      </c>
      <c r="B57" s="778">
        <v>1</v>
      </c>
      <c r="C57" s="373"/>
      <c r="D57" s="643">
        <f>$B$57*30</f>
        <v>30</v>
      </c>
      <c r="E57" s="643">
        <f>$B$57*177</f>
        <v>177</v>
      </c>
      <c r="F57" s="643">
        <f>$B$57*265</f>
        <v>265</v>
      </c>
      <c r="G57" s="643">
        <f>$B$57*2*72</f>
        <v>144</v>
      </c>
      <c r="H57" s="642">
        <f t="shared" ref="H57:Q57" si="20">G57*H68</f>
        <v>145.44</v>
      </c>
      <c r="I57" s="642">
        <f t="shared" si="20"/>
        <v>146.89439999999999</v>
      </c>
      <c r="J57" s="642">
        <f t="shared" si="20"/>
        <v>148.36334399999998</v>
      </c>
      <c r="K57" s="642">
        <f t="shared" si="20"/>
        <v>149.84697743999999</v>
      </c>
      <c r="L57" s="642">
        <f t="shared" si="20"/>
        <v>151.3454472144</v>
      </c>
      <c r="M57" s="642">
        <f t="shared" si="20"/>
        <v>152.85890168654399</v>
      </c>
      <c r="N57" s="642">
        <f t="shared" si="20"/>
        <v>154.38749070340944</v>
      </c>
      <c r="O57" s="642">
        <f t="shared" si="20"/>
        <v>155.93136561044355</v>
      </c>
      <c r="P57" s="642">
        <f t="shared" si="20"/>
        <v>157.490679266548</v>
      </c>
      <c r="Q57" s="642">
        <f t="shared" si="20"/>
        <v>159.06558605921347</v>
      </c>
      <c r="R57" s="24"/>
    </row>
    <row r="58" spans="1:18">
      <c r="A58" s="749" t="s">
        <v>85</v>
      </c>
      <c r="B58" s="779">
        <v>1</v>
      </c>
      <c r="C58" s="756"/>
      <c r="D58" s="649">
        <f>$B$58*15</f>
        <v>15</v>
      </c>
      <c r="E58" s="649">
        <f>$B$58*31</f>
        <v>31</v>
      </c>
      <c r="F58" s="649">
        <f>$B$58*30</f>
        <v>30</v>
      </c>
      <c r="G58" s="649">
        <f>$B$58*2*13</f>
        <v>26</v>
      </c>
      <c r="H58" s="763">
        <f t="shared" ref="H58:Q58" si="21">G58*H69</f>
        <v>26.26</v>
      </c>
      <c r="I58" s="763">
        <f t="shared" si="21"/>
        <v>26.522600000000001</v>
      </c>
      <c r="J58" s="763">
        <f t="shared" si="21"/>
        <v>26.787826000000003</v>
      </c>
      <c r="K58" s="763">
        <f t="shared" si="21"/>
        <v>27.055704260000002</v>
      </c>
      <c r="L58" s="763">
        <f t="shared" si="21"/>
        <v>27.326261302600003</v>
      </c>
      <c r="M58" s="763">
        <f t="shared" si="21"/>
        <v>27.599523915626001</v>
      </c>
      <c r="N58" s="763">
        <f t="shared" si="21"/>
        <v>27.875519154782261</v>
      </c>
      <c r="O58" s="763">
        <f t="shared" si="21"/>
        <v>28.154274346330084</v>
      </c>
      <c r="P58" s="763">
        <f t="shared" si="21"/>
        <v>28.435817089793385</v>
      </c>
      <c r="Q58" s="763">
        <f t="shared" si="21"/>
        <v>28.72017526069132</v>
      </c>
      <c r="R58" s="24"/>
    </row>
    <row r="59" spans="1:18">
      <c r="A59" s="654" t="s">
        <v>335</v>
      </c>
      <c r="B59" s="653"/>
      <c r="C59" s="373"/>
      <c r="D59" s="650">
        <f t="shared" ref="D59:Q59" si="22">SUM(D51:D58)</f>
        <v>1324</v>
      </c>
      <c r="E59" s="650">
        <f t="shared" si="22"/>
        <v>1495</v>
      </c>
      <c r="F59" s="650">
        <f t="shared" si="22"/>
        <v>4220</v>
      </c>
      <c r="G59" s="650">
        <f t="shared" si="22"/>
        <v>11660</v>
      </c>
      <c r="H59" s="651">
        <f t="shared" si="22"/>
        <v>14392.6</v>
      </c>
      <c r="I59" s="651">
        <f t="shared" si="22"/>
        <v>17804.687600000001</v>
      </c>
      <c r="J59" s="651">
        <f t="shared" si="22"/>
        <v>20368.24036</v>
      </c>
      <c r="K59" s="651">
        <f t="shared" si="22"/>
        <v>23314.18137884</v>
      </c>
      <c r="L59" s="651">
        <f t="shared" si="22"/>
        <v>24454.464065890003</v>
      </c>
      <c r="M59" s="651">
        <f t="shared" si="22"/>
        <v>25651.279901189038</v>
      </c>
      <c r="N59" s="651">
        <f t="shared" si="22"/>
        <v>24431.939206498941</v>
      </c>
      <c r="O59" s="651">
        <f t="shared" si="22"/>
        <v>23274.905143928125</v>
      </c>
      <c r="P59" s="651">
        <f t="shared" si="22"/>
        <v>19942.949313685553</v>
      </c>
      <c r="Q59" s="651">
        <f t="shared" si="22"/>
        <v>17114.115715522494</v>
      </c>
      <c r="R59" s="24"/>
    </row>
    <row r="60" spans="1:18">
      <c r="C60" s="373"/>
      <c r="D60" s="652"/>
      <c r="F60" s="85"/>
      <c r="G60" s="80"/>
      <c r="H60" s="80"/>
      <c r="I60" s="80"/>
      <c r="J60" s="86"/>
      <c r="K60" s="86"/>
      <c r="L60" s="80"/>
      <c r="M60" s="80"/>
      <c r="N60" s="80"/>
      <c r="O60" s="80"/>
      <c r="P60" s="80"/>
      <c r="Q60" s="80"/>
      <c r="R60" s="24"/>
    </row>
    <row r="61" spans="1:18" ht="15.75">
      <c r="A61" s="755" t="s">
        <v>395</v>
      </c>
      <c r="B61" s="477"/>
      <c r="C61" s="751"/>
      <c r="D61" s="752"/>
      <c r="E61" s="477"/>
      <c r="F61" s="753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69"/>
    </row>
    <row r="62" spans="1:18">
      <c r="A62" s="6" t="s">
        <v>388</v>
      </c>
      <c r="C62" s="373"/>
      <c r="D62" s="652"/>
      <c r="F62" s="85"/>
      <c r="G62" s="747"/>
      <c r="H62" s="746">
        <v>1.01</v>
      </c>
      <c r="I62" s="746">
        <v>1.01</v>
      </c>
      <c r="J62" s="746">
        <v>1.01</v>
      </c>
      <c r="K62" s="746">
        <v>1.01</v>
      </c>
      <c r="L62" s="746">
        <v>1.01</v>
      </c>
      <c r="M62" s="746">
        <v>1.01</v>
      </c>
      <c r="N62" s="746">
        <v>1.01</v>
      </c>
      <c r="O62" s="746">
        <v>1.01</v>
      </c>
      <c r="P62" s="746">
        <v>1.01</v>
      </c>
      <c r="Q62" s="746">
        <v>1.01</v>
      </c>
      <c r="R62" s="24"/>
    </row>
    <row r="63" spans="1:18">
      <c r="A63" s="740" t="s">
        <v>389</v>
      </c>
      <c r="C63" s="373"/>
      <c r="D63" s="652"/>
      <c r="F63" s="85"/>
      <c r="G63" s="747"/>
      <c r="H63" s="746">
        <v>1.02</v>
      </c>
      <c r="I63" s="746">
        <v>1.02</v>
      </c>
      <c r="J63" s="746">
        <v>1.02</v>
      </c>
      <c r="K63" s="746">
        <v>1.02</v>
      </c>
      <c r="L63" s="746">
        <v>1.02</v>
      </c>
      <c r="M63" s="746">
        <v>1.02</v>
      </c>
      <c r="N63" s="746">
        <v>1.02</v>
      </c>
      <c r="O63" s="746">
        <v>1.02</v>
      </c>
      <c r="P63" s="746">
        <v>1.02</v>
      </c>
      <c r="Q63" s="746">
        <v>1.02</v>
      </c>
      <c r="R63" s="24"/>
    </row>
    <row r="64" spans="1:18">
      <c r="A64" s="740" t="s">
        <v>390</v>
      </c>
      <c r="C64" s="373"/>
      <c r="D64" s="652"/>
      <c r="F64" s="85"/>
      <c r="G64" s="747"/>
      <c r="H64" s="746">
        <v>1.03</v>
      </c>
      <c r="I64" s="746">
        <v>1.03</v>
      </c>
      <c r="J64" s="746">
        <v>1.03</v>
      </c>
      <c r="K64" s="746">
        <v>1.03</v>
      </c>
      <c r="L64" s="746">
        <v>1.03</v>
      </c>
      <c r="M64" s="746">
        <v>1.03</v>
      </c>
      <c r="N64" s="746">
        <v>1.03</v>
      </c>
      <c r="O64" s="746">
        <v>1.03</v>
      </c>
      <c r="P64" s="746">
        <v>1.03</v>
      </c>
      <c r="Q64" s="746">
        <v>1.03</v>
      </c>
      <c r="R64" s="24"/>
    </row>
    <row r="65" spans="1:18">
      <c r="A65" s="6" t="s">
        <v>391</v>
      </c>
      <c r="C65" s="373"/>
      <c r="D65" s="652"/>
      <c r="F65" s="85"/>
      <c r="G65" s="747"/>
      <c r="H65" s="746">
        <v>1.02</v>
      </c>
      <c r="I65" s="746">
        <v>1.02</v>
      </c>
      <c r="J65" s="746">
        <v>1.02</v>
      </c>
      <c r="K65" s="746">
        <v>1.02</v>
      </c>
      <c r="L65" s="746">
        <v>1.02</v>
      </c>
      <c r="M65" s="746">
        <v>1.02</v>
      </c>
      <c r="N65" s="746">
        <v>1.02</v>
      </c>
      <c r="O65" s="746">
        <v>1.02</v>
      </c>
      <c r="P65" s="746">
        <v>1.02</v>
      </c>
      <c r="Q65" s="746">
        <v>1.02</v>
      </c>
      <c r="R65" s="24"/>
    </row>
    <row r="66" spans="1:18">
      <c r="A66" s="6" t="s">
        <v>392</v>
      </c>
      <c r="C66" s="373"/>
      <c r="D66" s="652"/>
      <c r="F66" s="85"/>
      <c r="G66" s="747"/>
      <c r="H66" s="746">
        <v>1.03</v>
      </c>
      <c r="I66" s="746">
        <v>1.03</v>
      </c>
      <c r="J66" s="746">
        <v>1.03</v>
      </c>
      <c r="K66" s="746">
        <v>1.03</v>
      </c>
      <c r="L66" s="746">
        <v>1.03</v>
      </c>
      <c r="M66" s="746">
        <v>1.03</v>
      </c>
      <c r="N66" s="746">
        <v>1.03</v>
      </c>
      <c r="O66" s="746">
        <v>1.03</v>
      </c>
      <c r="P66" s="746">
        <v>1.03</v>
      </c>
      <c r="Q66" s="746">
        <v>1.03</v>
      </c>
      <c r="R66" s="24"/>
    </row>
    <row r="67" spans="1:18">
      <c r="A67" s="740" t="s">
        <v>393</v>
      </c>
      <c r="C67" s="373"/>
      <c r="D67" s="652"/>
      <c r="F67" s="85"/>
      <c r="G67" s="747"/>
      <c r="H67" s="746">
        <v>1.25</v>
      </c>
      <c r="I67" s="746">
        <v>1.25</v>
      </c>
      <c r="J67" s="746">
        <v>1.1499999999999999</v>
      </c>
      <c r="K67" s="746">
        <v>1.1499999999999999</v>
      </c>
      <c r="L67" s="746">
        <v>1.05</v>
      </c>
      <c r="M67" s="746">
        <v>1.05</v>
      </c>
      <c r="N67" s="746">
        <v>0.95</v>
      </c>
      <c r="O67" s="746">
        <v>0.95</v>
      </c>
      <c r="P67" s="746">
        <v>0.85</v>
      </c>
      <c r="Q67" s="746">
        <v>0.85</v>
      </c>
      <c r="R67" s="24"/>
    </row>
    <row r="68" spans="1:18">
      <c r="A68" s="740" t="s">
        <v>394</v>
      </c>
      <c r="C68" s="373"/>
      <c r="D68" s="652"/>
      <c r="F68" s="85"/>
      <c r="G68" s="747"/>
      <c r="H68" s="746">
        <v>1.01</v>
      </c>
      <c r="I68" s="746">
        <v>1.01</v>
      </c>
      <c r="J68" s="746">
        <v>1.01</v>
      </c>
      <c r="K68" s="746">
        <v>1.01</v>
      </c>
      <c r="L68" s="746">
        <v>1.01</v>
      </c>
      <c r="M68" s="746">
        <v>1.01</v>
      </c>
      <c r="N68" s="746">
        <v>1.01</v>
      </c>
      <c r="O68" s="746">
        <v>1.01</v>
      </c>
      <c r="P68" s="746">
        <v>1.01</v>
      </c>
      <c r="Q68" s="746">
        <v>1.01</v>
      </c>
      <c r="R68" s="24"/>
    </row>
    <row r="69" spans="1:18">
      <c r="A69" s="662" t="s">
        <v>85</v>
      </c>
      <c r="C69" s="373"/>
      <c r="D69" s="652"/>
      <c r="F69" s="85"/>
      <c r="G69" s="747"/>
      <c r="H69" s="746">
        <v>1.01</v>
      </c>
      <c r="I69" s="746">
        <v>1.01</v>
      </c>
      <c r="J69" s="746">
        <v>1.01</v>
      </c>
      <c r="K69" s="746">
        <v>1.01</v>
      </c>
      <c r="L69" s="746">
        <v>1.01</v>
      </c>
      <c r="M69" s="746">
        <v>1.01</v>
      </c>
      <c r="N69" s="746">
        <v>1.01</v>
      </c>
      <c r="O69" s="746">
        <v>1.01</v>
      </c>
      <c r="P69" s="746">
        <v>1.01</v>
      </c>
      <c r="Q69" s="746">
        <v>1.01</v>
      </c>
      <c r="R69" s="24"/>
    </row>
    <row r="70" spans="1:18">
      <c r="R70" s="24"/>
    </row>
    <row r="71" spans="1:18">
      <c r="R71" s="24"/>
    </row>
    <row r="72" spans="1:18" ht="15.75">
      <c r="A72" s="563" t="s">
        <v>304</v>
      </c>
      <c r="B72" s="442"/>
      <c r="C72" s="442"/>
      <c r="D72" s="442"/>
      <c r="E72" s="442"/>
      <c r="F72" s="442"/>
      <c r="G72" s="442"/>
      <c r="H72" s="442"/>
      <c r="I72" s="442"/>
      <c r="J72" s="442"/>
      <c r="K72" s="442"/>
      <c r="L72" s="442"/>
      <c r="M72" s="442"/>
      <c r="N72" s="442"/>
      <c r="O72" s="442"/>
      <c r="P72" s="442"/>
      <c r="Q72" s="442"/>
      <c r="R72" s="24"/>
    </row>
    <row r="73" spans="1:18" s="24" customFormat="1" ht="14.25" customHeight="1">
      <c r="A73" s="568"/>
      <c r="D73" s="560"/>
      <c r="E73" s="560"/>
      <c r="F73" s="386"/>
      <c r="G73" s="372" t="s">
        <v>263</v>
      </c>
      <c r="H73" s="391"/>
      <c r="I73" s="386"/>
      <c r="J73" s="386"/>
      <c r="K73" s="304"/>
      <c r="L73" s="386"/>
      <c r="M73" s="304"/>
      <c r="N73" s="304"/>
      <c r="O73" s="304"/>
      <c r="P73" s="304"/>
      <c r="Q73" s="355"/>
    </row>
    <row r="74" spans="1:18" s="24" customFormat="1" ht="15.75">
      <c r="A74" s="568"/>
      <c r="B74" s="40" t="s">
        <v>84</v>
      </c>
      <c r="D74" s="316">
        <v>1998</v>
      </c>
      <c r="E74" s="316">
        <v>1999</v>
      </c>
      <c r="F74" s="316">
        <v>2000</v>
      </c>
      <c r="G74" s="316">
        <v>2001</v>
      </c>
      <c r="H74" s="352">
        <v>2002</v>
      </c>
      <c r="I74" s="352">
        <v>2003</v>
      </c>
      <c r="J74" s="352">
        <v>2004</v>
      </c>
      <c r="K74" s="352">
        <v>2005</v>
      </c>
      <c r="L74" s="352">
        <v>2006</v>
      </c>
      <c r="M74" s="356">
        <v>2007</v>
      </c>
      <c r="N74" s="356">
        <v>2008</v>
      </c>
      <c r="O74" s="356">
        <v>2009</v>
      </c>
      <c r="P74" s="356">
        <v>2010</v>
      </c>
      <c r="Q74" s="537">
        <v>2011</v>
      </c>
    </row>
    <row r="75" spans="1:18">
      <c r="A75" s="6" t="s">
        <v>396</v>
      </c>
      <c r="B75" s="778">
        <f>B51</f>
        <v>0</v>
      </c>
      <c r="C75" s="35"/>
      <c r="D75" s="643">
        <f>$B$75*359</f>
        <v>0</v>
      </c>
      <c r="E75" s="643">
        <f>$B$75*406</f>
        <v>0</v>
      </c>
      <c r="F75" s="643">
        <f>$B$75*408</f>
        <v>0</v>
      </c>
      <c r="G75" s="643">
        <f>$B$75*2*171</f>
        <v>0</v>
      </c>
      <c r="H75" s="642">
        <f t="shared" ref="H75:Q75" si="23">G75*H86</f>
        <v>0</v>
      </c>
      <c r="I75" s="642">
        <f t="shared" si="23"/>
        <v>0</v>
      </c>
      <c r="J75" s="642">
        <f t="shared" si="23"/>
        <v>0</v>
      </c>
      <c r="K75" s="642">
        <f t="shared" si="23"/>
        <v>0</v>
      </c>
      <c r="L75" s="642">
        <f t="shared" si="23"/>
        <v>0</v>
      </c>
      <c r="M75" s="642">
        <f t="shared" si="23"/>
        <v>0</v>
      </c>
      <c r="N75" s="642">
        <f t="shared" si="23"/>
        <v>0</v>
      </c>
      <c r="O75" s="642">
        <f t="shared" si="23"/>
        <v>0</v>
      </c>
      <c r="P75" s="642">
        <f t="shared" si="23"/>
        <v>0</v>
      </c>
      <c r="Q75" s="642">
        <f t="shared" si="23"/>
        <v>0</v>
      </c>
      <c r="R75" s="24"/>
    </row>
    <row r="76" spans="1:18">
      <c r="A76" s="780" t="s">
        <v>409</v>
      </c>
      <c r="B76" s="778">
        <v>1</v>
      </c>
      <c r="C76" s="35"/>
      <c r="D76" s="643">
        <f>$B$76*287</f>
        <v>287</v>
      </c>
      <c r="E76" s="643">
        <f>$B$76*108</f>
        <v>108</v>
      </c>
      <c r="F76" s="643">
        <f>$B$76*1457</f>
        <v>1457</v>
      </c>
      <c r="G76" s="643">
        <f>$B$76*2*2999</f>
        <v>5998</v>
      </c>
      <c r="H76" s="642">
        <f t="shared" ref="H76:Q76" si="24">G76*H87</f>
        <v>7497.5</v>
      </c>
      <c r="I76" s="642">
        <f t="shared" si="24"/>
        <v>9371.875</v>
      </c>
      <c r="J76" s="642">
        <f t="shared" si="24"/>
        <v>10777.65625</v>
      </c>
      <c r="K76" s="642">
        <f t="shared" si="24"/>
        <v>12394.304687499998</v>
      </c>
      <c r="L76" s="642">
        <f t="shared" si="24"/>
        <v>13014.019921874999</v>
      </c>
      <c r="M76" s="642">
        <f t="shared" si="24"/>
        <v>13664.720917968749</v>
      </c>
      <c r="N76" s="642">
        <f t="shared" si="24"/>
        <v>12981.48487207031</v>
      </c>
      <c r="O76" s="642">
        <f t="shared" si="24"/>
        <v>12332.410628466794</v>
      </c>
      <c r="P76" s="642">
        <f t="shared" si="24"/>
        <v>10482.549034196774</v>
      </c>
      <c r="Q76" s="642">
        <f t="shared" si="24"/>
        <v>8910.1666790672571</v>
      </c>
      <c r="R76" s="24"/>
    </row>
    <row r="77" spans="1:18">
      <c r="A77" s="6" t="s">
        <v>397</v>
      </c>
      <c r="B77" s="778">
        <v>1</v>
      </c>
      <c r="C77" s="35"/>
      <c r="D77" s="643">
        <f>$B$77*297</f>
        <v>297</v>
      </c>
      <c r="E77" s="643">
        <f>$B$77*401</f>
        <v>401</v>
      </c>
      <c r="F77" s="643">
        <f>$B$77*529</f>
        <v>529</v>
      </c>
      <c r="G77" s="643">
        <f>$B$77*2*256</f>
        <v>512</v>
      </c>
      <c r="H77" s="642">
        <f t="shared" ref="H77:Q77" si="25">G77*H88</f>
        <v>527.36</v>
      </c>
      <c r="I77" s="642">
        <f t="shared" si="25"/>
        <v>543.18079999999998</v>
      </c>
      <c r="J77" s="642">
        <f t="shared" si="25"/>
        <v>559.476224</v>
      </c>
      <c r="K77" s="642">
        <f t="shared" si="25"/>
        <v>576.26051072000007</v>
      </c>
      <c r="L77" s="642">
        <f t="shared" si="25"/>
        <v>593.54832604160003</v>
      </c>
      <c r="M77" s="642">
        <f t="shared" si="25"/>
        <v>611.35477582284807</v>
      </c>
      <c r="N77" s="642">
        <f t="shared" si="25"/>
        <v>629.69541909753355</v>
      </c>
      <c r="O77" s="642">
        <f t="shared" si="25"/>
        <v>648.58628167045958</v>
      </c>
      <c r="P77" s="642">
        <f t="shared" si="25"/>
        <v>668.04387012057339</v>
      </c>
      <c r="Q77" s="642">
        <f t="shared" si="25"/>
        <v>688.08518622419058</v>
      </c>
      <c r="R77" s="24"/>
    </row>
    <row r="78" spans="1:18">
      <c r="A78" s="6" t="s">
        <v>398</v>
      </c>
      <c r="B78" s="778">
        <v>1</v>
      </c>
      <c r="C78" s="35"/>
      <c r="D78" s="643">
        <f>$B$78*573</f>
        <v>573</v>
      </c>
      <c r="E78" s="643">
        <f>$B$78*560</f>
        <v>560</v>
      </c>
      <c r="F78" s="643">
        <f>$B$78*555</f>
        <v>555</v>
      </c>
      <c r="G78" s="643">
        <f>$B$78*2*244</f>
        <v>488</v>
      </c>
      <c r="H78" s="642">
        <f t="shared" ref="H78:Q78" si="26">G78*H89</f>
        <v>497.76</v>
      </c>
      <c r="I78" s="642">
        <f t="shared" si="26"/>
        <v>507.71519999999998</v>
      </c>
      <c r="J78" s="642">
        <f t="shared" si="26"/>
        <v>517.86950400000001</v>
      </c>
      <c r="K78" s="642">
        <f t="shared" si="26"/>
        <v>528.22689407999997</v>
      </c>
      <c r="L78" s="642">
        <f t="shared" si="26"/>
        <v>538.79143196159998</v>
      </c>
      <c r="M78" s="642">
        <f t="shared" si="26"/>
        <v>549.56726060083201</v>
      </c>
      <c r="N78" s="642">
        <f t="shared" si="26"/>
        <v>560.55860581284867</v>
      </c>
      <c r="O78" s="642">
        <f t="shared" si="26"/>
        <v>571.76977792910566</v>
      </c>
      <c r="P78" s="642">
        <f t="shared" si="26"/>
        <v>583.20517348768783</v>
      </c>
      <c r="Q78" s="642">
        <f t="shared" si="26"/>
        <v>594.86927695744157</v>
      </c>
      <c r="R78" s="24"/>
    </row>
    <row r="79" spans="1:18">
      <c r="A79" s="740" t="s">
        <v>410</v>
      </c>
      <c r="B79" s="778">
        <v>1</v>
      </c>
      <c r="C79" s="35"/>
      <c r="D79" s="750">
        <f>$B$79*628</f>
        <v>628</v>
      </c>
      <c r="E79" s="750">
        <f>$B$79*700</f>
        <v>700</v>
      </c>
      <c r="F79" s="750">
        <f>$B$79*1734</f>
        <v>1734</v>
      </c>
      <c r="G79" s="750">
        <f>$B$79*2*2142</f>
        <v>4284</v>
      </c>
      <c r="H79" s="642">
        <f t="shared" ref="H79:Q79" si="27">G79*H90</f>
        <v>5355</v>
      </c>
      <c r="I79" s="642">
        <f t="shared" si="27"/>
        <v>6693.75</v>
      </c>
      <c r="J79" s="642">
        <f t="shared" si="27"/>
        <v>7697.8124999999991</v>
      </c>
      <c r="K79" s="642">
        <f t="shared" si="27"/>
        <v>8852.4843749999982</v>
      </c>
      <c r="L79" s="642">
        <f t="shared" si="27"/>
        <v>9295.1085937499993</v>
      </c>
      <c r="M79" s="642">
        <f t="shared" si="27"/>
        <v>9759.8640234374998</v>
      </c>
      <c r="N79" s="642">
        <f t="shared" si="27"/>
        <v>9271.8708222656242</v>
      </c>
      <c r="O79" s="642">
        <f t="shared" si="27"/>
        <v>8808.2772811523428</v>
      </c>
      <c r="P79" s="642">
        <f t="shared" si="27"/>
        <v>7487.0356889794912</v>
      </c>
      <c r="Q79" s="642">
        <f t="shared" si="27"/>
        <v>6363.9803356325674</v>
      </c>
      <c r="R79" s="24"/>
    </row>
    <row r="80" spans="1:18">
      <c r="A80" s="6" t="s">
        <v>399</v>
      </c>
      <c r="B80" s="778">
        <v>0</v>
      </c>
      <c r="C80" s="35"/>
      <c r="D80" s="750">
        <f>$B$80*584</f>
        <v>0</v>
      </c>
      <c r="E80" s="750">
        <f>$B$80*846</f>
        <v>0</v>
      </c>
      <c r="F80" s="750">
        <f>$B$80*967</f>
        <v>0</v>
      </c>
      <c r="G80" s="750">
        <f>$B$80*2*871</f>
        <v>0</v>
      </c>
      <c r="H80" s="642">
        <f t="shared" ref="H80:Q80" si="28">G80*H91</f>
        <v>0</v>
      </c>
      <c r="I80" s="642">
        <f t="shared" si="28"/>
        <v>0</v>
      </c>
      <c r="J80" s="642">
        <f t="shared" si="28"/>
        <v>0</v>
      </c>
      <c r="K80" s="642">
        <f t="shared" si="28"/>
        <v>0</v>
      </c>
      <c r="L80" s="642">
        <f t="shared" si="28"/>
        <v>0</v>
      </c>
      <c r="M80" s="642">
        <f t="shared" si="28"/>
        <v>0</v>
      </c>
      <c r="N80" s="642">
        <f t="shared" si="28"/>
        <v>0</v>
      </c>
      <c r="O80" s="642">
        <f t="shared" si="28"/>
        <v>0</v>
      </c>
      <c r="P80" s="642">
        <f t="shared" si="28"/>
        <v>0</v>
      </c>
      <c r="Q80" s="642">
        <f t="shared" si="28"/>
        <v>0</v>
      </c>
      <c r="R80" s="24"/>
    </row>
    <row r="81" spans="1:18">
      <c r="A81" s="6" t="s">
        <v>400</v>
      </c>
      <c r="B81" s="778">
        <v>0</v>
      </c>
      <c r="C81" s="35"/>
      <c r="D81" s="750">
        <f>$B$81*814</f>
        <v>0</v>
      </c>
      <c r="E81" s="750">
        <f>$B$81*1049</f>
        <v>0</v>
      </c>
      <c r="F81" s="750">
        <f>$B$81*1076</f>
        <v>0</v>
      </c>
      <c r="G81" s="750">
        <f>$B$81*2*743</f>
        <v>0</v>
      </c>
      <c r="H81" s="642">
        <f t="shared" ref="H81:Q81" si="29">G81*H92</f>
        <v>0</v>
      </c>
      <c r="I81" s="642">
        <f t="shared" si="29"/>
        <v>0</v>
      </c>
      <c r="J81" s="642">
        <f t="shared" si="29"/>
        <v>0</v>
      </c>
      <c r="K81" s="642">
        <f t="shared" si="29"/>
        <v>0</v>
      </c>
      <c r="L81" s="642">
        <f t="shared" si="29"/>
        <v>0</v>
      </c>
      <c r="M81" s="642">
        <f t="shared" si="29"/>
        <v>0</v>
      </c>
      <c r="N81" s="642">
        <f t="shared" si="29"/>
        <v>0</v>
      </c>
      <c r="O81" s="642">
        <f t="shared" si="29"/>
        <v>0</v>
      </c>
      <c r="P81" s="642">
        <f t="shared" si="29"/>
        <v>0</v>
      </c>
      <c r="Q81" s="642">
        <f t="shared" si="29"/>
        <v>0</v>
      </c>
      <c r="R81" s="24"/>
    </row>
    <row r="82" spans="1:18">
      <c r="A82" s="420" t="s">
        <v>401</v>
      </c>
      <c r="B82" s="779">
        <v>0</v>
      </c>
      <c r="C82" s="355"/>
      <c r="D82" s="649">
        <f>$B$82*176</f>
        <v>0</v>
      </c>
      <c r="E82" s="649">
        <f>$B$82*216</f>
        <v>0</v>
      </c>
      <c r="F82" s="649">
        <f>$B$82*298</f>
        <v>0</v>
      </c>
      <c r="G82" s="649">
        <f>$B$82*2*131</f>
        <v>0</v>
      </c>
      <c r="H82" s="763">
        <f t="shared" ref="H82:Q82" si="30">G82*H93</f>
        <v>0</v>
      </c>
      <c r="I82" s="763">
        <f t="shared" si="30"/>
        <v>0</v>
      </c>
      <c r="J82" s="763">
        <f t="shared" si="30"/>
        <v>0</v>
      </c>
      <c r="K82" s="763">
        <f t="shared" si="30"/>
        <v>0</v>
      </c>
      <c r="L82" s="763">
        <f t="shared" si="30"/>
        <v>0</v>
      </c>
      <c r="M82" s="763">
        <f t="shared" si="30"/>
        <v>0</v>
      </c>
      <c r="N82" s="763">
        <f t="shared" si="30"/>
        <v>0</v>
      </c>
      <c r="O82" s="763">
        <f t="shared" si="30"/>
        <v>0</v>
      </c>
      <c r="P82" s="763">
        <f t="shared" si="30"/>
        <v>0</v>
      </c>
      <c r="Q82" s="763">
        <f t="shared" si="30"/>
        <v>0</v>
      </c>
      <c r="R82" s="24"/>
    </row>
    <row r="83" spans="1:18">
      <c r="A83" s="654" t="s">
        <v>346</v>
      </c>
      <c r="B83" s="762"/>
      <c r="C83" s="373"/>
      <c r="D83" s="668">
        <f t="shared" ref="D83:Q83" si="31">SUM(D75:D82)</f>
        <v>1785</v>
      </c>
      <c r="E83" s="668">
        <f t="shared" si="31"/>
        <v>1769</v>
      </c>
      <c r="F83" s="668">
        <f t="shared" si="31"/>
        <v>4275</v>
      </c>
      <c r="G83" s="668">
        <f t="shared" si="31"/>
        <v>11282</v>
      </c>
      <c r="H83" s="669">
        <f t="shared" si="31"/>
        <v>13877.619999999999</v>
      </c>
      <c r="I83" s="669">
        <f t="shared" si="31"/>
        <v>17116.521000000001</v>
      </c>
      <c r="J83" s="669">
        <f t="shared" si="31"/>
        <v>19552.814478</v>
      </c>
      <c r="K83" s="669">
        <f t="shared" si="31"/>
        <v>22351.276467299998</v>
      </c>
      <c r="L83" s="669">
        <f t="shared" si="31"/>
        <v>23441.468273628197</v>
      </c>
      <c r="M83" s="669">
        <f t="shared" si="31"/>
        <v>24585.506977829929</v>
      </c>
      <c r="N83" s="669">
        <f t="shared" si="31"/>
        <v>23443.609719246317</v>
      </c>
      <c r="O83" s="669">
        <f t="shared" si="31"/>
        <v>22361.043969218703</v>
      </c>
      <c r="P83" s="669">
        <f t="shared" si="31"/>
        <v>19220.833766784526</v>
      </c>
      <c r="Q83" s="669">
        <f t="shared" si="31"/>
        <v>16557.101477881457</v>
      </c>
      <c r="R83" s="24"/>
    </row>
    <row r="84" spans="1:18">
      <c r="C84" s="35"/>
      <c r="F84" s="85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24"/>
    </row>
    <row r="85" spans="1:18" ht="15.75">
      <c r="A85" s="755" t="s">
        <v>395</v>
      </c>
      <c r="B85" s="477"/>
      <c r="C85" s="751"/>
      <c r="D85" s="752"/>
      <c r="E85" s="477"/>
      <c r="F85" s="753"/>
      <c r="G85" s="754"/>
      <c r="H85" s="754"/>
      <c r="I85" s="754"/>
      <c r="J85" s="754"/>
      <c r="K85" s="754"/>
      <c r="L85" s="754"/>
      <c r="M85" s="754"/>
      <c r="N85" s="754"/>
      <c r="O85" s="754"/>
      <c r="P85" s="754"/>
      <c r="Q85" s="754"/>
      <c r="R85" s="769"/>
    </row>
    <row r="86" spans="1:18">
      <c r="A86" s="6" t="s">
        <v>396</v>
      </c>
      <c r="C86" s="373"/>
      <c r="D86" s="652"/>
      <c r="F86" s="85"/>
      <c r="G86" s="747"/>
      <c r="H86" s="746">
        <v>1.01</v>
      </c>
      <c r="I86" s="746">
        <v>1.01</v>
      </c>
      <c r="J86" s="746">
        <v>1.01</v>
      </c>
      <c r="K86" s="746">
        <v>1.01</v>
      </c>
      <c r="L86" s="746">
        <v>1.01</v>
      </c>
      <c r="M86" s="746">
        <v>1.01</v>
      </c>
      <c r="N86" s="746">
        <v>1.01</v>
      </c>
      <c r="O86" s="746">
        <v>1.01</v>
      </c>
      <c r="P86" s="746">
        <v>1.01</v>
      </c>
      <c r="Q86" s="746">
        <v>1.01</v>
      </c>
      <c r="R86" s="24"/>
    </row>
    <row r="87" spans="1:18">
      <c r="A87" s="780" t="s">
        <v>409</v>
      </c>
      <c r="C87" s="373"/>
      <c r="D87" s="652"/>
      <c r="F87" s="85"/>
      <c r="G87" s="747"/>
      <c r="H87" s="746">
        <v>1.25</v>
      </c>
      <c r="I87" s="746">
        <v>1.25</v>
      </c>
      <c r="J87" s="746">
        <v>1.1499999999999999</v>
      </c>
      <c r="K87" s="746">
        <v>1.1499999999999999</v>
      </c>
      <c r="L87" s="746">
        <v>1.05</v>
      </c>
      <c r="M87" s="746">
        <v>1.05</v>
      </c>
      <c r="N87" s="746">
        <v>0.95</v>
      </c>
      <c r="O87" s="746">
        <v>0.95</v>
      </c>
      <c r="P87" s="746">
        <v>0.85</v>
      </c>
      <c r="Q87" s="746">
        <v>0.85</v>
      </c>
      <c r="R87" s="24"/>
    </row>
    <row r="88" spans="1:18">
      <c r="A88" s="6" t="s">
        <v>397</v>
      </c>
      <c r="C88" s="373"/>
      <c r="D88" s="652"/>
      <c r="F88" s="85"/>
      <c r="G88" s="747"/>
      <c r="H88" s="746">
        <v>1.03</v>
      </c>
      <c r="I88" s="746">
        <v>1.03</v>
      </c>
      <c r="J88" s="746">
        <v>1.03</v>
      </c>
      <c r="K88" s="746">
        <v>1.03</v>
      </c>
      <c r="L88" s="746">
        <v>1.03</v>
      </c>
      <c r="M88" s="746">
        <v>1.03</v>
      </c>
      <c r="N88" s="746">
        <v>1.03</v>
      </c>
      <c r="O88" s="746">
        <v>1.03</v>
      </c>
      <c r="P88" s="746">
        <v>1.03</v>
      </c>
      <c r="Q88" s="746">
        <v>1.03</v>
      </c>
      <c r="R88" s="24"/>
    </row>
    <row r="89" spans="1:18">
      <c r="A89" s="6" t="s">
        <v>398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s="740" t="s">
        <v>410</v>
      </c>
      <c r="C90" s="373"/>
      <c r="D90" s="652"/>
      <c r="F90" s="85"/>
      <c r="G90" s="747"/>
      <c r="H90" s="746">
        <v>1.25</v>
      </c>
      <c r="I90" s="746">
        <v>1.25</v>
      </c>
      <c r="J90" s="746">
        <v>1.1499999999999999</v>
      </c>
      <c r="K90" s="746">
        <v>1.1499999999999999</v>
      </c>
      <c r="L90" s="746">
        <v>1.05</v>
      </c>
      <c r="M90" s="746">
        <v>1.05</v>
      </c>
      <c r="N90" s="746">
        <v>0.95</v>
      </c>
      <c r="O90" s="746">
        <v>0.95</v>
      </c>
      <c r="P90" s="746">
        <v>0.85</v>
      </c>
      <c r="Q90" s="746">
        <v>0.85</v>
      </c>
      <c r="R90" s="24"/>
    </row>
    <row r="91" spans="1:18">
      <c r="A91" s="6" t="s">
        <v>399</v>
      </c>
      <c r="C91" s="373"/>
      <c r="D91" s="652"/>
      <c r="F91" s="85"/>
      <c r="G91" s="747"/>
      <c r="H91" s="746">
        <v>1.01</v>
      </c>
      <c r="I91" s="746">
        <v>1.01</v>
      </c>
      <c r="J91" s="746">
        <v>1.01</v>
      </c>
      <c r="K91" s="746">
        <v>1.01</v>
      </c>
      <c r="L91" s="746">
        <v>1.01</v>
      </c>
      <c r="M91" s="746">
        <v>1.01</v>
      </c>
      <c r="N91" s="746">
        <v>1.01</v>
      </c>
      <c r="O91" s="746">
        <v>1.01</v>
      </c>
      <c r="P91" s="746">
        <v>1.01</v>
      </c>
      <c r="Q91" s="746">
        <v>1.01</v>
      </c>
      <c r="R91" s="24"/>
    </row>
    <row r="92" spans="1:18">
      <c r="A92" s="6" t="s">
        <v>400</v>
      </c>
      <c r="C92" s="373"/>
      <c r="D92" s="652"/>
      <c r="F92" s="85"/>
      <c r="G92" s="747"/>
      <c r="H92" s="746">
        <v>1.01</v>
      </c>
      <c r="I92" s="746">
        <v>1.01</v>
      </c>
      <c r="J92" s="746">
        <v>1.01</v>
      </c>
      <c r="K92" s="746">
        <v>1.01</v>
      </c>
      <c r="L92" s="746">
        <v>1.01</v>
      </c>
      <c r="M92" s="746">
        <v>1.01</v>
      </c>
      <c r="N92" s="746">
        <v>1.01</v>
      </c>
      <c r="O92" s="746">
        <v>1.01</v>
      </c>
      <c r="P92" s="746">
        <v>1.01</v>
      </c>
      <c r="Q92" s="746">
        <v>1.01</v>
      </c>
      <c r="R92" s="24"/>
    </row>
    <row r="93" spans="1:18">
      <c r="A93" s="117" t="s">
        <v>401</v>
      </c>
      <c r="C93" s="373"/>
      <c r="D93" s="652"/>
      <c r="F93" s="85"/>
      <c r="G93" s="747"/>
      <c r="H93" s="746">
        <v>1.01</v>
      </c>
      <c r="I93" s="746">
        <v>1.01</v>
      </c>
      <c r="J93" s="746">
        <v>1.01</v>
      </c>
      <c r="K93" s="746">
        <v>1.01</v>
      </c>
      <c r="L93" s="746">
        <v>1.01</v>
      </c>
      <c r="M93" s="746">
        <v>1.01</v>
      </c>
      <c r="N93" s="746">
        <v>1.01</v>
      </c>
      <c r="O93" s="746">
        <v>1.01</v>
      </c>
      <c r="P93" s="746">
        <v>1.01</v>
      </c>
      <c r="Q93" s="746">
        <v>1.01</v>
      </c>
      <c r="R93" s="24"/>
    </row>
    <row r="94" spans="1:18">
      <c r="R94" s="24"/>
    </row>
    <row r="95" spans="1:18" ht="15.75">
      <c r="A95" s="563" t="s">
        <v>349</v>
      </c>
      <c r="B95" s="442"/>
      <c r="C95" s="442"/>
      <c r="D95" s="442"/>
      <c r="E95" s="442"/>
      <c r="F95" s="442"/>
      <c r="G95" s="442"/>
      <c r="H95" s="442"/>
      <c r="I95" s="442"/>
      <c r="J95" s="442"/>
      <c r="K95" s="442"/>
      <c r="L95" s="442"/>
      <c r="M95" s="442"/>
      <c r="N95" s="442"/>
      <c r="O95" s="442"/>
      <c r="P95" s="442"/>
      <c r="Q95" s="442"/>
      <c r="R95" s="24"/>
    </row>
    <row r="96" spans="1:18" s="24" customFormat="1" ht="12.75" customHeight="1">
      <c r="A96" s="568"/>
      <c r="D96" s="560"/>
      <c r="E96" s="560"/>
      <c r="F96" s="386"/>
      <c r="G96" s="372" t="s">
        <v>263</v>
      </c>
      <c r="H96" s="391"/>
      <c r="I96" s="386"/>
      <c r="J96" s="386"/>
      <c r="K96" s="304"/>
      <c r="L96" s="386"/>
      <c r="M96" s="304"/>
      <c r="N96" s="304"/>
      <c r="O96" s="304"/>
      <c r="P96" s="304"/>
      <c r="Q96" s="355"/>
    </row>
    <row r="97" spans="1:18" s="24" customFormat="1" ht="12.75" customHeight="1">
      <c r="A97" s="568"/>
      <c r="D97" s="316">
        <v>1998</v>
      </c>
      <c r="E97" s="316">
        <v>1999</v>
      </c>
      <c r="F97" s="316">
        <v>2000</v>
      </c>
      <c r="G97" s="316">
        <v>2001</v>
      </c>
      <c r="H97" s="352">
        <v>2002</v>
      </c>
      <c r="I97" s="352">
        <v>2003</v>
      </c>
      <c r="J97" s="352">
        <v>2004</v>
      </c>
      <c r="K97" s="352">
        <v>2005</v>
      </c>
      <c r="L97" s="352">
        <v>2006</v>
      </c>
      <c r="M97" s="356">
        <v>2007</v>
      </c>
      <c r="N97" s="356">
        <v>2008</v>
      </c>
      <c r="O97" s="356">
        <v>2009</v>
      </c>
      <c r="P97" s="356">
        <v>2010</v>
      </c>
      <c r="Q97" s="537">
        <v>2011</v>
      </c>
    </row>
    <row r="98" spans="1:18" s="24" customFormat="1" ht="12.75" customHeight="1">
      <c r="A98" s="568"/>
      <c r="B98" s="40" t="s">
        <v>84</v>
      </c>
      <c r="F98" s="567" t="s">
        <v>273</v>
      </c>
      <c r="G98" s="316">
        <v>1</v>
      </c>
      <c r="H98" s="352">
        <v>2</v>
      </c>
      <c r="I98" s="352">
        <v>3</v>
      </c>
      <c r="J98" s="352">
        <v>4</v>
      </c>
      <c r="K98" s="352">
        <v>5</v>
      </c>
      <c r="L98" s="352">
        <v>6</v>
      </c>
      <c r="M98" s="352">
        <v>7</v>
      </c>
      <c r="N98" s="352">
        <v>8</v>
      </c>
      <c r="O98" s="352">
        <v>9</v>
      </c>
      <c r="P98" s="352">
        <v>10</v>
      </c>
      <c r="Q98" s="452">
        <v>11</v>
      </c>
    </row>
    <row r="99" spans="1:18">
      <c r="A99" s="6" t="s">
        <v>402</v>
      </c>
      <c r="B99" s="778">
        <v>0</v>
      </c>
      <c r="D99" s="643"/>
      <c r="E99" s="643"/>
      <c r="F99" s="643"/>
      <c r="G99" s="643">
        <f>$B$99*555</f>
        <v>0</v>
      </c>
      <c r="H99" s="643">
        <f>$B$99*555</f>
        <v>0</v>
      </c>
      <c r="I99" s="643">
        <f>$B$99*355</f>
        <v>0</v>
      </c>
      <c r="J99" s="642">
        <f t="shared" ref="J99:Q106" si="32">I99*J110</f>
        <v>0</v>
      </c>
      <c r="K99" s="642">
        <f t="shared" si="32"/>
        <v>0</v>
      </c>
      <c r="L99" s="642">
        <f t="shared" si="32"/>
        <v>0</v>
      </c>
      <c r="M99" s="642">
        <f t="shared" si="32"/>
        <v>0</v>
      </c>
      <c r="N99" s="642">
        <f t="shared" si="32"/>
        <v>0</v>
      </c>
      <c r="O99" s="642">
        <f t="shared" si="32"/>
        <v>0</v>
      </c>
      <c r="P99" s="642">
        <f t="shared" si="32"/>
        <v>0</v>
      </c>
      <c r="Q99" s="642">
        <f t="shared" si="32"/>
        <v>0</v>
      </c>
      <c r="R99" s="24"/>
    </row>
    <row r="100" spans="1:18">
      <c r="A100" s="6" t="s">
        <v>403</v>
      </c>
      <c r="B100" s="778">
        <v>0</v>
      </c>
      <c r="D100" s="643"/>
      <c r="E100" s="643"/>
      <c r="F100" s="643"/>
      <c r="G100" s="643">
        <f>$B$100*145</f>
        <v>0</v>
      </c>
      <c r="H100" s="643">
        <f>$B$100*145</f>
        <v>0</v>
      </c>
      <c r="I100" s="643">
        <f>$B$100*135</f>
        <v>0</v>
      </c>
      <c r="J100" s="642">
        <f t="shared" si="32"/>
        <v>0</v>
      </c>
      <c r="K100" s="642">
        <f t="shared" si="32"/>
        <v>0</v>
      </c>
      <c r="L100" s="642">
        <f t="shared" si="32"/>
        <v>0</v>
      </c>
      <c r="M100" s="642">
        <f t="shared" si="32"/>
        <v>0</v>
      </c>
      <c r="N100" s="642">
        <f t="shared" si="32"/>
        <v>0</v>
      </c>
      <c r="O100" s="642">
        <f t="shared" si="32"/>
        <v>0</v>
      </c>
      <c r="P100" s="642">
        <f t="shared" si="32"/>
        <v>0</v>
      </c>
      <c r="Q100" s="642">
        <f t="shared" si="32"/>
        <v>0</v>
      </c>
      <c r="R100" s="24"/>
    </row>
    <row r="101" spans="1:18">
      <c r="A101" s="6" t="s">
        <v>404</v>
      </c>
      <c r="B101" s="778">
        <v>0</v>
      </c>
      <c r="D101" s="643"/>
      <c r="E101" s="639"/>
      <c r="F101" s="639"/>
      <c r="G101" s="643">
        <f>$B$101*220</f>
        <v>0</v>
      </c>
      <c r="H101" s="643">
        <f>$B$101*215</f>
        <v>0</v>
      </c>
      <c r="I101" s="643">
        <f>$B$101*280</f>
        <v>0</v>
      </c>
      <c r="J101" s="642">
        <f t="shared" si="32"/>
        <v>0</v>
      </c>
      <c r="K101" s="642">
        <f t="shared" si="32"/>
        <v>0</v>
      </c>
      <c r="L101" s="642">
        <f t="shared" si="32"/>
        <v>0</v>
      </c>
      <c r="M101" s="642">
        <f t="shared" si="32"/>
        <v>0</v>
      </c>
      <c r="N101" s="642">
        <f t="shared" si="32"/>
        <v>0</v>
      </c>
      <c r="O101" s="642">
        <f t="shared" si="32"/>
        <v>0</v>
      </c>
      <c r="P101" s="642">
        <f t="shared" si="32"/>
        <v>0</v>
      </c>
      <c r="Q101" s="642">
        <f t="shared" si="32"/>
        <v>0</v>
      </c>
      <c r="R101" s="24"/>
    </row>
    <row r="102" spans="1:18">
      <c r="A102" s="6" t="s">
        <v>391</v>
      </c>
      <c r="B102" s="778">
        <v>1</v>
      </c>
      <c r="D102" s="643"/>
      <c r="E102" s="639"/>
      <c r="F102" s="639"/>
      <c r="G102" s="643">
        <f>$B$102*65</f>
        <v>65</v>
      </c>
      <c r="H102" s="643">
        <f>$B$102*150</f>
        <v>150</v>
      </c>
      <c r="I102" s="643">
        <f>$B$102*240</f>
        <v>240</v>
      </c>
      <c r="J102" s="642">
        <f t="shared" si="32"/>
        <v>244.8</v>
      </c>
      <c r="K102" s="642">
        <f t="shared" si="32"/>
        <v>249.69600000000003</v>
      </c>
      <c r="L102" s="642">
        <f t="shared" si="32"/>
        <v>254.68992000000003</v>
      </c>
      <c r="M102" s="642">
        <f t="shared" si="32"/>
        <v>259.78371840000005</v>
      </c>
      <c r="N102" s="642">
        <f t="shared" si="32"/>
        <v>264.97939276800008</v>
      </c>
      <c r="O102" s="642">
        <f t="shared" si="32"/>
        <v>270.2789806233601</v>
      </c>
      <c r="P102" s="642">
        <f t="shared" si="32"/>
        <v>275.68456023582729</v>
      </c>
      <c r="Q102" s="642">
        <f t="shared" si="32"/>
        <v>281.19825144054386</v>
      </c>
      <c r="R102" s="24"/>
    </row>
    <row r="103" spans="1:18">
      <c r="A103" s="6" t="s">
        <v>411</v>
      </c>
      <c r="B103" s="778">
        <v>1</v>
      </c>
      <c r="D103" s="750"/>
      <c r="E103" s="761"/>
      <c r="F103" s="761"/>
      <c r="G103" s="750">
        <f>$B$103*195</f>
        <v>195</v>
      </c>
      <c r="H103" s="750">
        <f>$B$103*235</f>
        <v>235</v>
      </c>
      <c r="I103" s="750">
        <f>$B$103*245</f>
        <v>245</v>
      </c>
      <c r="J103" s="642">
        <f t="shared" si="32"/>
        <v>252.35</v>
      </c>
      <c r="K103" s="642">
        <f t="shared" si="32"/>
        <v>259.9205</v>
      </c>
      <c r="L103" s="642">
        <f t="shared" si="32"/>
        <v>267.71811500000001</v>
      </c>
      <c r="M103" s="642">
        <f t="shared" si="32"/>
        <v>275.74965845000003</v>
      </c>
      <c r="N103" s="642">
        <f t="shared" si="32"/>
        <v>284.02214820350002</v>
      </c>
      <c r="O103" s="642">
        <f t="shared" si="32"/>
        <v>292.54281264960503</v>
      </c>
      <c r="P103" s="642">
        <f t="shared" si="32"/>
        <v>301.3190970290932</v>
      </c>
      <c r="Q103" s="642">
        <f t="shared" si="32"/>
        <v>310.35866993996598</v>
      </c>
      <c r="R103" s="24"/>
    </row>
    <row r="104" spans="1:18">
      <c r="A104" s="6" t="s">
        <v>393</v>
      </c>
      <c r="B104" s="778">
        <v>1</v>
      </c>
      <c r="D104" s="643"/>
      <c r="E104" s="643"/>
      <c r="F104" s="643"/>
      <c r="G104" s="643">
        <f>$B$104*5</f>
        <v>5</v>
      </c>
      <c r="H104" s="643">
        <f>$B$104*5</f>
        <v>5</v>
      </c>
      <c r="I104" s="643">
        <f>$B$104*5</f>
        <v>5</v>
      </c>
      <c r="J104" s="642">
        <f t="shared" si="32"/>
        <v>5.05</v>
      </c>
      <c r="K104" s="642">
        <f t="shared" si="32"/>
        <v>5.1005000000000003</v>
      </c>
      <c r="L104" s="642">
        <f t="shared" si="32"/>
        <v>5.1515050000000002</v>
      </c>
      <c r="M104" s="642">
        <f t="shared" si="32"/>
        <v>5.2030200500000001</v>
      </c>
      <c r="N104" s="642">
        <f t="shared" si="32"/>
        <v>5.2550502505000001</v>
      </c>
      <c r="O104" s="642">
        <f t="shared" si="32"/>
        <v>5.3076007530050004</v>
      </c>
      <c r="P104" s="642">
        <f t="shared" si="32"/>
        <v>5.3606767605350507</v>
      </c>
      <c r="Q104" s="642">
        <f t="shared" si="32"/>
        <v>5.4142835281404009</v>
      </c>
      <c r="R104" s="24"/>
    </row>
    <row r="105" spans="1:18">
      <c r="A105" s="6" t="s">
        <v>394</v>
      </c>
      <c r="B105" s="778">
        <v>1</v>
      </c>
      <c r="D105" s="643"/>
      <c r="E105" s="643"/>
      <c r="F105" s="643"/>
      <c r="G105" s="643">
        <f>$B$105*60</f>
        <v>60</v>
      </c>
      <c r="H105" s="643">
        <f>$B$105*5</f>
        <v>5</v>
      </c>
      <c r="I105" s="643">
        <f>$B$105*5</f>
        <v>5</v>
      </c>
      <c r="J105" s="642">
        <f t="shared" si="32"/>
        <v>5.05</v>
      </c>
      <c r="K105" s="642">
        <f t="shared" si="32"/>
        <v>5.1005000000000003</v>
      </c>
      <c r="L105" s="642">
        <f t="shared" si="32"/>
        <v>5.1515050000000002</v>
      </c>
      <c r="M105" s="642">
        <f t="shared" si="32"/>
        <v>5.2030200500000001</v>
      </c>
      <c r="N105" s="642">
        <f t="shared" si="32"/>
        <v>5.2550502505000001</v>
      </c>
      <c r="O105" s="642">
        <f t="shared" si="32"/>
        <v>5.3076007530050004</v>
      </c>
      <c r="P105" s="642">
        <f t="shared" si="32"/>
        <v>5.3606767605350507</v>
      </c>
      <c r="Q105" s="642">
        <f t="shared" si="32"/>
        <v>5.4142835281404009</v>
      </c>
      <c r="R105" s="24"/>
    </row>
    <row r="106" spans="1:18">
      <c r="A106" s="420" t="s">
        <v>85</v>
      </c>
      <c r="B106" s="779">
        <v>1</v>
      </c>
      <c r="C106" s="355"/>
      <c r="D106" s="649"/>
      <c r="E106" s="649"/>
      <c r="F106" s="649"/>
      <c r="G106" s="649">
        <f>$B$106*30</f>
        <v>30</v>
      </c>
      <c r="H106" s="649">
        <f>$B$106*25</f>
        <v>25</v>
      </c>
      <c r="I106" s="649">
        <f>$B$106*5</f>
        <v>5</v>
      </c>
      <c r="J106" s="763">
        <f t="shared" si="32"/>
        <v>5.05</v>
      </c>
      <c r="K106" s="763">
        <f t="shared" si="32"/>
        <v>5.1005000000000003</v>
      </c>
      <c r="L106" s="763">
        <f t="shared" si="32"/>
        <v>5.1515050000000002</v>
      </c>
      <c r="M106" s="763">
        <f t="shared" si="32"/>
        <v>5.2030200500000001</v>
      </c>
      <c r="N106" s="763">
        <f t="shared" si="32"/>
        <v>5.2550502505000001</v>
      </c>
      <c r="O106" s="763">
        <f t="shared" si="32"/>
        <v>5.3076007530050004</v>
      </c>
      <c r="P106" s="763">
        <f t="shared" si="32"/>
        <v>5.3606767605350507</v>
      </c>
      <c r="Q106" s="763">
        <f t="shared" si="32"/>
        <v>5.4142835281404009</v>
      </c>
      <c r="R106" s="24"/>
    </row>
    <row r="107" spans="1:18">
      <c r="A107" s="39" t="s">
        <v>350</v>
      </c>
      <c r="D107" s="672"/>
      <c r="E107" s="672"/>
      <c r="F107" s="672"/>
      <c r="G107" s="668">
        <f t="shared" ref="G107:Q107" si="33">SUM(G99:G106)</f>
        <v>355</v>
      </c>
      <c r="H107" s="668">
        <f t="shared" si="33"/>
        <v>420</v>
      </c>
      <c r="I107" s="668">
        <f t="shared" si="33"/>
        <v>500</v>
      </c>
      <c r="J107" s="669">
        <f t="shared" si="33"/>
        <v>512.29999999999995</v>
      </c>
      <c r="K107" s="669">
        <f t="shared" si="33"/>
        <v>524.91800000000001</v>
      </c>
      <c r="L107" s="669">
        <f t="shared" si="33"/>
        <v>537.86255000000017</v>
      </c>
      <c r="M107" s="669">
        <f t="shared" si="33"/>
        <v>551.14243699999997</v>
      </c>
      <c r="N107" s="669">
        <f t="shared" si="33"/>
        <v>564.76669172300001</v>
      </c>
      <c r="O107" s="669">
        <f t="shared" si="33"/>
        <v>578.74459553198005</v>
      </c>
      <c r="P107" s="669">
        <f t="shared" si="33"/>
        <v>593.08568754652572</v>
      </c>
      <c r="Q107" s="669">
        <f t="shared" si="33"/>
        <v>607.79977196493087</v>
      </c>
      <c r="R107" s="24"/>
    </row>
    <row r="108" spans="1:18">
      <c r="A108" s="39"/>
      <c r="D108" s="764"/>
      <c r="E108" s="764"/>
      <c r="F108" s="764"/>
      <c r="G108" s="669"/>
      <c r="H108" s="669"/>
      <c r="I108" s="669"/>
      <c r="J108" s="669"/>
      <c r="K108" s="669"/>
      <c r="L108" s="669"/>
      <c r="M108" s="669"/>
      <c r="N108" s="669"/>
      <c r="O108" s="669"/>
      <c r="P108" s="669"/>
      <c r="Q108" s="669"/>
      <c r="R108" s="24"/>
    </row>
    <row r="109" spans="1:18" ht="15.75">
      <c r="A109" s="755" t="s">
        <v>395</v>
      </c>
      <c r="B109" s="477"/>
      <c r="C109" s="751"/>
      <c r="D109" s="752"/>
      <c r="E109" s="477"/>
      <c r="F109" s="753"/>
      <c r="G109" s="754"/>
      <c r="H109" s="754"/>
      <c r="I109" s="754"/>
      <c r="J109" s="754"/>
      <c r="K109" s="754"/>
      <c r="L109" s="754"/>
      <c r="M109" s="754"/>
      <c r="N109" s="754"/>
      <c r="O109" s="754"/>
      <c r="P109" s="754"/>
      <c r="Q109" s="754"/>
      <c r="R109" s="769"/>
    </row>
    <row r="110" spans="1:18">
      <c r="A110" s="6" t="s">
        <v>402</v>
      </c>
      <c r="C110" s="373"/>
      <c r="D110" s="652"/>
      <c r="F110" s="85"/>
      <c r="G110" s="747"/>
      <c r="H110" s="661"/>
      <c r="I110" s="661"/>
      <c r="J110" s="746">
        <v>1.01</v>
      </c>
      <c r="K110" s="746">
        <v>1.01</v>
      </c>
      <c r="L110" s="746">
        <v>1.01</v>
      </c>
      <c r="M110" s="746">
        <v>1.01</v>
      </c>
      <c r="N110" s="746">
        <v>1.01</v>
      </c>
      <c r="O110" s="746">
        <v>1.01</v>
      </c>
      <c r="P110" s="746">
        <v>1.01</v>
      </c>
      <c r="Q110" s="746">
        <v>1.01</v>
      </c>
      <c r="R110" s="24"/>
    </row>
    <row r="111" spans="1:18">
      <c r="A111" s="6" t="s">
        <v>403</v>
      </c>
      <c r="C111" s="373"/>
      <c r="D111" s="652"/>
      <c r="F111" s="85"/>
      <c r="G111" s="747"/>
      <c r="H111" s="661"/>
      <c r="I111" s="661"/>
      <c r="J111" s="746">
        <v>1.02</v>
      </c>
      <c r="K111" s="746">
        <v>1.02</v>
      </c>
      <c r="L111" s="746">
        <v>1.02</v>
      </c>
      <c r="M111" s="746">
        <v>1.02</v>
      </c>
      <c r="N111" s="746">
        <v>1.02</v>
      </c>
      <c r="O111" s="746">
        <v>1.02</v>
      </c>
      <c r="P111" s="746">
        <v>1.02</v>
      </c>
      <c r="Q111" s="746">
        <v>1.02</v>
      </c>
      <c r="R111" s="24"/>
    </row>
    <row r="112" spans="1:18">
      <c r="A112" s="6" t="s">
        <v>404</v>
      </c>
      <c r="C112" s="373"/>
      <c r="D112" s="652"/>
      <c r="F112" s="85"/>
      <c r="G112" s="747"/>
      <c r="H112" s="661"/>
      <c r="I112" s="661"/>
      <c r="J112" s="746">
        <v>1.03</v>
      </c>
      <c r="K112" s="746">
        <v>1.03</v>
      </c>
      <c r="L112" s="746">
        <v>1.03</v>
      </c>
      <c r="M112" s="746">
        <v>1.03</v>
      </c>
      <c r="N112" s="746">
        <v>1.03</v>
      </c>
      <c r="O112" s="746">
        <v>1.03</v>
      </c>
      <c r="P112" s="746">
        <v>1.03</v>
      </c>
      <c r="Q112" s="746">
        <v>1.03</v>
      </c>
      <c r="R112" s="24"/>
    </row>
    <row r="113" spans="1:18">
      <c r="A113" s="6" t="s">
        <v>391</v>
      </c>
      <c r="C113" s="373"/>
      <c r="D113" s="652"/>
      <c r="F113" s="85"/>
      <c r="G113" s="747"/>
      <c r="H113" s="661"/>
      <c r="I113" s="661"/>
      <c r="J113" s="746">
        <v>1.02</v>
      </c>
      <c r="K113" s="746">
        <v>1.02</v>
      </c>
      <c r="L113" s="746">
        <v>1.02</v>
      </c>
      <c r="M113" s="746">
        <v>1.02</v>
      </c>
      <c r="N113" s="746">
        <v>1.02</v>
      </c>
      <c r="O113" s="746">
        <v>1.02</v>
      </c>
      <c r="P113" s="746">
        <v>1.02</v>
      </c>
      <c r="Q113" s="746">
        <v>1.02</v>
      </c>
      <c r="R113" s="24"/>
    </row>
    <row r="114" spans="1:18">
      <c r="A114" s="6" t="s">
        <v>405</v>
      </c>
      <c r="C114" s="373"/>
      <c r="D114" s="652"/>
      <c r="F114" s="85"/>
      <c r="G114" s="747"/>
      <c r="H114" s="661"/>
      <c r="I114" s="661"/>
      <c r="J114" s="746">
        <v>1.03</v>
      </c>
      <c r="K114" s="746">
        <v>1.03</v>
      </c>
      <c r="L114" s="746">
        <v>1.03</v>
      </c>
      <c r="M114" s="746">
        <v>1.03</v>
      </c>
      <c r="N114" s="746">
        <v>1.03</v>
      </c>
      <c r="O114" s="746">
        <v>1.03</v>
      </c>
      <c r="P114" s="746">
        <v>1.03</v>
      </c>
      <c r="Q114" s="746">
        <v>1.03</v>
      </c>
      <c r="R114" s="24"/>
    </row>
    <row r="115" spans="1:18">
      <c r="A115" s="6" t="s">
        <v>393</v>
      </c>
      <c r="C115" s="373"/>
      <c r="D115" s="652"/>
      <c r="F115" s="85"/>
      <c r="G115" s="747"/>
      <c r="H115" s="661"/>
      <c r="I115" s="661"/>
      <c r="J115" s="746">
        <v>1.01</v>
      </c>
      <c r="K115" s="746">
        <v>1.01</v>
      </c>
      <c r="L115" s="746">
        <v>1.01</v>
      </c>
      <c r="M115" s="746">
        <v>1.01</v>
      </c>
      <c r="N115" s="746">
        <v>1.01</v>
      </c>
      <c r="O115" s="746">
        <v>1.01</v>
      </c>
      <c r="P115" s="746">
        <v>1.01</v>
      </c>
      <c r="Q115" s="746">
        <v>1.01</v>
      </c>
      <c r="R115" s="24"/>
    </row>
    <row r="116" spans="1:18">
      <c r="A116" s="6" t="s">
        <v>394</v>
      </c>
      <c r="C116" s="373"/>
      <c r="D116" s="652"/>
      <c r="F116" s="85"/>
      <c r="G116" s="747"/>
      <c r="H116" s="661"/>
      <c r="I116" s="661"/>
      <c r="J116" s="746">
        <v>1.01</v>
      </c>
      <c r="K116" s="746">
        <v>1.01</v>
      </c>
      <c r="L116" s="746">
        <v>1.01</v>
      </c>
      <c r="M116" s="746">
        <v>1.01</v>
      </c>
      <c r="N116" s="746">
        <v>1.01</v>
      </c>
      <c r="O116" s="746">
        <v>1.01</v>
      </c>
      <c r="P116" s="746">
        <v>1.01</v>
      </c>
      <c r="Q116" s="746">
        <v>1.01</v>
      </c>
      <c r="R116" s="24"/>
    </row>
    <row r="117" spans="1:18">
      <c r="A117" s="117" t="s">
        <v>85</v>
      </c>
      <c r="C117" s="373"/>
      <c r="D117" s="652"/>
      <c r="F117" s="85"/>
      <c r="G117" s="747"/>
      <c r="H117" s="661"/>
      <c r="I117" s="661"/>
      <c r="J117" s="746">
        <v>1.01</v>
      </c>
      <c r="K117" s="746">
        <v>1.01</v>
      </c>
      <c r="L117" s="746">
        <v>1.01</v>
      </c>
      <c r="M117" s="746">
        <v>1.01</v>
      </c>
      <c r="N117" s="746">
        <v>1.01</v>
      </c>
      <c r="O117" s="746">
        <v>1.01</v>
      </c>
      <c r="P117" s="746">
        <v>1.01</v>
      </c>
      <c r="Q117" s="746">
        <v>1.01</v>
      </c>
      <c r="R117" s="24"/>
    </row>
    <row r="118" spans="1:18">
      <c r="A118" s="39"/>
      <c r="D118" s="764"/>
      <c r="E118" s="764"/>
      <c r="F118" s="764"/>
      <c r="G118" s="669"/>
      <c r="H118" s="669"/>
      <c r="I118" s="669"/>
      <c r="J118" s="669"/>
      <c r="K118" s="669"/>
      <c r="L118" s="669"/>
      <c r="M118" s="669"/>
      <c r="N118" s="669"/>
      <c r="O118" s="669"/>
      <c r="P118" s="669"/>
      <c r="Q118" s="669"/>
      <c r="R118" s="24"/>
    </row>
    <row r="119" spans="1:18">
      <c r="A119" s="8"/>
      <c r="R119" s="24"/>
    </row>
    <row r="120" spans="1:18">
      <c r="A120" s="8"/>
      <c r="R120" s="24"/>
    </row>
    <row r="121" spans="1:18" ht="15.75">
      <c r="A121" s="563" t="s">
        <v>381</v>
      </c>
      <c r="B121" s="477"/>
      <c r="C121" s="477"/>
      <c r="D121" s="477"/>
      <c r="E121" s="477"/>
      <c r="F121" s="477"/>
      <c r="G121" s="477"/>
      <c r="H121" s="477"/>
      <c r="I121" s="477"/>
      <c r="J121" s="477"/>
      <c r="K121" s="477"/>
      <c r="L121" s="477"/>
      <c r="M121" s="477"/>
      <c r="N121" s="477"/>
      <c r="O121" s="477"/>
      <c r="P121" s="477"/>
      <c r="Q121" s="477"/>
      <c r="R121" s="24"/>
    </row>
    <row r="122" spans="1:18">
      <c r="D122" s="560"/>
      <c r="E122" s="560"/>
      <c r="F122" s="386"/>
      <c r="G122" s="372" t="s">
        <v>263</v>
      </c>
      <c r="H122" s="391"/>
      <c r="I122" s="386"/>
      <c r="J122" s="386"/>
      <c r="K122" s="304"/>
      <c r="L122" s="386"/>
      <c r="M122" s="304"/>
      <c r="N122" s="304"/>
      <c r="O122" s="304"/>
      <c r="P122" s="304"/>
      <c r="Q122" s="355"/>
    </row>
    <row r="123" spans="1:18">
      <c r="D123" s="316">
        <v>1998</v>
      </c>
      <c r="E123" s="316">
        <v>1999</v>
      </c>
      <c r="F123" s="316">
        <v>2000</v>
      </c>
      <c r="G123" s="316">
        <v>2001</v>
      </c>
      <c r="H123" s="352">
        <v>2002</v>
      </c>
      <c r="I123" s="352">
        <v>2003</v>
      </c>
      <c r="J123" s="352">
        <v>2004</v>
      </c>
      <c r="K123" s="352">
        <v>2005</v>
      </c>
      <c r="L123" s="352">
        <v>2006</v>
      </c>
      <c r="M123" s="356">
        <v>2007</v>
      </c>
      <c r="N123" s="356">
        <v>2008</v>
      </c>
      <c r="O123" s="356">
        <v>2009</v>
      </c>
      <c r="P123" s="356">
        <v>2010</v>
      </c>
      <c r="Q123" s="537">
        <v>2011</v>
      </c>
    </row>
    <row r="124" spans="1:18">
      <c r="F124" s="567" t="s">
        <v>273</v>
      </c>
      <c r="G124" s="316">
        <v>1</v>
      </c>
      <c r="H124" s="352">
        <v>2</v>
      </c>
      <c r="I124" s="352">
        <v>3</v>
      </c>
      <c r="J124" s="352">
        <v>4</v>
      </c>
      <c r="K124" s="352">
        <v>5</v>
      </c>
      <c r="L124" s="352">
        <v>6</v>
      </c>
      <c r="M124" s="352">
        <v>7</v>
      </c>
      <c r="N124" s="352">
        <v>8</v>
      </c>
      <c r="O124" s="352">
        <v>9</v>
      </c>
      <c r="P124" s="352">
        <v>10</v>
      </c>
      <c r="Q124" s="452">
        <v>11</v>
      </c>
    </row>
    <row r="125" spans="1:18">
      <c r="A125" s="74" t="s">
        <v>38</v>
      </c>
      <c r="B125" s="23">
        <f>Assumptions!D22</f>
        <v>40</v>
      </c>
      <c r="C125" s="234">
        <f>Asset3PurPrice</f>
        <v>1940.6590555006883</v>
      </c>
      <c r="D125" s="246"/>
      <c r="E125" s="246"/>
      <c r="F125" s="18"/>
      <c r="G125" s="16"/>
      <c r="H125" s="772">
        <f>1/B125</f>
        <v>2.5000000000000001E-2</v>
      </c>
      <c r="I125" s="773">
        <f t="shared" ref="I125:R125" si="34">H125</f>
        <v>2.5000000000000001E-2</v>
      </c>
      <c r="J125" s="773">
        <f t="shared" si="34"/>
        <v>2.5000000000000001E-2</v>
      </c>
      <c r="K125" s="773">
        <f t="shared" si="34"/>
        <v>2.5000000000000001E-2</v>
      </c>
      <c r="L125" s="773">
        <f t="shared" si="34"/>
        <v>2.5000000000000001E-2</v>
      </c>
      <c r="M125" s="773">
        <f t="shared" si="34"/>
        <v>2.5000000000000001E-2</v>
      </c>
      <c r="N125" s="773">
        <f t="shared" si="34"/>
        <v>2.5000000000000001E-2</v>
      </c>
      <c r="O125" s="773">
        <f t="shared" si="34"/>
        <v>2.5000000000000001E-2</v>
      </c>
      <c r="P125" s="773">
        <f t="shared" si="34"/>
        <v>2.5000000000000001E-2</v>
      </c>
      <c r="Q125" s="773">
        <f t="shared" si="34"/>
        <v>2.5000000000000001E-2</v>
      </c>
      <c r="R125" s="774">
        <f t="shared" si="34"/>
        <v>2.5000000000000001E-2</v>
      </c>
    </row>
    <row r="126" spans="1:18">
      <c r="A126" s="2" t="s">
        <v>8</v>
      </c>
      <c r="C126" s="766"/>
      <c r="D126" s="246"/>
      <c r="E126" s="246"/>
      <c r="F126" s="18"/>
      <c r="G126" s="16"/>
      <c r="H126" s="30">
        <f>C125/B125</f>
        <v>48.516476387517208</v>
      </c>
      <c r="I126" s="30">
        <f t="shared" ref="I126:R126" si="35">+H126</f>
        <v>48.516476387517208</v>
      </c>
      <c r="J126" s="30">
        <f t="shared" si="35"/>
        <v>48.516476387517208</v>
      </c>
      <c r="K126" s="30">
        <f t="shared" si="35"/>
        <v>48.516476387517208</v>
      </c>
      <c r="L126" s="30">
        <f t="shared" si="35"/>
        <v>48.516476387517208</v>
      </c>
      <c r="M126" s="30">
        <f t="shared" si="35"/>
        <v>48.516476387517208</v>
      </c>
      <c r="N126" s="30">
        <f t="shared" si="35"/>
        <v>48.516476387517208</v>
      </c>
      <c r="O126" s="30">
        <f t="shared" si="35"/>
        <v>48.516476387517208</v>
      </c>
      <c r="P126" s="30">
        <f t="shared" si="35"/>
        <v>48.516476387517208</v>
      </c>
      <c r="Q126" s="30">
        <f t="shared" si="35"/>
        <v>48.516476387517208</v>
      </c>
      <c r="R126" s="30">
        <f t="shared" si="35"/>
        <v>48.516476387517208</v>
      </c>
    </row>
    <row r="127" spans="1:18">
      <c r="A127" s="2" t="s">
        <v>9</v>
      </c>
      <c r="D127" s="767"/>
      <c r="E127" s="767"/>
      <c r="F127" s="254"/>
      <c r="G127" s="16"/>
      <c r="H127" s="718">
        <f>($G$33*H125)</f>
        <v>8.875</v>
      </c>
      <c r="I127" s="718">
        <f>($G$33*I125)+($H$33*H125)</f>
        <v>19.375</v>
      </c>
      <c r="J127" s="718">
        <f>($G$33*J125)+($H$33*I125)+($I$33*H125)</f>
        <v>31.875</v>
      </c>
      <c r="K127" s="718">
        <f>($G$33*K125)+($H$33*J125)+($I$33*I125)+($J$33*H125)</f>
        <v>44.682499999999997</v>
      </c>
      <c r="L127" s="718">
        <f>($G$33*L125)+($H$33*K125)+($I$33*J125)+($J$33*I125)+($K$33*H125)</f>
        <v>57.80545</v>
      </c>
      <c r="M127" s="718">
        <f>($G$33*M125)+($H$33*L125)+($I$33*K125)+($J$33*J125)+($K$33*I125)+($L$33*H125)</f>
        <v>71.252013750000003</v>
      </c>
      <c r="N127" s="718">
        <f>($G$33*N125)+($H$33*M125)+($I$33*L125)+($J$33*K125)+($K$33*J125)+($L$33*I125)+($M$33*H125)</f>
        <v>85.030574674999997</v>
      </c>
      <c r="O127" s="718">
        <f>($G$33*O125)+($H$33*N125)+($I$33*M125)+($J$33*L125)+($K$33*K125)+($L$33*J125)+($M$33*I125)+($N$33*H125)</f>
        <v>99.149741968075006</v>
      </c>
      <c r="P127" s="718">
        <f>($G$33*P125)+($H$33*O125)+($I$33*N125)+($J$33*M125)+($K$33*L125)+($L$33*K125)+($M$33*J125)+($N$33*I125)+($O$33*H125)</f>
        <v>113.6183568563745</v>
      </c>
      <c r="Q127" s="718">
        <f>($G$33*Q125)+($H$33*P125)+($I$33*O125)+($J$33*N125)+($K$33*M125)+($L$33*L125)+($M$33*K125)+($N$33*J125)+($O$33*I125)+($P$33*H125)</f>
        <v>128.44549904503765</v>
      </c>
      <c r="R127" s="718">
        <f>($G$33*R125)+($H$33*Q125)+($I$33*P125)+($J$33*O125)+($K$33*N125)+($L$33*M125)+($M$33*L125)+($N$33*K125)+($O$33*J125)+($P$33*I125)+($Q$33*H125)</f>
        <v>143.64049334416092</v>
      </c>
    </row>
    <row r="128" spans="1:18">
      <c r="A128" s="39" t="s">
        <v>282</v>
      </c>
      <c r="D128" s="246"/>
      <c r="E128" s="246"/>
      <c r="F128" s="18"/>
      <c r="G128" s="16"/>
      <c r="H128" s="719">
        <f t="shared" ref="H128:R128" si="36">SUM(H126:H127)</f>
        <v>57.391476387517208</v>
      </c>
      <c r="I128" s="719">
        <f t="shared" si="36"/>
        <v>67.891476387517201</v>
      </c>
      <c r="J128" s="719">
        <f t="shared" si="36"/>
        <v>80.391476387517201</v>
      </c>
      <c r="K128" s="669">
        <f t="shared" si="36"/>
        <v>93.198976387517206</v>
      </c>
      <c r="L128" s="669">
        <f t="shared" si="36"/>
        <v>106.32192638751721</v>
      </c>
      <c r="M128" s="719">
        <f t="shared" si="36"/>
        <v>119.7684901375172</v>
      </c>
      <c r="N128" s="719">
        <f t="shared" si="36"/>
        <v>133.5470510625172</v>
      </c>
      <c r="O128" s="719">
        <f t="shared" si="36"/>
        <v>147.66621835559221</v>
      </c>
      <c r="P128" s="719">
        <f t="shared" si="36"/>
        <v>162.13483324389171</v>
      </c>
      <c r="Q128" s="719">
        <f t="shared" si="36"/>
        <v>176.96197543255485</v>
      </c>
      <c r="R128" s="719">
        <f t="shared" si="36"/>
        <v>192.15696973167812</v>
      </c>
    </row>
    <row r="129" spans="1:18">
      <c r="A129" s="1"/>
      <c r="D129" s="246"/>
      <c r="E129" s="246"/>
      <c r="F129" s="18"/>
      <c r="G129" s="18"/>
      <c r="H129" s="1"/>
      <c r="I129" s="1"/>
      <c r="J129" s="12"/>
      <c r="K129" s="12"/>
      <c r="L129" s="1"/>
      <c r="M129" s="1"/>
      <c r="N129" s="1"/>
      <c r="O129" s="1"/>
      <c r="P129" s="1"/>
      <c r="Q129" s="1"/>
    </row>
    <row r="130" spans="1:18">
      <c r="A130" s="77" t="s">
        <v>7</v>
      </c>
      <c r="D130" s="246"/>
      <c r="E130" s="246"/>
      <c r="F130" s="18"/>
      <c r="G130" s="16"/>
      <c r="H130" s="52">
        <v>0.05</v>
      </c>
      <c r="I130" s="53">
        <v>9.5000000000000001E-2</v>
      </c>
      <c r="J130" s="53">
        <v>8.5500000000000007E-2</v>
      </c>
      <c r="K130" s="53">
        <v>7.6999999999999999E-2</v>
      </c>
      <c r="L130" s="53">
        <v>6.93E-2</v>
      </c>
      <c r="M130" s="53">
        <v>6.2300000000000001E-2</v>
      </c>
      <c r="N130" s="53">
        <v>5.8999999999999997E-2</v>
      </c>
      <c r="O130" s="53">
        <v>5.8999999999999997E-2</v>
      </c>
      <c r="P130" s="53">
        <v>5.91E-2</v>
      </c>
      <c r="Q130" s="53">
        <v>5.8999999999999997E-2</v>
      </c>
      <c r="R130" s="54">
        <v>5.91E-2</v>
      </c>
    </row>
    <row r="131" spans="1:18">
      <c r="A131" s="2" t="s">
        <v>8</v>
      </c>
      <c r="B131" s="14"/>
      <c r="D131" s="246"/>
      <c r="E131" s="246"/>
      <c r="F131" s="18"/>
      <c r="G131" s="16"/>
      <c r="H131" s="1">
        <f t="shared" ref="H131:R131" si="37">H130*$C$125</f>
        <v>97.032952775034417</v>
      </c>
      <c r="I131" s="1">
        <f t="shared" si="37"/>
        <v>184.36261027256538</v>
      </c>
      <c r="J131" s="1">
        <f t="shared" si="37"/>
        <v>165.92634924530887</v>
      </c>
      <c r="K131" s="1">
        <f t="shared" si="37"/>
        <v>149.43074727355301</v>
      </c>
      <c r="L131" s="1">
        <f t="shared" si="37"/>
        <v>134.4876725461977</v>
      </c>
      <c r="M131" s="1">
        <f t="shared" si="37"/>
        <v>120.90305915769288</v>
      </c>
      <c r="N131" s="1">
        <f t="shared" si="37"/>
        <v>114.4988842745406</v>
      </c>
      <c r="O131" s="1">
        <f t="shared" si="37"/>
        <v>114.4988842745406</v>
      </c>
      <c r="P131" s="1">
        <f t="shared" si="37"/>
        <v>114.69295018009068</v>
      </c>
      <c r="Q131" s="1">
        <f t="shared" si="37"/>
        <v>114.4988842745406</v>
      </c>
      <c r="R131" s="1">
        <f t="shared" si="37"/>
        <v>114.69295018009068</v>
      </c>
    </row>
    <row r="132" spans="1:18" ht="15">
      <c r="A132" s="2" t="s">
        <v>9</v>
      </c>
      <c r="B132" s="15"/>
      <c r="D132" s="248"/>
      <c r="E132" s="248"/>
      <c r="F132" s="18"/>
      <c r="G132" s="16"/>
      <c r="H132" s="5">
        <f>($G$33*H$130)</f>
        <v>17.75</v>
      </c>
      <c r="I132" s="5">
        <f>($G$33*I130)+($H$33*H130)</f>
        <v>54.725000000000001</v>
      </c>
      <c r="J132" s="5">
        <f>($G$33*J130)+($H$33*I130)+($I$33*H130)</f>
        <v>95.252499999999998</v>
      </c>
      <c r="K132" s="5">
        <f>($G$33*K130)+($H$33*J130)+($I$33*I130)+($J$33*H130)</f>
        <v>136.36000000000001</v>
      </c>
      <c r="L132" s="5">
        <f>($G$33*L130)+($H$33*K130)+($I$33*J130)+($J$33*I130)+($K$33*H130)</f>
        <v>174.60589999999999</v>
      </c>
      <c r="M132" s="5">
        <f>($G$33*M130)+($H$33*L130)+($I$33*K130)+($J$33*J130)+($K$33*I130)+($L$33*H130)</f>
        <v>210.28448750000001</v>
      </c>
      <c r="N132" s="5">
        <f>($G$33*N130)+($H$33*M130)+($I$33*L130)+($J$33*K130)+($K$33*J130)+($L$33*I130)+($M$33*H130)</f>
        <v>244.74265310000004</v>
      </c>
      <c r="O132" s="5">
        <f>($G$33*O130)+($H$33*N130)+($I$33*M130)+($J$33*L130)+($K$33*K130)+($L$33*J130)+($M$33*I130)+($N$33*H130)</f>
        <v>279.38019012615001</v>
      </c>
      <c r="P132" s="5">
        <f>($G$33*P130)+($H$33*O130)+($I$33*N130)+($J$33*M130)+($K$33*L130)+($L$33*K130)+($M$33*J130)+($N$33*I130)+($O$33*H130)</f>
        <v>314.68176760378401</v>
      </c>
      <c r="Q132" s="5">
        <f>($G$33*Q130)+($H$33*P130)+($I$33*O130)+($J$33*N130)+($K$33*M130)+($L$33*L130)+($M$33*K130)+($N$33*J130)+($O$33*I130)+($P$33*H130)</f>
        <v>350.82950685918092</v>
      </c>
      <c r="R132" s="5">
        <f>($G$33*R130)+($H$33*Q130)+($I$33*P130)+($J$33*O130)+($K$33*N130)+($L$33*M130)+($M$33*L130)+($N$33*K130)+($O$33*J130)+($P$33*I130)+($Q$33*H130)</f>
        <v>387.91219684492182</v>
      </c>
    </row>
    <row r="133" spans="1:18">
      <c r="A133" s="39" t="s">
        <v>281</v>
      </c>
      <c r="D133" s="246"/>
      <c r="E133" s="246"/>
      <c r="F133" s="18"/>
      <c r="G133" s="16"/>
      <c r="H133" s="1">
        <f t="shared" ref="H133:R133" si="38">SUM(H131:H132)</f>
        <v>114.78295277503442</v>
      </c>
      <c r="I133" s="1">
        <f t="shared" si="38"/>
        <v>239.08761027256537</v>
      </c>
      <c r="J133" s="1">
        <f t="shared" si="38"/>
        <v>261.17884924530887</v>
      </c>
      <c r="K133" s="12">
        <f t="shared" si="38"/>
        <v>285.79074727355305</v>
      </c>
      <c r="L133" s="12">
        <f t="shared" si="38"/>
        <v>309.09357254619772</v>
      </c>
      <c r="M133" s="1">
        <f t="shared" si="38"/>
        <v>331.18754665769291</v>
      </c>
      <c r="N133" s="1">
        <f t="shared" si="38"/>
        <v>359.24153737454066</v>
      </c>
      <c r="O133" s="1">
        <f t="shared" si="38"/>
        <v>393.87907440069063</v>
      </c>
      <c r="P133" s="1">
        <f t="shared" si="38"/>
        <v>429.3747177838747</v>
      </c>
      <c r="Q133" s="1">
        <f t="shared" si="38"/>
        <v>465.32839113372154</v>
      </c>
      <c r="R133" s="1">
        <f t="shared" si="38"/>
        <v>502.60514702501251</v>
      </c>
    </row>
  </sheetData>
  <mergeCells count="1">
    <mergeCell ref="K40:M40"/>
  </mergeCells>
  <phoneticPr fontId="0" type="noConversion"/>
  <conditionalFormatting sqref="C11">
    <cfRule type="cellIs" dxfId="0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5" max="16383" man="1"/>
  </rowBreak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N55"/>
  <sheetViews>
    <sheetView showGridLines="0" zoomScale="75" workbookViewId="0">
      <selection activeCell="D29" sqref="D29"/>
    </sheetView>
  </sheetViews>
  <sheetFormatPr defaultRowHeight="12.75" outlineLevelRow="1"/>
  <cols>
    <col min="1" max="1" width="1.85546875" customWidth="1"/>
    <col min="2" max="2" width="19" customWidth="1"/>
    <col min="3" max="3" width="13.7109375" customWidth="1"/>
  </cols>
  <sheetData>
    <row r="1" spans="1:14" ht="18">
      <c r="A1" s="558" t="str">
        <f>Assumptions!D7</f>
        <v>Wolverine</v>
      </c>
      <c r="B1" s="609"/>
      <c r="C1" s="128"/>
      <c r="D1" s="128"/>
      <c r="E1" s="129"/>
    </row>
    <row r="2" spans="1:14" ht="15.75">
      <c r="A2" s="741" t="s">
        <v>305</v>
      </c>
      <c r="B2" s="742"/>
      <c r="C2" s="35"/>
      <c r="D2" s="35"/>
      <c r="E2" s="131"/>
    </row>
    <row r="3" spans="1:14" ht="16.5" thickBot="1">
      <c r="A3" s="559" t="s">
        <v>387</v>
      </c>
      <c r="B3" s="134"/>
      <c r="C3" s="134"/>
      <c r="D3" s="134"/>
      <c r="E3" s="135"/>
    </row>
    <row r="4" spans="1:14" hidden="1" outlineLevel="1">
      <c r="C4" s="386"/>
      <c r="D4" s="372" t="s">
        <v>263</v>
      </c>
      <c r="E4" s="391"/>
      <c r="F4" s="386"/>
      <c r="G4" s="386"/>
      <c r="H4" s="304"/>
      <c r="I4" s="386"/>
      <c r="J4" s="304"/>
      <c r="K4" s="304"/>
      <c r="L4" s="304"/>
      <c r="M4" s="304"/>
      <c r="N4" s="355"/>
    </row>
    <row r="5" spans="1:14" hidden="1" outlineLevel="1">
      <c r="C5" s="316"/>
      <c r="D5" s="316">
        <v>2001</v>
      </c>
      <c r="E5" s="352">
        <v>2002</v>
      </c>
      <c r="F5" s="352">
        <v>2003</v>
      </c>
      <c r="G5" s="352">
        <v>2004</v>
      </c>
      <c r="H5" s="352">
        <v>2005</v>
      </c>
      <c r="I5" s="352">
        <v>2006</v>
      </c>
      <c r="J5" s="356">
        <v>2007</v>
      </c>
      <c r="K5" s="356">
        <v>2008</v>
      </c>
      <c r="L5" s="356">
        <v>2009</v>
      </c>
      <c r="M5" s="356">
        <v>2010</v>
      </c>
      <c r="N5" s="537">
        <v>2011</v>
      </c>
    </row>
    <row r="6" spans="1:14" hidden="1" outlineLevel="1">
      <c r="C6" s="567" t="s">
        <v>273</v>
      </c>
      <c r="D6" s="316">
        <v>1</v>
      </c>
      <c r="E6" s="352">
        <v>2</v>
      </c>
      <c r="F6" s="352">
        <v>3</v>
      </c>
      <c r="G6" s="352">
        <v>4</v>
      </c>
      <c r="H6" s="352">
        <v>5</v>
      </c>
      <c r="I6" s="352">
        <v>6</v>
      </c>
      <c r="J6" s="352">
        <v>7</v>
      </c>
      <c r="K6" s="352">
        <v>8</v>
      </c>
      <c r="L6" s="352">
        <v>9</v>
      </c>
      <c r="M6" s="352">
        <v>10</v>
      </c>
      <c r="N6" s="452">
        <v>11</v>
      </c>
    </row>
    <row r="7" spans="1:14" hidden="1" outlineLevel="1">
      <c r="C7" s="567"/>
      <c r="D7" s="458"/>
      <c r="E7" s="459"/>
      <c r="F7" s="459"/>
      <c r="G7" s="459"/>
      <c r="H7" s="459"/>
      <c r="I7" s="459"/>
      <c r="J7" s="459"/>
      <c r="K7" s="459"/>
      <c r="L7" s="459"/>
      <c r="M7" s="459"/>
      <c r="N7" s="353"/>
    </row>
    <row r="8" spans="1:14" ht="18" hidden="1" outlineLevel="1">
      <c r="A8" s="179" t="s">
        <v>286</v>
      </c>
      <c r="C8" s="567"/>
      <c r="D8" s="458"/>
      <c r="E8" s="459"/>
      <c r="F8" s="459"/>
      <c r="G8" s="459"/>
      <c r="H8" s="459"/>
      <c r="I8" s="459"/>
      <c r="J8" s="459"/>
      <c r="K8" s="459"/>
      <c r="L8" s="459"/>
      <c r="M8" s="459"/>
      <c r="N8" s="353"/>
    </row>
    <row r="9" spans="1:14" hidden="1" outlineLevel="1">
      <c r="C9" s="567"/>
      <c r="D9" s="458"/>
      <c r="E9" s="459"/>
      <c r="F9" s="459"/>
      <c r="G9" s="459"/>
      <c r="H9" s="459"/>
      <c r="I9" s="459"/>
      <c r="J9" s="459"/>
      <c r="K9" s="459"/>
      <c r="L9" s="459"/>
      <c r="M9" s="459"/>
      <c r="N9" s="353"/>
    </row>
    <row r="10" spans="1:14" ht="18" hidden="1" outlineLevel="1">
      <c r="A10" s="179" t="s">
        <v>336</v>
      </c>
      <c r="C10" s="567"/>
      <c r="D10" s="458"/>
      <c r="E10" s="459"/>
      <c r="F10" s="459"/>
      <c r="G10" s="459"/>
      <c r="H10" s="459"/>
      <c r="I10" s="459"/>
      <c r="J10" s="459"/>
      <c r="K10" s="459"/>
      <c r="L10" s="459"/>
      <c r="M10" s="459"/>
      <c r="N10" s="353"/>
    </row>
    <row r="11" spans="1:14" hidden="1" outlineLevel="1">
      <c r="C11" s="567"/>
      <c r="D11" s="458"/>
      <c r="E11" s="459"/>
      <c r="F11" s="459"/>
      <c r="G11" s="459"/>
      <c r="H11" s="459"/>
      <c r="I11" s="459"/>
      <c r="J11" s="459"/>
      <c r="K11" s="459"/>
      <c r="L11" s="459"/>
      <c r="M11" s="459"/>
      <c r="N11" s="353"/>
    </row>
    <row r="12" spans="1:14" ht="18" collapsed="1">
      <c r="A12" s="179" t="s">
        <v>287</v>
      </c>
      <c r="C12" s="567"/>
      <c r="D12" s="458"/>
      <c r="E12" s="459"/>
      <c r="F12" s="459"/>
      <c r="G12" s="459"/>
      <c r="H12" s="459"/>
      <c r="I12" s="459"/>
      <c r="J12" s="459"/>
      <c r="K12" s="459"/>
      <c r="L12" s="459"/>
      <c r="M12" s="459"/>
      <c r="N12" s="353"/>
    </row>
    <row r="13" spans="1:14" ht="12.75" customHeight="1">
      <c r="A13" s="179"/>
      <c r="C13" s="386"/>
      <c r="D13" s="372" t="s">
        <v>263</v>
      </c>
      <c r="E13" s="391"/>
      <c r="F13" s="386"/>
      <c r="G13" s="386"/>
      <c r="H13" s="304"/>
      <c r="I13" s="386"/>
      <c r="J13" s="304"/>
      <c r="K13" s="304"/>
      <c r="L13" s="304"/>
      <c r="M13" s="304"/>
      <c r="N13" s="355"/>
    </row>
    <row r="14" spans="1:14" ht="12.75" customHeight="1">
      <c r="A14" s="179"/>
      <c r="C14" s="316"/>
      <c r="D14" s="316">
        <v>2001</v>
      </c>
      <c r="E14" s="352">
        <v>2002</v>
      </c>
      <c r="F14" s="352">
        <v>2003</v>
      </c>
      <c r="G14" s="352">
        <v>2004</v>
      </c>
      <c r="H14" s="352">
        <v>2005</v>
      </c>
      <c r="I14" s="352">
        <v>2006</v>
      </c>
      <c r="J14" s="356">
        <v>2007</v>
      </c>
      <c r="K14" s="356">
        <v>2008</v>
      </c>
      <c r="L14" s="356">
        <v>2009</v>
      </c>
      <c r="M14" s="356">
        <v>2010</v>
      </c>
      <c r="N14" s="537">
        <v>2011</v>
      </c>
    </row>
    <row r="15" spans="1:14" ht="12.75" customHeight="1">
      <c r="A15" s="179"/>
      <c r="C15" s="567" t="s">
        <v>273</v>
      </c>
      <c r="D15" s="316">
        <v>1</v>
      </c>
      <c r="E15" s="352">
        <v>2</v>
      </c>
      <c r="F15" s="352">
        <v>3</v>
      </c>
      <c r="G15" s="352">
        <v>4</v>
      </c>
      <c r="H15" s="352">
        <v>5</v>
      </c>
      <c r="I15" s="352">
        <v>6</v>
      </c>
      <c r="J15" s="352">
        <v>7</v>
      </c>
      <c r="K15" s="352">
        <v>8</v>
      </c>
      <c r="L15" s="352">
        <v>9</v>
      </c>
      <c r="M15" s="352">
        <v>10</v>
      </c>
      <c r="N15" s="452">
        <v>11</v>
      </c>
    </row>
    <row r="16" spans="1:14" ht="15.75">
      <c r="A16" s="563" t="s">
        <v>323</v>
      </c>
      <c r="B16" s="477"/>
      <c r="C16" s="477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</row>
    <row r="17" spans="1:14">
      <c r="A17" s="574"/>
      <c r="B17" s="575" t="s">
        <v>309</v>
      </c>
      <c r="C17" s="575"/>
      <c r="D17" s="655">
        <v>1.02</v>
      </c>
      <c r="E17" s="655">
        <v>1.02</v>
      </c>
      <c r="F17" s="655">
        <v>1.02</v>
      </c>
      <c r="G17" s="655">
        <v>1.02</v>
      </c>
      <c r="H17" s="655">
        <v>1.02</v>
      </c>
      <c r="I17" s="655">
        <v>1.02</v>
      </c>
      <c r="J17" s="655">
        <v>1.02</v>
      </c>
      <c r="K17" s="655">
        <v>1.02</v>
      </c>
      <c r="L17" s="655">
        <v>1.02</v>
      </c>
      <c r="M17" s="655">
        <v>1.02</v>
      </c>
      <c r="N17" s="656">
        <v>1.02</v>
      </c>
    </row>
    <row r="18" spans="1:14">
      <c r="A18" s="576"/>
      <c r="B18" s="35" t="s">
        <v>310</v>
      </c>
      <c r="C18" s="35"/>
      <c r="D18" s="349">
        <v>1.03</v>
      </c>
      <c r="E18" s="349">
        <v>1.03</v>
      </c>
      <c r="F18" s="349">
        <v>1.03</v>
      </c>
      <c r="G18" s="349">
        <v>1.04</v>
      </c>
      <c r="H18" s="349">
        <v>1.05</v>
      </c>
      <c r="I18" s="349">
        <v>1.05</v>
      </c>
      <c r="J18" s="349">
        <v>1.05</v>
      </c>
      <c r="K18" s="349">
        <v>1.05</v>
      </c>
      <c r="L18" s="349">
        <v>1.05</v>
      </c>
      <c r="M18" s="349">
        <v>1.03</v>
      </c>
      <c r="N18" s="657">
        <v>1.03</v>
      </c>
    </row>
    <row r="19" spans="1:14">
      <c r="A19" s="576"/>
      <c r="B19" s="35" t="s">
        <v>312</v>
      </c>
      <c r="C19" s="35"/>
      <c r="D19" s="349" t="s">
        <v>253</v>
      </c>
      <c r="E19" s="349" t="s">
        <v>253</v>
      </c>
      <c r="F19" s="349">
        <v>1.01</v>
      </c>
      <c r="G19" s="349">
        <v>1.01</v>
      </c>
      <c r="H19" s="349">
        <v>1.01</v>
      </c>
      <c r="I19" s="349">
        <v>1.01</v>
      </c>
      <c r="J19" s="349">
        <v>1.01</v>
      </c>
      <c r="K19" s="349">
        <v>1.01</v>
      </c>
      <c r="L19" s="349">
        <v>1.01</v>
      </c>
      <c r="M19" s="349">
        <v>1.01</v>
      </c>
      <c r="N19" s="657">
        <v>1.01</v>
      </c>
    </row>
    <row r="20" spans="1:14">
      <c r="A20" s="576"/>
      <c r="B20" s="35" t="s">
        <v>313</v>
      </c>
      <c r="C20" s="35"/>
      <c r="D20" s="349" t="s">
        <v>253</v>
      </c>
      <c r="E20" s="349" t="s">
        <v>253</v>
      </c>
      <c r="F20" s="349" t="s">
        <v>253</v>
      </c>
      <c r="G20" s="349">
        <v>1.01</v>
      </c>
      <c r="H20" s="349">
        <v>1.01</v>
      </c>
      <c r="I20" s="349">
        <v>1.01</v>
      </c>
      <c r="J20" s="349">
        <v>1.01</v>
      </c>
      <c r="K20" s="349">
        <v>1.01</v>
      </c>
      <c r="L20" s="349">
        <v>1.01</v>
      </c>
      <c r="M20" s="349">
        <v>1.01</v>
      </c>
      <c r="N20" s="657">
        <v>1.01</v>
      </c>
    </row>
    <row r="21" spans="1:14">
      <c r="A21" s="576"/>
      <c r="B21" s="35" t="s">
        <v>321</v>
      </c>
      <c r="C21" s="35"/>
      <c r="D21" s="349">
        <v>1</v>
      </c>
      <c r="E21" s="349">
        <v>1</v>
      </c>
      <c r="F21" s="349">
        <v>1</v>
      </c>
      <c r="G21" s="349">
        <v>1</v>
      </c>
      <c r="H21" s="349">
        <v>1</v>
      </c>
      <c r="I21" s="349">
        <v>1</v>
      </c>
      <c r="J21" s="349">
        <v>1</v>
      </c>
      <c r="K21" s="349">
        <v>1</v>
      </c>
      <c r="L21" s="349">
        <v>1</v>
      </c>
      <c r="M21" s="349">
        <v>1</v>
      </c>
      <c r="N21" s="657">
        <v>1</v>
      </c>
    </row>
    <row r="22" spans="1:14">
      <c r="A22" s="577"/>
      <c r="B22" s="355" t="s">
        <v>183</v>
      </c>
      <c r="C22" s="355"/>
      <c r="D22" s="365">
        <v>1.05</v>
      </c>
      <c r="E22" s="365">
        <v>1.05</v>
      </c>
      <c r="F22" s="365">
        <v>1.05</v>
      </c>
      <c r="G22" s="365">
        <v>1.05</v>
      </c>
      <c r="H22" s="365">
        <v>1.05</v>
      </c>
      <c r="I22" s="365">
        <v>1.05</v>
      </c>
      <c r="J22" s="365">
        <v>1.03</v>
      </c>
      <c r="K22" s="365">
        <v>1.03</v>
      </c>
      <c r="L22" s="365">
        <v>1.03</v>
      </c>
      <c r="M22" s="365">
        <v>1.03</v>
      </c>
      <c r="N22" s="365">
        <v>1.03</v>
      </c>
    </row>
    <row r="24" spans="1:14" ht="15.75">
      <c r="A24" s="563" t="s">
        <v>320</v>
      </c>
      <c r="B24" s="442"/>
      <c r="C24" s="442"/>
      <c r="D24" s="442"/>
      <c r="E24" s="442"/>
      <c r="F24" s="442"/>
      <c r="G24" s="442"/>
      <c r="H24" s="442"/>
      <c r="I24" s="442"/>
      <c r="J24" s="442"/>
      <c r="K24" s="442"/>
      <c r="L24" s="442"/>
      <c r="M24" s="442"/>
      <c r="N24" s="442"/>
    </row>
    <row r="25" spans="1:14" ht="15.75">
      <c r="A25" s="663"/>
      <c r="B25" s="664" t="s">
        <v>312</v>
      </c>
      <c r="C25" s="664"/>
      <c r="D25" s="655">
        <v>1</v>
      </c>
      <c r="E25" s="655">
        <v>1</v>
      </c>
      <c r="F25" s="655">
        <v>1</v>
      </c>
      <c r="G25" s="655">
        <v>1</v>
      </c>
      <c r="H25" s="655">
        <v>1</v>
      </c>
      <c r="I25" s="655">
        <v>1</v>
      </c>
      <c r="J25" s="655">
        <v>1</v>
      </c>
      <c r="K25" s="655">
        <v>1</v>
      </c>
      <c r="L25" s="655">
        <v>1</v>
      </c>
      <c r="M25" s="655">
        <v>1</v>
      </c>
      <c r="N25" s="656">
        <v>1</v>
      </c>
    </row>
    <row r="26" spans="1:14">
      <c r="A26" s="577"/>
      <c r="B26" s="560" t="s">
        <v>313</v>
      </c>
      <c r="C26" s="355"/>
      <c r="D26" s="365">
        <v>1</v>
      </c>
      <c r="E26" s="365">
        <v>1</v>
      </c>
      <c r="F26" s="365">
        <v>1</v>
      </c>
      <c r="G26" s="365">
        <v>1</v>
      </c>
      <c r="H26" s="365">
        <v>1</v>
      </c>
      <c r="I26" s="365">
        <v>1</v>
      </c>
      <c r="J26" s="365">
        <v>1</v>
      </c>
      <c r="K26" s="365">
        <v>1</v>
      </c>
      <c r="L26" s="365">
        <v>1</v>
      </c>
      <c r="M26" s="365">
        <v>1</v>
      </c>
      <c r="N26" s="658">
        <v>1</v>
      </c>
    </row>
    <row r="28" spans="1:14" ht="15.75">
      <c r="A28" s="563" t="s">
        <v>324</v>
      </c>
      <c r="B28" s="477"/>
      <c r="C28" s="477"/>
      <c r="D28" s="477"/>
      <c r="E28" s="477"/>
      <c r="F28" s="477"/>
      <c r="G28" s="477"/>
      <c r="H28" s="477"/>
      <c r="I28" s="477"/>
      <c r="J28" s="477"/>
      <c r="K28" s="477"/>
      <c r="L28" s="477"/>
      <c r="M28" s="477"/>
      <c r="N28" s="477"/>
    </row>
    <row r="29" spans="1:14">
      <c r="A29" s="574"/>
      <c r="B29" s="575" t="s">
        <v>325</v>
      </c>
      <c r="C29" s="575"/>
      <c r="D29" s="659">
        <v>0.28000000000000003</v>
      </c>
      <c r="E29" s="659">
        <v>0.32</v>
      </c>
      <c r="F29" s="659">
        <v>0.32</v>
      </c>
      <c r="G29" s="659">
        <v>0.32</v>
      </c>
      <c r="H29" s="659">
        <v>0.28000000000000003</v>
      </c>
      <c r="I29" s="659">
        <v>0.28000000000000003</v>
      </c>
      <c r="J29" s="659">
        <v>0.28000000000000003</v>
      </c>
      <c r="K29" s="659">
        <v>0.27</v>
      </c>
      <c r="L29" s="659">
        <v>0.27</v>
      </c>
      <c r="M29" s="659">
        <v>0.27</v>
      </c>
      <c r="N29" s="737">
        <v>0.26</v>
      </c>
    </row>
    <row r="30" spans="1:14">
      <c r="A30" s="576"/>
      <c r="B30" s="35" t="s">
        <v>326</v>
      </c>
      <c r="C30" s="35"/>
      <c r="D30" s="660">
        <v>0.23</v>
      </c>
      <c r="E30" s="660">
        <v>0.23</v>
      </c>
      <c r="F30" s="660">
        <v>0.23</v>
      </c>
      <c r="G30" s="660">
        <v>0.23</v>
      </c>
      <c r="H30" s="660">
        <v>0.23</v>
      </c>
      <c r="I30" s="660">
        <v>0.23</v>
      </c>
      <c r="J30" s="660">
        <v>0.23</v>
      </c>
      <c r="K30" s="660">
        <v>0.23</v>
      </c>
      <c r="L30" s="660">
        <v>0.23</v>
      </c>
      <c r="M30" s="660">
        <v>0.23</v>
      </c>
      <c r="N30" s="738">
        <v>0.23</v>
      </c>
    </row>
    <row r="31" spans="1:14">
      <c r="A31" s="576"/>
      <c r="B31" s="35" t="s">
        <v>338</v>
      </c>
      <c r="C31" s="35"/>
      <c r="D31" s="349">
        <v>1.05</v>
      </c>
      <c r="E31" s="349">
        <v>1.05</v>
      </c>
      <c r="F31" s="349">
        <v>1.05</v>
      </c>
      <c r="G31" s="349">
        <v>1.05</v>
      </c>
      <c r="H31" s="349">
        <v>1.05</v>
      </c>
      <c r="I31" s="349">
        <v>1.05</v>
      </c>
      <c r="J31" s="349">
        <v>1.03</v>
      </c>
      <c r="K31" s="349">
        <v>1.03</v>
      </c>
      <c r="L31" s="349">
        <v>1.03</v>
      </c>
      <c r="M31" s="349">
        <v>1.03</v>
      </c>
      <c r="N31" s="349">
        <v>1.03</v>
      </c>
    </row>
    <row r="32" spans="1:14">
      <c r="A32" s="576"/>
      <c r="B32" s="35" t="s">
        <v>339</v>
      </c>
      <c r="C32" s="35"/>
      <c r="D32" s="349">
        <v>1.01</v>
      </c>
      <c r="E32" s="349">
        <v>1.01</v>
      </c>
      <c r="F32" s="349">
        <v>1.01</v>
      </c>
      <c r="G32" s="349">
        <v>1.01</v>
      </c>
      <c r="H32" s="349">
        <v>1.01</v>
      </c>
      <c r="I32" s="349">
        <v>1.01</v>
      </c>
      <c r="J32" s="349">
        <v>1.01</v>
      </c>
      <c r="K32" s="349">
        <v>1.01</v>
      </c>
      <c r="L32" s="349">
        <v>1.01</v>
      </c>
      <c r="M32" s="349">
        <v>1.01</v>
      </c>
      <c r="N32" s="657">
        <v>1.01</v>
      </c>
    </row>
    <row r="33" spans="1:14">
      <c r="A33" s="576"/>
      <c r="B33" s="35" t="s">
        <v>340</v>
      </c>
      <c r="C33" s="35"/>
      <c r="D33" s="349">
        <v>1.01</v>
      </c>
      <c r="E33" s="349">
        <v>1.01</v>
      </c>
      <c r="F33" s="349">
        <v>1.01</v>
      </c>
      <c r="G33" s="349">
        <v>1.01</v>
      </c>
      <c r="H33" s="349">
        <v>1.01</v>
      </c>
      <c r="I33" s="349">
        <v>1.01</v>
      </c>
      <c r="J33" s="349">
        <v>1.01</v>
      </c>
      <c r="K33" s="349">
        <v>1.01</v>
      </c>
      <c r="L33" s="349">
        <v>1.01</v>
      </c>
      <c r="M33" s="349">
        <v>1.01</v>
      </c>
      <c r="N33" s="657">
        <v>1.01</v>
      </c>
    </row>
    <row r="34" spans="1:14">
      <c r="A34" s="576"/>
      <c r="B34" s="45" t="s">
        <v>366</v>
      </c>
      <c r="C34" s="35"/>
      <c r="D34" s="349">
        <v>1.01</v>
      </c>
      <c r="E34" s="349">
        <v>1.01</v>
      </c>
      <c r="F34" s="349">
        <v>1.01</v>
      </c>
      <c r="G34" s="349">
        <v>1.01</v>
      </c>
      <c r="H34" s="349">
        <v>1.01</v>
      </c>
      <c r="I34" s="349">
        <v>1.01</v>
      </c>
      <c r="J34" s="349">
        <v>1.01</v>
      </c>
      <c r="K34" s="349">
        <v>1.01</v>
      </c>
      <c r="L34" s="349">
        <v>1.01</v>
      </c>
      <c r="M34" s="349">
        <v>1.01</v>
      </c>
      <c r="N34" s="657">
        <v>1.01</v>
      </c>
    </row>
    <row r="35" spans="1:14">
      <c r="A35" s="577"/>
      <c r="B35" s="355" t="s">
        <v>367</v>
      </c>
      <c r="C35" s="355"/>
      <c r="D35" s="365">
        <v>1.01</v>
      </c>
      <c r="E35" s="365">
        <v>1.01</v>
      </c>
      <c r="F35" s="365">
        <v>1.01</v>
      </c>
      <c r="G35" s="365">
        <v>1.01</v>
      </c>
      <c r="H35" s="365">
        <v>1.01</v>
      </c>
      <c r="I35" s="365">
        <v>1.01</v>
      </c>
      <c r="J35" s="365">
        <v>1.01</v>
      </c>
      <c r="K35" s="365">
        <v>1.01</v>
      </c>
      <c r="L35" s="365">
        <v>1.01</v>
      </c>
      <c r="M35" s="365">
        <v>1.01</v>
      </c>
      <c r="N35" s="658">
        <v>1.01</v>
      </c>
    </row>
    <row r="36" spans="1:14">
      <c r="A36" s="35"/>
      <c r="B36" s="35"/>
      <c r="C36" s="35"/>
      <c r="D36" s="661"/>
      <c r="E36" s="661"/>
      <c r="F36" s="661"/>
      <c r="G36" s="661"/>
      <c r="H36" s="661"/>
      <c r="I36" s="661"/>
      <c r="J36" s="661"/>
      <c r="K36" s="661"/>
      <c r="L36" s="661"/>
      <c r="M36" s="661"/>
      <c r="N36" s="661"/>
    </row>
    <row r="37" spans="1:14" ht="15.75">
      <c r="A37" s="667" t="s">
        <v>341</v>
      </c>
      <c r="B37" s="585"/>
      <c r="C37" s="585"/>
      <c r="D37" s="666"/>
      <c r="E37" s="666"/>
      <c r="F37" s="666"/>
      <c r="G37" s="666"/>
      <c r="H37" s="666"/>
      <c r="I37" s="666"/>
      <c r="J37" s="666"/>
      <c r="K37" s="666"/>
      <c r="L37" s="666"/>
      <c r="M37" s="666"/>
      <c r="N37" s="666"/>
    </row>
    <row r="38" spans="1:14">
      <c r="A38" s="574"/>
      <c r="B38" s="664" t="s">
        <v>342</v>
      </c>
      <c r="C38" s="575"/>
      <c r="D38" s="655">
        <v>0.68500000000000005</v>
      </c>
      <c r="E38" s="655">
        <v>1.0249999999999999</v>
      </c>
      <c r="F38" s="655">
        <v>1.0249999999999999</v>
      </c>
      <c r="G38" s="655">
        <v>1.0249999999999999</v>
      </c>
      <c r="H38" s="655">
        <v>1.0249999999999999</v>
      </c>
      <c r="I38" s="655">
        <v>1.0249999999999999</v>
      </c>
      <c r="J38" s="655">
        <v>1.0249999999999999</v>
      </c>
      <c r="K38" s="655">
        <v>1.0249999999999999</v>
      </c>
      <c r="L38" s="655">
        <v>1.0249999999999999</v>
      </c>
      <c r="M38" s="655">
        <v>1.0249999999999999</v>
      </c>
      <c r="N38" s="655">
        <v>1.0249999999999999</v>
      </c>
    </row>
    <row r="39" spans="1:14">
      <c r="A39" s="576"/>
      <c r="B39" s="45" t="s">
        <v>343</v>
      </c>
      <c r="C39" s="35"/>
      <c r="D39" s="349">
        <v>0.4</v>
      </c>
      <c r="E39" s="349">
        <v>0.39500000000000002</v>
      </c>
      <c r="F39" s="349">
        <v>0.39500000000000002</v>
      </c>
      <c r="G39" s="349">
        <v>0.39500000000000002</v>
      </c>
      <c r="H39" s="349">
        <v>0.38</v>
      </c>
      <c r="I39" s="349">
        <v>0.38</v>
      </c>
      <c r="J39" s="349">
        <v>0.38</v>
      </c>
      <c r="K39" s="349">
        <v>0.38500000000000001</v>
      </c>
      <c r="L39" s="349">
        <v>0.38500000000000001</v>
      </c>
      <c r="M39" s="349">
        <v>0.38</v>
      </c>
      <c r="N39" s="657">
        <v>0.38</v>
      </c>
    </row>
    <row r="40" spans="1:14">
      <c r="A40" s="576"/>
      <c r="B40" s="45" t="s">
        <v>344</v>
      </c>
      <c r="C40" s="35"/>
      <c r="D40" s="349">
        <v>0.4</v>
      </c>
      <c r="E40" s="349">
        <v>0.39500000000000002</v>
      </c>
      <c r="F40" s="349">
        <v>0.39500000000000002</v>
      </c>
      <c r="G40" s="349">
        <v>0.39500000000000002</v>
      </c>
      <c r="H40" s="349">
        <v>0.38</v>
      </c>
      <c r="I40" s="349">
        <v>0.38</v>
      </c>
      <c r="J40" s="349">
        <v>0.38</v>
      </c>
      <c r="K40" s="349">
        <v>0.38500000000000001</v>
      </c>
      <c r="L40" s="349">
        <v>0.38500000000000001</v>
      </c>
      <c r="M40" s="349">
        <v>0.38</v>
      </c>
      <c r="N40" s="657">
        <v>0.38</v>
      </c>
    </row>
    <row r="41" spans="1:14">
      <c r="A41" s="577"/>
      <c r="B41" s="560" t="s">
        <v>345</v>
      </c>
      <c r="C41" s="355"/>
      <c r="D41" s="365">
        <v>0.99</v>
      </c>
      <c r="E41" s="365">
        <v>0.99</v>
      </c>
      <c r="F41" s="365">
        <v>0.99</v>
      </c>
      <c r="G41" s="365">
        <v>0.99</v>
      </c>
      <c r="H41" s="365">
        <v>0.99</v>
      </c>
      <c r="I41" s="365">
        <v>0.99</v>
      </c>
      <c r="J41" s="365">
        <v>0.99</v>
      </c>
      <c r="K41" s="365">
        <v>0.99</v>
      </c>
      <c r="L41" s="365">
        <v>0.99</v>
      </c>
      <c r="M41" s="365">
        <v>0.99</v>
      </c>
      <c r="N41" s="658">
        <v>0.99</v>
      </c>
    </row>
    <row r="42" spans="1:14">
      <c r="A42" s="35"/>
      <c r="B42" s="35"/>
      <c r="C42" s="35"/>
      <c r="D42" s="661"/>
      <c r="E42" s="661"/>
      <c r="F42" s="661"/>
      <c r="G42" s="661"/>
      <c r="H42" s="661"/>
      <c r="I42" s="661"/>
      <c r="J42" s="661"/>
      <c r="K42" s="661"/>
      <c r="L42" s="661"/>
      <c r="M42" s="661"/>
      <c r="N42" s="661"/>
    </row>
    <row r="43" spans="1:14" ht="15.75">
      <c r="A43" s="667" t="s">
        <v>351</v>
      </c>
      <c r="B43" s="673"/>
      <c r="C43" s="673"/>
      <c r="D43" s="674"/>
      <c r="E43" s="674"/>
      <c r="F43" s="674"/>
      <c r="G43" s="674"/>
      <c r="H43" s="674"/>
      <c r="I43" s="674"/>
      <c r="J43" s="674"/>
      <c r="K43" s="674"/>
      <c r="L43" s="674"/>
      <c r="M43" s="674"/>
      <c r="N43" s="674"/>
    </row>
    <row r="44" spans="1:14">
      <c r="A44" s="574"/>
      <c r="B44" s="298" t="s">
        <v>352</v>
      </c>
      <c r="C44" s="575"/>
      <c r="D44" s="655" t="s">
        <v>253</v>
      </c>
      <c r="E44" s="655">
        <v>0.75</v>
      </c>
      <c r="F44" s="655">
        <v>1.01</v>
      </c>
      <c r="G44" s="655">
        <v>1.01</v>
      </c>
      <c r="H44" s="655">
        <v>1.01</v>
      </c>
      <c r="I44" s="655">
        <v>1.01</v>
      </c>
      <c r="J44" s="655">
        <v>1.01</v>
      </c>
      <c r="K44" s="655">
        <v>1.01</v>
      </c>
      <c r="L44" s="655">
        <v>1.01</v>
      </c>
      <c r="M44" s="655">
        <v>1.01</v>
      </c>
      <c r="N44" s="656">
        <v>1.01</v>
      </c>
    </row>
    <row r="45" spans="1:14">
      <c r="A45" s="576"/>
      <c r="B45" s="268" t="s">
        <v>353</v>
      </c>
      <c r="C45" s="35"/>
      <c r="D45" s="349" t="s">
        <v>253</v>
      </c>
      <c r="E45" s="349">
        <v>0</v>
      </c>
      <c r="F45" s="349">
        <v>0</v>
      </c>
      <c r="G45" s="349">
        <v>0</v>
      </c>
      <c r="H45" s="349">
        <v>0</v>
      </c>
      <c r="I45" s="349">
        <v>0</v>
      </c>
      <c r="J45" s="349">
        <v>0</v>
      </c>
      <c r="K45" s="349">
        <v>0</v>
      </c>
      <c r="L45" s="349">
        <v>0</v>
      </c>
      <c r="M45" s="349">
        <v>0</v>
      </c>
      <c r="N45" s="657">
        <v>0</v>
      </c>
    </row>
    <row r="46" spans="1:14">
      <c r="A46" s="576"/>
      <c r="B46" s="35" t="s">
        <v>354</v>
      </c>
      <c r="C46" s="35"/>
      <c r="D46" s="349" t="s">
        <v>253</v>
      </c>
      <c r="E46" s="349" t="s">
        <v>253</v>
      </c>
      <c r="F46" s="349">
        <v>0</v>
      </c>
      <c r="G46" s="349">
        <v>0</v>
      </c>
      <c r="H46" s="349">
        <v>0</v>
      </c>
      <c r="I46" s="349">
        <v>0</v>
      </c>
      <c r="J46" s="349">
        <v>0</v>
      </c>
      <c r="K46" s="349">
        <v>0</v>
      </c>
      <c r="L46" s="349">
        <v>0</v>
      </c>
      <c r="M46" s="349">
        <v>0</v>
      </c>
      <c r="N46" s="657">
        <v>0</v>
      </c>
    </row>
    <row r="47" spans="1:14">
      <c r="A47" s="576"/>
      <c r="B47" s="35" t="s">
        <v>355</v>
      </c>
      <c r="C47" s="35"/>
      <c r="D47" s="349" t="s">
        <v>253</v>
      </c>
      <c r="E47" s="349">
        <v>1</v>
      </c>
      <c r="F47" s="349">
        <v>1</v>
      </c>
      <c r="G47" s="349">
        <v>1</v>
      </c>
      <c r="H47" s="349">
        <v>1</v>
      </c>
      <c r="I47" s="349">
        <v>1</v>
      </c>
      <c r="J47" s="349">
        <v>1</v>
      </c>
      <c r="K47" s="349">
        <v>1</v>
      </c>
      <c r="L47" s="349">
        <v>1</v>
      </c>
      <c r="M47" s="349">
        <v>1</v>
      </c>
      <c r="N47" s="657">
        <v>1</v>
      </c>
    </row>
    <row r="48" spans="1:14">
      <c r="A48" s="576"/>
      <c r="B48" s="268" t="s">
        <v>356</v>
      </c>
      <c r="C48" s="35"/>
      <c r="D48" s="349" t="s">
        <v>253</v>
      </c>
      <c r="E48" s="349">
        <v>0.1</v>
      </c>
      <c r="F48" s="349">
        <v>1.01</v>
      </c>
      <c r="G48" s="349">
        <v>1.01</v>
      </c>
      <c r="H48" s="349">
        <v>1.01</v>
      </c>
      <c r="I48" s="349">
        <v>1.01</v>
      </c>
      <c r="J48" s="349">
        <v>1.01</v>
      </c>
      <c r="K48" s="349">
        <v>1.01</v>
      </c>
      <c r="L48" s="349">
        <v>1.01</v>
      </c>
      <c r="M48" s="349">
        <v>1.01</v>
      </c>
      <c r="N48" s="657">
        <v>1.01</v>
      </c>
    </row>
    <row r="49" spans="1:14">
      <c r="A49" s="576"/>
      <c r="B49" s="268" t="s">
        <v>357</v>
      </c>
      <c r="C49" s="35"/>
      <c r="D49" s="349" t="s">
        <v>253</v>
      </c>
      <c r="E49" s="349">
        <v>1.01</v>
      </c>
      <c r="F49" s="349">
        <v>1.01</v>
      </c>
      <c r="G49" s="349">
        <v>1.01</v>
      </c>
      <c r="H49" s="349">
        <v>1.01</v>
      </c>
      <c r="I49" s="349">
        <v>1.01</v>
      </c>
      <c r="J49" s="349">
        <v>1.01</v>
      </c>
      <c r="K49" s="349">
        <v>1.01</v>
      </c>
      <c r="L49" s="349">
        <v>1.01</v>
      </c>
      <c r="M49" s="349">
        <v>1.01</v>
      </c>
      <c r="N49" s="657">
        <v>1.01</v>
      </c>
    </row>
    <row r="50" spans="1:14">
      <c r="A50" s="576"/>
      <c r="B50" s="268" t="s">
        <v>358</v>
      </c>
      <c r="C50" s="35"/>
      <c r="D50" s="349" t="s">
        <v>253</v>
      </c>
      <c r="E50" s="349">
        <v>1.01</v>
      </c>
      <c r="F50" s="349">
        <v>1.01</v>
      </c>
      <c r="G50" s="349">
        <v>1.01</v>
      </c>
      <c r="H50" s="349">
        <v>1.01</v>
      </c>
      <c r="I50" s="349">
        <v>1.01</v>
      </c>
      <c r="J50" s="349">
        <v>0.95</v>
      </c>
      <c r="K50" s="349">
        <v>0.95</v>
      </c>
      <c r="L50" s="349">
        <v>0.95</v>
      </c>
      <c r="M50" s="349">
        <v>0.95</v>
      </c>
      <c r="N50" s="657">
        <v>0.95</v>
      </c>
    </row>
    <row r="51" spans="1:14">
      <c r="A51" s="577"/>
      <c r="B51" s="304" t="s">
        <v>359</v>
      </c>
      <c r="C51" s="355"/>
      <c r="D51" s="365" t="s">
        <v>253</v>
      </c>
      <c r="E51" s="365">
        <v>0.98</v>
      </c>
      <c r="F51" s="365">
        <v>0.98</v>
      </c>
      <c r="G51" s="365">
        <v>0.98</v>
      </c>
      <c r="H51" s="365">
        <v>0.98</v>
      </c>
      <c r="I51" s="365">
        <v>0.98</v>
      </c>
      <c r="J51" s="365">
        <v>0.98</v>
      </c>
      <c r="K51" s="365">
        <v>0.98</v>
      </c>
      <c r="L51" s="365">
        <v>0.95</v>
      </c>
      <c r="M51" s="365">
        <v>0.95</v>
      </c>
      <c r="N51" s="658">
        <v>0.95</v>
      </c>
    </row>
    <row r="55" spans="1:14" ht="18">
      <c r="A55" s="179" t="s">
        <v>337</v>
      </c>
    </row>
  </sheetData>
  <phoneticPr fontId="0" type="noConversion"/>
  <pageMargins left="0.17" right="0.27" top="0.31" bottom="0.25" header="0.2" footer="0.17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61"/>
  <sheetViews>
    <sheetView showGridLines="0" zoomScale="75" workbookViewId="0">
      <selection activeCell="C6" sqref="C6"/>
    </sheetView>
  </sheetViews>
  <sheetFormatPr defaultRowHeight="12.75" outlineLevelRow="1"/>
  <cols>
    <col min="1" max="1" width="11.140625" customWidth="1"/>
    <col min="2" max="2" width="10" customWidth="1"/>
    <col min="3" max="22" width="11" customWidth="1"/>
  </cols>
  <sheetData>
    <row r="1" spans="1:22" ht="18">
      <c r="A1" s="558" t="str">
        <f>Assumptions!D7</f>
        <v>Wolverine</v>
      </c>
      <c r="B1" s="609"/>
      <c r="C1" s="128"/>
      <c r="D1" s="128"/>
      <c r="E1" s="129"/>
    </row>
    <row r="2" spans="1:22" ht="15.75">
      <c r="A2" s="741" t="s">
        <v>417</v>
      </c>
      <c r="B2" s="742"/>
      <c r="C2" s="35"/>
      <c r="D2" s="35"/>
      <c r="E2" s="131"/>
    </row>
    <row r="3" spans="1:22" ht="16.5" thickBot="1">
      <c r="A3" s="559"/>
      <c r="B3" s="610"/>
      <c r="C3" s="134"/>
      <c r="D3" s="134"/>
      <c r="E3" s="135"/>
    </row>
    <row r="5" spans="1:22" outlineLevel="1">
      <c r="A5" s="574" t="s">
        <v>370</v>
      </c>
      <c r="B5" s="575"/>
      <c r="C5" s="578">
        <v>12</v>
      </c>
    </row>
    <row r="6" spans="1:22" outlineLevel="1">
      <c r="A6" s="577" t="s">
        <v>371</v>
      </c>
      <c r="B6" s="355"/>
      <c r="C6" s="658">
        <v>0.125</v>
      </c>
    </row>
    <row r="7" spans="1:22" outlineLevel="1"/>
    <row r="8" spans="1:22" ht="15.75">
      <c r="A8" s="563" t="s">
        <v>372</v>
      </c>
      <c r="B8" s="442"/>
      <c r="C8" s="442"/>
      <c r="D8" s="442"/>
      <c r="E8" s="442"/>
      <c r="F8" s="442"/>
      <c r="G8" s="442"/>
      <c r="H8" s="442"/>
      <c r="I8" s="442"/>
      <c r="J8" s="442"/>
      <c r="K8" s="442"/>
      <c r="L8" s="442"/>
      <c r="M8" s="442"/>
      <c r="N8" s="24"/>
      <c r="O8" s="24"/>
      <c r="P8" s="24"/>
      <c r="Q8" s="24"/>
      <c r="R8" s="24"/>
      <c r="S8" s="24"/>
      <c r="T8" s="24"/>
      <c r="U8" s="24"/>
      <c r="V8" s="24"/>
    </row>
    <row r="9" spans="1:22" s="24" customFormat="1" ht="15.75">
      <c r="A9" s="189" t="s">
        <v>375</v>
      </c>
    </row>
    <row r="10" spans="1:22" s="24" customFormat="1" ht="15.75">
      <c r="A10" s="663"/>
      <c r="B10" s="70"/>
      <c r="C10" s="1009" t="s">
        <v>370</v>
      </c>
      <c r="D10" s="1009"/>
      <c r="E10" s="1009"/>
      <c r="F10" s="1009"/>
      <c r="G10" s="1009"/>
      <c r="H10" s="1009"/>
      <c r="I10" s="1009"/>
      <c r="J10" s="1009"/>
      <c r="K10" s="1009"/>
      <c r="L10" s="1009"/>
      <c r="M10" s="1010"/>
      <c r="N10"/>
      <c r="O10"/>
      <c r="P10"/>
      <c r="Q10"/>
      <c r="R10" s="45"/>
      <c r="S10" s="45"/>
      <c r="T10" s="45"/>
      <c r="U10" s="45"/>
      <c r="V10" s="45"/>
    </row>
    <row r="11" spans="1:22">
      <c r="A11" s="697"/>
      <c r="B11" s="698" t="e">
        <f>'Unlev. Consolid'!O88</f>
        <v>#REF!</v>
      </c>
      <c r="C11" s="704">
        <v>5</v>
      </c>
      <c r="D11" s="704">
        <v>6</v>
      </c>
      <c r="E11" s="704">
        <v>7</v>
      </c>
      <c r="F11" s="704">
        <v>8</v>
      </c>
      <c r="G11" s="704">
        <v>9</v>
      </c>
      <c r="H11" s="704">
        <v>10</v>
      </c>
      <c r="I11" s="704">
        <v>11</v>
      </c>
      <c r="J11" s="704">
        <v>12</v>
      </c>
      <c r="K11" s="704">
        <v>13</v>
      </c>
      <c r="L11" s="704">
        <v>14</v>
      </c>
      <c r="M11" s="704">
        <v>15</v>
      </c>
      <c r="N11" s="770"/>
      <c r="O11" s="770"/>
      <c r="P11" s="770"/>
      <c r="Q11" s="770"/>
      <c r="R11" s="770"/>
      <c r="S11" s="770"/>
      <c r="T11" s="770"/>
      <c r="U11" s="770"/>
      <c r="V11" s="770"/>
    </row>
    <row r="12" spans="1:22">
      <c r="A12" s="697"/>
      <c r="B12" s="707">
        <v>0.06</v>
      </c>
      <c r="C12" s="708" t="e">
        <f t="dataTable" ref="C12:M29" dt2D="1" dtr="0" r1="C5" r2="C6"/>
        <v>#REF!</v>
      </c>
      <c r="D12" s="716" t="e">
        <v>#REF!</v>
      </c>
      <c r="E12" s="716" t="e">
        <v>#REF!</v>
      </c>
      <c r="F12" s="716" t="e">
        <v>#REF!</v>
      </c>
      <c r="G12" s="716" t="e">
        <v>#REF!</v>
      </c>
      <c r="H12" s="716" t="e">
        <v>#REF!</v>
      </c>
      <c r="I12" s="716" t="e">
        <v>#REF!</v>
      </c>
      <c r="J12" s="716" t="e">
        <v>#REF!</v>
      </c>
      <c r="K12" s="716" t="e">
        <v>#REF!</v>
      </c>
      <c r="L12" s="716" t="e">
        <v>#REF!</v>
      </c>
      <c r="M12" s="716" t="e">
        <v>#REF!</v>
      </c>
      <c r="N12" s="635"/>
      <c r="O12" s="635"/>
      <c r="P12" s="635"/>
      <c r="Q12" s="635"/>
      <c r="R12" s="527"/>
      <c r="S12" s="527"/>
      <c r="T12" s="527"/>
      <c r="U12" s="527"/>
      <c r="V12" s="527"/>
    </row>
    <row r="13" spans="1:22">
      <c r="A13" s="697"/>
      <c r="B13" s="709">
        <v>6.5000000000000002E-2</v>
      </c>
      <c r="C13" s="706" t="e">
        <v>#REF!</v>
      </c>
      <c r="D13" s="717" t="e">
        <v>#REF!</v>
      </c>
      <c r="E13" s="717" t="e">
        <v>#REF!</v>
      </c>
      <c r="F13" s="717" t="e">
        <v>#REF!</v>
      </c>
      <c r="G13" s="717" t="e">
        <v>#REF!</v>
      </c>
      <c r="H13" s="717" t="e">
        <v>#REF!</v>
      </c>
      <c r="I13" s="717" t="e">
        <v>#REF!</v>
      </c>
      <c r="J13" s="717" t="e">
        <v>#REF!</v>
      </c>
      <c r="K13" s="717" t="e">
        <v>#REF!</v>
      </c>
      <c r="L13" s="717" t="e">
        <v>#REF!</v>
      </c>
      <c r="M13" s="717" t="e">
        <v>#REF!</v>
      </c>
      <c r="N13" s="635"/>
      <c r="O13" s="635"/>
      <c r="P13" s="635"/>
      <c r="Q13" s="635"/>
      <c r="R13" s="527"/>
      <c r="S13" s="527"/>
      <c r="T13" s="527"/>
      <c r="U13" s="527"/>
      <c r="V13" s="527"/>
    </row>
    <row r="14" spans="1:22">
      <c r="A14" s="697"/>
      <c r="B14" s="707">
        <v>7.0000000000000007E-2</v>
      </c>
      <c r="C14" s="708" t="e">
        <v>#REF!</v>
      </c>
      <c r="D14" s="716" t="e">
        <v>#REF!</v>
      </c>
      <c r="E14" s="716" t="e">
        <v>#REF!</v>
      </c>
      <c r="F14" s="716" t="e">
        <v>#REF!</v>
      </c>
      <c r="G14" s="716" t="e">
        <v>#REF!</v>
      </c>
      <c r="H14" s="716" t="e">
        <v>#REF!</v>
      </c>
      <c r="I14" s="716" t="e">
        <v>#REF!</v>
      </c>
      <c r="J14" s="716" t="e">
        <v>#REF!</v>
      </c>
      <c r="K14" s="716" t="e">
        <v>#REF!</v>
      </c>
      <c r="L14" s="716" t="e">
        <v>#REF!</v>
      </c>
      <c r="M14" s="716" t="e">
        <v>#REF!</v>
      </c>
      <c r="N14" s="635"/>
      <c r="O14" s="635"/>
      <c r="P14" s="635"/>
      <c r="Q14" s="635"/>
      <c r="R14" s="527"/>
      <c r="S14" s="527"/>
      <c r="T14" s="527"/>
      <c r="U14" s="527"/>
      <c r="V14" s="527"/>
    </row>
    <row r="15" spans="1:22">
      <c r="A15" s="697"/>
      <c r="B15" s="710">
        <v>7.4999999999999997E-2</v>
      </c>
      <c r="C15" s="706" t="e">
        <v>#REF!</v>
      </c>
      <c r="D15" s="717" t="e">
        <v>#REF!</v>
      </c>
      <c r="E15" s="717" t="e">
        <v>#REF!</v>
      </c>
      <c r="F15" s="717" t="e">
        <v>#REF!</v>
      </c>
      <c r="G15" s="717" t="e">
        <v>#REF!</v>
      </c>
      <c r="H15" s="717" t="e">
        <v>#REF!</v>
      </c>
      <c r="I15" s="717" t="e">
        <v>#REF!</v>
      </c>
      <c r="J15" s="717" t="e">
        <v>#REF!</v>
      </c>
      <c r="K15" s="717" t="e">
        <v>#REF!</v>
      </c>
      <c r="L15" s="717" t="e">
        <v>#REF!</v>
      </c>
      <c r="M15" s="717" t="e">
        <v>#REF!</v>
      </c>
      <c r="N15" s="635"/>
      <c r="O15" s="635"/>
      <c r="P15" s="635"/>
      <c r="Q15" s="635"/>
      <c r="R15" s="527"/>
      <c r="S15" s="527"/>
      <c r="T15" s="527"/>
      <c r="U15" s="527"/>
      <c r="V15" s="527"/>
    </row>
    <row r="16" spans="1:22">
      <c r="A16" s="697"/>
      <c r="B16" s="707">
        <v>0.08</v>
      </c>
      <c r="C16" s="708" t="e">
        <v>#REF!</v>
      </c>
      <c r="D16" s="716" t="e">
        <v>#REF!</v>
      </c>
      <c r="E16" s="716" t="e">
        <v>#REF!</v>
      </c>
      <c r="F16" s="716" t="e">
        <v>#REF!</v>
      </c>
      <c r="G16" s="716" t="e">
        <v>#REF!</v>
      </c>
      <c r="H16" s="716" t="e">
        <v>#REF!</v>
      </c>
      <c r="I16" s="716" t="e">
        <v>#REF!</v>
      </c>
      <c r="J16" s="716" t="e">
        <v>#REF!</v>
      </c>
      <c r="K16" s="716" t="e">
        <v>#REF!</v>
      </c>
      <c r="L16" s="716" t="e">
        <v>#REF!</v>
      </c>
      <c r="M16" s="716" t="e">
        <v>#REF!</v>
      </c>
      <c r="N16" s="635"/>
      <c r="O16" s="635"/>
      <c r="P16" s="635"/>
      <c r="Q16" s="635"/>
      <c r="R16" s="527"/>
      <c r="S16" s="527"/>
      <c r="T16" s="527"/>
      <c r="U16" s="527"/>
      <c r="V16" s="527"/>
    </row>
    <row r="17" spans="1:22">
      <c r="A17" s="697"/>
      <c r="B17" s="709">
        <v>8.5000000000000006E-2</v>
      </c>
      <c r="C17" s="706" t="e">
        <v>#REF!</v>
      </c>
      <c r="D17" s="717" t="e">
        <v>#REF!</v>
      </c>
      <c r="E17" s="717" t="e">
        <v>#REF!</v>
      </c>
      <c r="F17" s="717" t="e">
        <v>#REF!</v>
      </c>
      <c r="G17" s="717" t="e">
        <v>#REF!</v>
      </c>
      <c r="H17" s="717" t="e">
        <v>#REF!</v>
      </c>
      <c r="I17" s="717" t="e">
        <v>#REF!</v>
      </c>
      <c r="J17" s="717" t="e">
        <v>#REF!</v>
      </c>
      <c r="K17" s="717" t="e">
        <v>#REF!</v>
      </c>
      <c r="L17" s="717" t="e">
        <v>#REF!</v>
      </c>
      <c r="M17" s="717" t="e">
        <v>#REF!</v>
      </c>
      <c r="N17" s="635"/>
      <c r="O17" s="635"/>
      <c r="P17" s="635"/>
      <c r="Q17" s="635"/>
      <c r="R17" s="527"/>
      <c r="S17" s="527"/>
      <c r="T17" s="527"/>
      <c r="U17" s="527"/>
      <c r="V17" s="527"/>
    </row>
    <row r="18" spans="1:22">
      <c r="A18" s="697"/>
      <c r="B18" s="707">
        <v>0.09</v>
      </c>
      <c r="C18" s="708" t="e">
        <v>#REF!</v>
      </c>
      <c r="D18" s="716" t="e">
        <v>#REF!</v>
      </c>
      <c r="E18" s="716" t="e">
        <v>#REF!</v>
      </c>
      <c r="F18" s="716" t="e">
        <v>#REF!</v>
      </c>
      <c r="G18" s="716" t="e">
        <v>#REF!</v>
      </c>
      <c r="H18" s="716" t="e">
        <v>#REF!</v>
      </c>
      <c r="I18" s="716" t="e">
        <v>#REF!</v>
      </c>
      <c r="J18" s="716" t="e">
        <v>#REF!</v>
      </c>
      <c r="K18" s="716" t="e">
        <v>#REF!</v>
      </c>
      <c r="L18" s="716" t="e">
        <v>#REF!</v>
      </c>
      <c r="M18" s="716" t="e">
        <v>#REF!</v>
      </c>
      <c r="N18" s="635"/>
      <c r="O18" s="635"/>
      <c r="P18" s="635"/>
      <c r="Q18" s="635"/>
      <c r="R18" s="527"/>
      <c r="S18" s="527"/>
      <c r="T18" s="527"/>
      <c r="U18" s="527"/>
      <c r="V18" s="527"/>
    </row>
    <row r="19" spans="1:22">
      <c r="A19" s="702" t="s">
        <v>373</v>
      </c>
      <c r="B19" s="709">
        <v>9.5000000000000001E-2</v>
      </c>
      <c r="C19" s="706" t="e">
        <v>#REF!</v>
      </c>
      <c r="D19" s="717" t="e">
        <v>#REF!</v>
      </c>
      <c r="E19" s="717" t="e">
        <v>#REF!</v>
      </c>
      <c r="F19" s="717" t="e">
        <v>#REF!</v>
      </c>
      <c r="G19" s="717" t="e">
        <v>#REF!</v>
      </c>
      <c r="H19" s="717" t="e">
        <v>#REF!</v>
      </c>
      <c r="I19" s="717" t="e">
        <v>#REF!</v>
      </c>
      <c r="J19" s="717" t="e">
        <v>#REF!</v>
      </c>
      <c r="K19" s="717" t="e">
        <v>#REF!</v>
      </c>
      <c r="L19" s="717" t="e">
        <v>#REF!</v>
      </c>
      <c r="M19" s="717" t="e">
        <v>#REF!</v>
      </c>
      <c r="N19" s="635"/>
      <c r="O19" s="635"/>
      <c r="P19" s="635"/>
      <c r="Q19" s="635"/>
      <c r="R19" s="527"/>
      <c r="S19" s="527"/>
      <c r="T19" s="527"/>
      <c r="U19" s="527"/>
      <c r="V19" s="527"/>
    </row>
    <row r="20" spans="1:22">
      <c r="A20" s="702" t="s">
        <v>235</v>
      </c>
      <c r="B20" s="707">
        <v>0.1</v>
      </c>
      <c r="C20" s="708" t="e">
        <v>#REF!</v>
      </c>
      <c r="D20" s="716" t="e">
        <v>#REF!</v>
      </c>
      <c r="E20" s="716" t="e">
        <v>#REF!</v>
      </c>
      <c r="F20" s="716" t="e">
        <v>#REF!</v>
      </c>
      <c r="G20" s="716" t="e">
        <v>#REF!</v>
      </c>
      <c r="H20" s="716" t="e">
        <v>#REF!</v>
      </c>
      <c r="I20" s="716" t="e">
        <v>#REF!</v>
      </c>
      <c r="J20" s="716" t="e">
        <v>#REF!</v>
      </c>
      <c r="K20" s="716" t="e">
        <v>#REF!</v>
      </c>
      <c r="L20" s="716" t="e">
        <v>#REF!</v>
      </c>
      <c r="M20" s="716" t="e">
        <v>#REF!</v>
      </c>
      <c r="N20" s="635"/>
      <c r="O20" s="635"/>
      <c r="P20" s="635"/>
      <c r="Q20" s="635"/>
      <c r="R20" s="527"/>
      <c r="S20" s="527"/>
      <c r="T20" s="527"/>
      <c r="U20" s="527"/>
      <c r="V20" s="527"/>
    </row>
    <row r="21" spans="1:22">
      <c r="A21" s="697"/>
      <c r="B21" s="709">
        <v>0.105</v>
      </c>
      <c r="C21" s="706" t="e">
        <v>#REF!</v>
      </c>
      <c r="D21" s="717" t="e">
        <v>#REF!</v>
      </c>
      <c r="E21" s="717" t="e">
        <v>#REF!</v>
      </c>
      <c r="F21" s="717" t="e">
        <v>#REF!</v>
      </c>
      <c r="G21" s="717" t="e">
        <v>#REF!</v>
      </c>
      <c r="H21" s="717" t="e">
        <v>#REF!</v>
      </c>
      <c r="I21" s="717" t="e">
        <v>#REF!</v>
      </c>
      <c r="J21" s="717" t="e">
        <v>#REF!</v>
      </c>
      <c r="K21" s="717" t="e">
        <v>#REF!</v>
      </c>
      <c r="L21" s="717" t="e">
        <v>#REF!</v>
      </c>
      <c r="M21" s="717" t="e">
        <v>#REF!</v>
      </c>
      <c r="N21" s="635"/>
      <c r="O21" s="635"/>
      <c r="P21" s="635"/>
      <c r="Q21" s="635"/>
      <c r="R21" s="527"/>
      <c r="S21" s="527"/>
      <c r="T21" s="527"/>
      <c r="U21" s="527"/>
      <c r="V21" s="527"/>
    </row>
    <row r="22" spans="1:22">
      <c r="A22" s="697"/>
      <c r="B22" s="707">
        <v>0.11</v>
      </c>
      <c r="C22" s="708" t="e">
        <v>#REF!</v>
      </c>
      <c r="D22" s="716" t="e">
        <v>#REF!</v>
      </c>
      <c r="E22" s="716" t="e">
        <v>#REF!</v>
      </c>
      <c r="F22" s="716" t="e">
        <v>#REF!</v>
      </c>
      <c r="G22" s="716" t="e">
        <v>#REF!</v>
      </c>
      <c r="H22" s="716" t="e">
        <v>#REF!</v>
      </c>
      <c r="I22" s="716" t="e">
        <v>#REF!</v>
      </c>
      <c r="J22" s="716" t="e">
        <v>#REF!</v>
      </c>
      <c r="K22" s="716" t="e">
        <v>#REF!</v>
      </c>
      <c r="L22" s="716" t="e">
        <v>#REF!</v>
      </c>
      <c r="M22" s="716" t="e">
        <v>#REF!</v>
      </c>
      <c r="N22" s="635"/>
      <c r="O22" s="635"/>
      <c r="P22" s="635"/>
      <c r="Q22" s="635"/>
      <c r="R22" s="527"/>
      <c r="S22" s="527"/>
      <c r="T22" s="527"/>
      <c r="U22" s="527"/>
      <c r="V22" s="527"/>
    </row>
    <row r="23" spans="1:22">
      <c r="A23" s="697"/>
      <c r="B23" s="709">
        <v>0.115</v>
      </c>
      <c r="C23" s="706" t="e">
        <v>#REF!</v>
      </c>
      <c r="D23" s="717" t="e">
        <v>#REF!</v>
      </c>
      <c r="E23" s="717" t="e">
        <v>#REF!</v>
      </c>
      <c r="F23" s="717" t="e">
        <v>#REF!</v>
      </c>
      <c r="G23" s="717" t="e">
        <v>#REF!</v>
      </c>
      <c r="H23" s="717" t="e">
        <v>#REF!</v>
      </c>
      <c r="I23" s="717" t="e">
        <v>#REF!</v>
      </c>
      <c r="J23" s="717" t="e">
        <v>#REF!</v>
      </c>
      <c r="K23" s="717" t="e">
        <v>#REF!</v>
      </c>
      <c r="L23" s="717" t="e">
        <v>#REF!</v>
      </c>
      <c r="M23" s="717" t="e">
        <v>#REF!</v>
      </c>
      <c r="N23" s="635"/>
      <c r="O23" s="635"/>
      <c r="P23" s="635"/>
      <c r="Q23" s="635"/>
      <c r="R23" s="527"/>
      <c r="S23" s="527"/>
      <c r="T23" s="527"/>
      <c r="U23" s="527"/>
      <c r="V23" s="527"/>
    </row>
    <row r="24" spans="1:22">
      <c r="A24" s="697"/>
      <c r="B24" s="707">
        <v>0.12</v>
      </c>
      <c r="C24" s="708" t="e">
        <v>#REF!</v>
      </c>
      <c r="D24" s="716" t="e">
        <v>#REF!</v>
      </c>
      <c r="E24" s="716" t="e">
        <v>#REF!</v>
      </c>
      <c r="F24" s="716" t="e">
        <v>#REF!</v>
      </c>
      <c r="G24" s="716" t="e">
        <v>#REF!</v>
      </c>
      <c r="H24" s="716" t="e">
        <v>#REF!</v>
      </c>
      <c r="I24" s="716" t="e">
        <v>#REF!</v>
      </c>
      <c r="J24" s="716" t="e">
        <v>#REF!</v>
      </c>
      <c r="K24" s="716" t="e">
        <v>#REF!</v>
      </c>
      <c r="L24" s="716" t="e">
        <v>#REF!</v>
      </c>
      <c r="M24" s="716" t="e">
        <v>#REF!</v>
      </c>
      <c r="N24" s="635"/>
      <c r="O24" s="635"/>
      <c r="P24" s="635"/>
      <c r="Q24" s="635"/>
      <c r="R24" s="527"/>
      <c r="S24" s="527"/>
      <c r="T24" s="527"/>
      <c r="U24" s="527"/>
      <c r="V24" s="527"/>
    </row>
    <row r="25" spans="1:22">
      <c r="A25" s="697"/>
      <c r="B25" s="709">
        <v>0.125</v>
      </c>
      <c r="C25" s="706" t="e">
        <v>#REF!</v>
      </c>
      <c r="D25" s="717" t="e">
        <v>#REF!</v>
      </c>
      <c r="E25" s="717" t="e">
        <v>#REF!</v>
      </c>
      <c r="F25" s="717" t="e">
        <v>#REF!</v>
      </c>
      <c r="G25" s="717" t="e">
        <v>#REF!</v>
      </c>
      <c r="H25" s="717" t="e">
        <v>#REF!</v>
      </c>
      <c r="I25" s="717" t="e">
        <v>#REF!</v>
      </c>
      <c r="J25" s="816" t="e">
        <v>#REF!</v>
      </c>
      <c r="K25" s="717" t="e">
        <v>#REF!</v>
      </c>
      <c r="L25" s="717" t="e">
        <v>#REF!</v>
      </c>
      <c r="M25" s="717" t="e">
        <v>#REF!</v>
      </c>
      <c r="N25" s="635"/>
      <c r="O25" s="635"/>
      <c r="P25" s="635"/>
      <c r="Q25" s="635"/>
      <c r="R25" s="527"/>
      <c r="S25" s="527"/>
      <c r="T25" s="527"/>
      <c r="U25" s="527"/>
      <c r="V25" s="527"/>
    </row>
    <row r="26" spans="1:22">
      <c r="A26" s="697"/>
      <c r="B26" s="707">
        <v>0.13</v>
      </c>
      <c r="C26" s="708" t="e">
        <v>#REF!</v>
      </c>
      <c r="D26" s="716" t="e">
        <v>#REF!</v>
      </c>
      <c r="E26" s="716" t="e">
        <v>#REF!</v>
      </c>
      <c r="F26" s="716" t="e">
        <v>#REF!</v>
      </c>
      <c r="G26" s="716" t="e">
        <v>#REF!</v>
      </c>
      <c r="H26" s="716" t="e">
        <v>#REF!</v>
      </c>
      <c r="I26" s="716" t="e">
        <v>#REF!</v>
      </c>
      <c r="J26" s="716" t="e">
        <v>#REF!</v>
      </c>
      <c r="K26" s="716" t="e">
        <v>#REF!</v>
      </c>
      <c r="L26" s="716" t="e">
        <v>#REF!</v>
      </c>
      <c r="M26" s="716" t="e">
        <v>#REF!</v>
      </c>
      <c r="N26" s="635"/>
      <c r="O26" s="635"/>
      <c r="P26" s="635"/>
      <c r="Q26" s="635"/>
      <c r="R26" s="527"/>
      <c r="S26" s="527"/>
      <c r="T26" s="527"/>
      <c r="U26" s="527"/>
      <c r="V26" s="527"/>
    </row>
    <row r="27" spans="1:22">
      <c r="A27" s="697"/>
      <c r="B27" s="709">
        <v>0.13500000000000001</v>
      </c>
      <c r="C27" s="706" t="e">
        <v>#REF!</v>
      </c>
      <c r="D27" s="717" t="e">
        <v>#REF!</v>
      </c>
      <c r="E27" s="717" t="e">
        <v>#REF!</v>
      </c>
      <c r="F27" s="717" t="e">
        <v>#REF!</v>
      </c>
      <c r="G27" s="717" t="e">
        <v>#REF!</v>
      </c>
      <c r="H27" s="717" t="e">
        <v>#REF!</v>
      </c>
      <c r="I27" s="717" t="e">
        <v>#REF!</v>
      </c>
      <c r="J27" s="717" t="e">
        <v>#REF!</v>
      </c>
      <c r="K27" s="717" t="e">
        <v>#REF!</v>
      </c>
      <c r="L27" s="717" t="e">
        <v>#REF!</v>
      </c>
      <c r="M27" s="717" t="e">
        <v>#REF!</v>
      </c>
      <c r="N27" s="635"/>
      <c r="O27" s="635"/>
      <c r="P27" s="635"/>
      <c r="Q27" s="635"/>
      <c r="R27" s="527"/>
      <c r="S27" s="527"/>
      <c r="T27" s="527"/>
      <c r="U27" s="527"/>
      <c r="V27" s="527"/>
    </row>
    <row r="28" spans="1:22">
      <c r="A28" s="697"/>
      <c r="B28" s="699">
        <v>0.14000000000000001</v>
      </c>
      <c r="C28" s="705" t="e">
        <v>#REF!</v>
      </c>
      <c r="D28" s="748" t="e">
        <v>#REF!</v>
      </c>
      <c r="E28" s="748" t="e">
        <v>#REF!</v>
      </c>
      <c r="F28" s="748" t="e">
        <v>#REF!</v>
      </c>
      <c r="G28" s="748" t="e">
        <v>#REF!</v>
      </c>
      <c r="H28" s="748" t="e">
        <v>#REF!</v>
      </c>
      <c r="I28" s="748" t="e">
        <v>#REF!</v>
      </c>
      <c r="J28" s="748" t="e">
        <v>#REF!</v>
      </c>
      <c r="K28" s="748" t="e">
        <v>#REF!</v>
      </c>
      <c r="L28" s="748" t="e">
        <v>#REF!</v>
      </c>
      <c r="M28" s="748" t="e">
        <v>#REF!</v>
      </c>
      <c r="N28" s="635"/>
      <c r="O28" s="635"/>
      <c r="P28" s="635"/>
      <c r="Q28" s="635"/>
      <c r="R28" s="527"/>
      <c r="S28" s="527"/>
      <c r="T28" s="527"/>
      <c r="U28" s="527"/>
      <c r="V28" s="527"/>
    </row>
    <row r="29" spans="1:22">
      <c r="A29" s="700"/>
      <c r="B29" s="701">
        <v>0.14499999999999999</v>
      </c>
      <c r="C29" s="706" t="e">
        <v>#REF!</v>
      </c>
      <c r="D29" s="717" t="e">
        <v>#REF!</v>
      </c>
      <c r="E29" s="717" t="e">
        <v>#REF!</v>
      </c>
      <c r="F29" s="717" t="e">
        <v>#REF!</v>
      </c>
      <c r="G29" s="717" t="e">
        <v>#REF!</v>
      </c>
      <c r="H29" s="717" t="e">
        <v>#REF!</v>
      </c>
      <c r="I29" s="717" t="e">
        <v>#REF!</v>
      </c>
      <c r="J29" s="717" t="e">
        <v>#REF!</v>
      </c>
      <c r="K29" s="717" t="e">
        <v>#REF!</v>
      </c>
      <c r="L29" s="717" t="e">
        <v>#REF!</v>
      </c>
      <c r="M29" s="706" t="e">
        <v>#REF!</v>
      </c>
      <c r="N29" s="527"/>
      <c r="O29" s="527"/>
      <c r="P29" s="527"/>
      <c r="Q29" s="527"/>
      <c r="R29" s="527"/>
      <c r="S29" s="527"/>
      <c r="T29" s="527"/>
      <c r="U29" s="527"/>
      <c r="V29" s="527"/>
    </row>
    <row r="31" spans="1:22" ht="15.75">
      <c r="A31" s="563" t="s">
        <v>376</v>
      </c>
      <c r="B31" s="442"/>
      <c r="C31" s="442"/>
      <c r="D31" s="442"/>
      <c r="E31" s="442"/>
      <c r="F31" s="442"/>
      <c r="G31" s="442"/>
      <c r="H31" s="442"/>
      <c r="I31" s="442"/>
      <c r="J31" s="442"/>
      <c r="K31" s="442"/>
      <c r="L31" s="442"/>
      <c r="M31" s="442"/>
      <c r="N31" s="442"/>
      <c r="O31" s="442"/>
      <c r="P31" s="442"/>
      <c r="Q31" s="442"/>
    </row>
    <row r="32" spans="1:22" ht="13.5" thickBot="1">
      <c r="A32" s="713" t="s">
        <v>370</v>
      </c>
      <c r="B32" s="685"/>
      <c r="C32" s="714">
        <v>1</v>
      </c>
      <c r="D32" s="714">
        <v>2</v>
      </c>
      <c r="E32" s="714">
        <v>3</v>
      </c>
      <c r="F32" s="714">
        <v>4</v>
      </c>
      <c r="G32" s="714">
        <v>5</v>
      </c>
      <c r="H32" s="714">
        <v>6</v>
      </c>
      <c r="I32" s="714">
        <v>7</v>
      </c>
      <c r="J32" s="714">
        <v>8</v>
      </c>
      <c r="K32" s="714">
        <v>9</v>
      </c>
      <c r="L32" s="714">
        <v>10</v>
      </c>
      <c r="M32" s="714">
        <v>11</v>
      </c>
      <c r="N32" s="714">
        <v>12</v>
      </c>
      <c r="O32" s="714">
        <v>13</v>
      </c>
      <c r="P32" s="714">
        <v>14</v>
      </c>
      <c r="Q32" s="715">
        <v>15</v>
      </c>
    </row>
    <row r="33" spans="1:17" ht="13.5" thickTop="1">
      <c r="A33" s="576" t="s">
        <v>377</v>
      </c>
      <c r="B33" s="35"/>
      <c r="C33" s="527">
        <f>'Pipeline Co DCF'!$Q$17*Scenarios!C32</f>
        <v>352030.95188408584</v>
      </c>
      <c r="D33" s="527">
        <f>'Pipeline Co DCF'!$Q$17*Scenarios!D32</f>
        <v>704061.90376817167</v>
      </c>
      <c r="E33" s="527">
        <f>'Pipeline Co DCF'!$Q$17*Scenarios!E32</f>
        <v>1056092.8556522576</v>
      </c>
      <c r="F33" s="527">
        <f>'Pipeline Co DCF'!$Q$17*Scenarios!F32</f>
        <v>1408123.8075363433</v>
      </c>
      <c r="G33" s="527">
        <f>'Pipeline Co DCF'!$Q$17*Scenarios!G32</f>
        <v>1760154.7594204291</v>
      </c>
      <c r="H33" s="527">
        <f>'Pipeline Co DCF'!$Q$17*Scenarios!H32</f>
        <v>2112185.7113045151</v>
      </c>
      <c r="I33" s="527">
        <f>'Pipeline Co DCF'!$Q$17*Scenarios!I32</f>
        <v>2464216.6631886009</v>
      </c>
      <c r="J33" s="527">
        <f>'Pipeline Co DCF'!$Q$17*Scenarios!J32</f>
        <v>2816247.6150726867</v>
      </c>
      <c r="K33" s="527">
        <f>'Pipeline Co DCF'!$Q$17*Scenarios!K32</f>
        <v>3168278.5669567725</v>
      </c>
      <c r="L33" s="527">
        <f>'Pipeline Co DCF'!$Q$17*Scenarios!L32</f>
        <v>3520309.5188408582</v>
      </c>
      <c r="M33" s="527">
        <f>'Pipeline Co DCF'!$Q$17*Scenarios!M32</f>
        <v>3872340.470724944</v>
      </c>
      <c r="N33" s="527">
        <f>'Pipeline Co DCF'!$Q$17*Scenarios!N32</f>
        <v>4224371.4226090303</v>
      </c>
      <c r="O33" s="527">
        <f>'Pipeline Co DCF'!$Q$17*Scenarios!O32</f>
        <v>4576402.3744931156</v>
      </c>
      <c r="P33" s="527">
        <f>'Pipeline Co DCF'!$Q$17*Scenarios!P32</f>
        <v>4928433.3263772018</v>
      </c>
      <c r="Q33" s="615">
        <f>'Pipeline Co DCF'!$Q$17*Scenarios!Q32</f>
        <v>5280464.2782612871</v>
      </c>
    </row>
    <row r="34" spans="1:17">
      <c r="A34" s="576" t="s">
        <v>378</v>
      </c>
      <c r="B34" s="35"/>
      <c r="C34" s="434" t="e">
        <f>'Pipeline Co DCF'!#REF!</f>
        <v>#REF!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265"/>
    </row>
    <row r="35" spans="1:17">
      <c r="A35" s="577" t="s">
        <v>379</v>
      </c>
      <c r="B35" s="355"/>
      <c r="C35" s="735">
        <v>8.5000000000000006E-2</v>
      </c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266"/>
    </row>
    <row r="36" spans="1:17">
      <c r="A36" s="711" t="s">
        <v>380</v>
      </c>
      <c r="B36" s="355"/>
      <c r="C36" s="701" t="e">
        <f>(-$C$34/C33)+$C$35</f>
        <v>#REF!</v>
      </c>
      <c r="D36" s="701" t="e">
        <f t="shared" ref="D36:Q36" si="0">(-$C$34/D33)+$C$35</f>
        <v>#REF!</v>
      </c>
      <c r="E36" s="701" t="e">
        <f t="shared" si="0"/>
        <v>#REF!</v>
      </c>
      <c r="F36" s="701" t="e">
        <f t="shared" si="0"/>
        <v>#REF!</v>
      </c>
      <c r="G36" s="701" t="e">
        <f t="shared" si="0"/>
        <v>#REF!</v>
      </c>
      <c r="H36" s="701" t="e">
        <f t="shared" si="0"/>
        <v>#REF!</v>
      </c>
      <c r="I36" s="701" t="e">
        <f t="shared" si="0"/>
        <v>#REF!</v>
      </c>
      <c r="J36" s="701" t="e">
        <f t="shared" si="0"/>
        <v>#REF!</v>
      </c>
      <c r="K36" s="701" t="e">
        <f t="shared" si="0"/>
        <v>#REF!</v>
      </c>
      <c r="L36" s="701" t="e">
        <f t="shared" si="0"/>
        <v>#REF!</v>
      </c>
      <c r="M36" s="701" t="e">
        <f t="shared" si="0"/>
        <v>#REF!</v>
      </c>
      <c r="N36" s="701" t="e">
        <f t="shared" si="0"/>
        <v>#REF!</v>
      </c>
      <c r="O36" s="701" t="e">
        <f t="shared" si="0"/>
        <v>#REF!</v>
      </c>
      <c r="P36" s="701" t="e">
        <f t="shared" si="0"/>
        <v>#REF!</v>
      </c>
      <c r="Q36" s="712" t="e">
        <f t="shared" si="0"/>
        <v>#REF!</v>
      </c>
    </row>
    <row r="37" spans="1:17">
      <c r="A37" s="117"/>
      <c r="B37" s="35"/>
      <c r="C37" s="699"/>
      <c r="D37" s="699"/>
      <c r="E37" s="699"/>
      <c r="F37" s="699"/>
      <c r="G37" s="699"/>
      <c r="H37" s="699"/>
      <c r="I37" s="699"/>
      <c r="J37" s="699"/>
      <c r="K37" s="699"/>
      <c r="L37" s="699"/>
      <c r="M37" s="699"/>
      <c r="N37" s="699"/>
      <c r="O37" s="699"/>
      <c r="P37" s="699"/>
      <c r="Q37" s="699"/>
    </row>
    <row r="38" spans="1:17" ht="15.75">
      <c r="A38" s="563" t="s">
        <v>386</v>
      </c>
      <c r="B38" s="442"/>
      <c r="C38" s="442"/>
      <c r="D38" s="442"/>
      <c r="E38" s="442"/>
      <c r="F38" s="442"/>
      <c r="G38" s="442"/>
      <c r="H38" s="442"/>
      <c r="I38" s="442"/>
      <c r="J38" s="442"/>
      <c r="K38" s="442"/>
      <c r="L38" s="442"/>
      <c r="M38" s="442"/>
      <c r="N38" s="442"/>
      <c r="O38" s="442"/>
      <c r="P38" s="442"/>
      <c r="Q38" s="442"/>
    </row>
    <row r="39" spans="1:17" ht="13.5" thickBot="1">
      <c r="A39" s="713" t="s">
        <v>370</v>
      </c>
      <c r="B39" s="685"/>
      <c r="C39" s="714">
        <v>1</v>
      </c>
      <c r="D39" s="714">
        <v>2</v>
      </c>
      <c r="E39" s="714">
        <v>3</v>
      </c>
      <c r="F39" s="714">
        <v>4</v>
      </c>
      <c r="G39" s="714">
        <v>5</v>
      </c>
      <c r="H39" s="714">
        <v>6</v>
      </c>
      <c r="I39" s="714">
        <v>7</v>
      </c>
      <c r="J39" s="714">
        <v>8</v>
      </c>
      <c r="K39" s="714">
        <v>9</v>
      </c>
      <c r="L39" s="714">
        <v>10</v>
      </c>
      <c r="M39" s="714">
        <v>11</v>
      </c>
      <c r="N39" s="714">
        <v>12</v>
      </c>
      <c r="O39" s="714">
        <v>13</v>
      </c>
      <c r="P39" s="714">
        <v>14</v>
      </c>
      <c r="Q39" s="715">
        <v>15</v>
      </c>
    </row>
    <row r="40" spans="1:17" ht="13.5" thickTop="1">
      <c r="A40" s="576" t="s">
        <v>377</v>
      </c>
      <c r="B40" s="35"/>
      <c r="C40" s="527">
        <f>'Pipeline Co DCF'!$Q$17*Scenarios!C39</f>
        <v>352030.95188408584</v>
      </c>
      <c r="D40" s="527">
        <f>'Pipeline Co DCF'!$Q$17*Scenarios!D39</f>
        <v>704061.90376817167</v>
      </c>
      <c r="E40" s="527">
        <f>'Pipeline Co DCF'!$Q$17*Scenarios!E39</f>
        <v>1056092.8556522576</v>
      </c>
      <c r="F40" s="527">
        <f>'Pipeline Co DCF'!$Q$17*Scenarios!F39</f>
        <v>1408123.8075363433</v>
      </c>
      <c r="G40" s="527">
        <f>'Pipeline Co DCF'!$Q$17*Scenarios!G39</f>
        <v>1760154.7594204291</v>
      </c>
      <c r="H40" s="527">
        <f>'Pipeline Co DCF'!$Q$17*Scenarios!H39</f>
        <v>2112185.7113045151</v>
      </c>
      <c r="I40" s="527">
        <f>'Pipeline Co DCF'!$Q$17*Scenarios!I39</f>
        <v>2464216.6631886009</v>
      </c>
      <c r="J40" s="527">
        <f>'Pipeline Co DCF'!$Q$17*Scenarios!J39</f>
        <v>2816247.6150726867</v>
      </c>
      <c r="K40" s="527">
        <f>'Pipeline Co DCF'!$Q$17*Scenarios!K39</f>
        <v>3168278.5669567725</v>
      </c>
      <c r="L40" s="527">
        <f>'Pipeline Co DCF'!$Q$17*Scenarios!L39</f>
        <v>3520309.5188408582</v>
      </c>
      <c r="M40" s="527">
        <f>'Pipeline Co DCF'!$Q$17*Scenarios!M39</f>
        <v>3872340.470724944</v>
      </c>
      <c r="N40" s="527">
        <f>'Pipeline Co DCF'!$Q$17*Scenarios!N39</f>
        <v>4224371.4226090303</v>
      </c>
      <c r="O40" s="527">
        <f>'Pipeline Co DCF'!$Q$17*Scenarios!O39</f>
        <v>4576402.3744931156</v>
      </c>
      <c r="P40" s="527">
        <f>'Pipeline Co DCF'!$Q$17*Scenarios!P39</f>
        <v>4928433.3263772018</v>
      </c>
      <c r="Q40" s="615">
        <f>'Pipeline Co DCF'!$Q$17*Scenarios!Q39</f>
        <v>5280464.2782612871</v>
      </c>
    </row>
    <row r="41" spans="1:17">
      <c r="A41" s="576" t="s">
        <v>378</v>
      </c>
      <c r="B41" s="35"/>
      <c r="C41" s="434" t="e">
        <f>'Pipeline Co DCF'!#REF!</f>
        <v>#REF!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265"/>
    </row>
    <row r="42" spans="1:17">
      <c r="A42" s="577" t="s">
        <v>379</v>
      </c>
      <c r="B42" s="355"/>
      <c r="C42" s="735">
        <v>0.125</v>
      </c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266"/>
    </row>
    <row r="43" spans="1:17">
      <c r="A43" s="633" t="s">
        <v>380</v>
      </c>
      <c r="B43" s="34"/>
      <c r="C43" s="733" t="e">
        <f>(-$C$34/C40)+$C$42</f>
        <v>#REF!</v>
      </c>
      <c r="D43" s="733" t="e">
        <f t="shared" ref="D43:Q43" si="1">(-$C$34/D40)+$C$42</f>
        <v>#REF!</v>
      </c>
      <c r="E43" s="733" t="e">
        <f t="shared" si="1"/>
        <v>#REF!</v>
      </c>
      <c r="F43" s="733" t="e">
        <f t="shared" si="1"/>
        <v>#REF!</v>
      </c>
      <c r="G43" s="733" t="e">
        <f t="shared" si="1"/>
        <v>#REF!</v>
      </c>
      <c r="H43" s="733" t="e">
        <f t="shared" si="1"/>
        <v>#REF!</v>
      </c>
      <c r="I43" s="733" t="e">
        <f t="shared" si="1"/>
        <v>#REF!</v>
      </c>
      <c r="J43" s="733" t="e">
        <f t="shared" si="1"/>
        <v>#REF!</v>
      </c>
      <c r="K43" s="733" t="e">
        <f t="shared" si="1"/>
        <v>#REF!</v>
      </c>
      <c r="L43" s="733" t="e">
        <f t="shared" si="1"/>
        <v>#REF!</v>
      </c>
      <c r="M43" s="733" t="e">
        <f t="shared" si="1"/>
        <v>#REF!</v>
      </c>
      <c r="N43" s="733" t="e">
        <f t="shared" si="1"/>
        <v>#REF!</v>
      </c>
      <c r="O43" s="733" t="e">
        <f t="shared" si="1"/>
        <v>#REF!</v>
      </c>
      <c r="P43" s="733" t="e">
        <f t="shared" si="1"/>
        <v>#REF!</v>
      </c>
      <c r="Q43" s="734" t="e">
        <f t="shared" si="1"/>
        <v>#REF!</v>
      </c>
    </row>
    <row r="45" spans="1:17" hidden="1" outlineLevel="1">
      <c r="A45" s="574" t="s">
        <v>53</v>
      </c>
      <c r="B45" s="720">
        <v>7.4999999999999997E-2</v>
      </c>
    </row>
    <row r="46" spans="1:17" hidden="1" outlineLevel="1">
      <c r="A46" s="577" t="s">
        <v>382</v>
      </c>
      <c r="B46" s="721">
        <v>0.6</v>
      </c>
    </row>
    <row r="47" spans="1:17" hidden="1" outlineLevel="1"/>
    <row r="48" spans="1:17" ht="15.75" collapsed="1">
      <c r="A48" s="563" t="s">
        <v>385</v>
      </c>
      <c r="B48" s="442"/>
      <c r="C48" s="442"/>
      <c r="D48" s="442"/>
      <c r="E48" s="442"/>
      <c r="F48" s="442"/>
      <c r="G48" s="442"/>
      <c r="H48" s="442"/>
      <c r="I48" s="442"/>
      <c r="J48" s="442"/>
      <c r="K48" s="442"/>
      <c r="L48" s="442"/>
      <c r="M48" s="442"/>
      <c r="N48" s="24"/>
      <c r="O48" s="24"/>
      <c r="P48" s="24"/>
      <c r="Q48" s="24"/>
    </row>
    <row r="49" spans="1:13">
      <c r="A49" s="574"/>
      <c r="B49" s="575"/>
      <c r="C49" s="1008" t="s">
        <v>383</v>
      </c>
      <c r="D49" s="1008"/>
      <c r="E49" s="1008"/>
      <c r="F49" s="1008"/>
      <c r="G49" s="1008"/>
      <c r="H49" s="1008"/>
      <c r="I49" s="1008"/>
      <c r="J49" s="1008"/>
      <c r="K49" s="1008"/>
      <c r="L49" s="1008"/>
      <c r="M49" s="1005"/>
    </row>
    <row r="50" spans="1:13" ht="13.5" thickBot="1">
      <c r="A50" s="576"/>
      <c r="B50" s="725" t="e">
        <f>'Lev. Consolid'!G9</f>
        <v>#VALUE!</v>
      </c>
      <c r="C50" s="722">
        <v>0</v>
      </c>
      <c r="D50" s="722">
        <v>0.1</v>
      </c>
      <c r="E50" s="722">
        <v>0.2</v>
      </c>
      <c r="F50" s="722">
        <v>0.3</v>
      </c>
      <c r="G50" s="722">
        <v>0.4</v>
      </c>
      <c r="H50" s="722">
        <v>0.5</v>
      </c>
      <c r="I50" s="722">
        <v>0.6</v>
      </c>
      <c r="J50" s="722">
        <v>0.7</v>
      </c>
      <c r="K50" s="722">
        <v>0.8</v>
      </c>
      <c r="L50" s="722">
        <v>0.9</v>
      </c>
      <c r="M50" s="726">
        <v>1</v>
      </c>
    </row>
    <row r="51" spans="1:13" ht="13.5" thickTop="1">
      <c r="A51" s="576"/>
      <c r="B51" s="723">
        <v>0.06</v>
      </c>
      <c r="C51" s="728" t="e">
        <f t="dataTable" ref="C51:M61" dt2D="1" dtr="0" r1="B46" r2="B45"/>
        <v>#VALUE!</v>
      </c>
      <c r="D51" s="728" t="e">
        <v>#VALUE!</v>
      </c>
      <c r="E51" s="728" t="e">
        <v>#VALUE!</v>
      </c>
      <c r="F51" s="728" t="e">
        <v>#VALUE!</v>
      </c>
      <c r="G51" s="728" t="e">
        <v>#VALUE!</v>
      </c>
      <c r="H51" s="728" t="e">
        <v>#VALUE!</v>
      </c>
      <c r="I51" s="728" t="e">
        <v>#VALUE!</v>
      </c>
      <c r="J51" s="728" t="e">
        <v>#VALUE!</v>
      </c>
      <c r="K51" s="728" t="e">
        <v>#VALUE!</v>
      </c>
      <c r="L51" s="728" t="e">
        <v>#VALUE!</v>
      </c>
      <c r="M51" s="729" t="e">
        <v>#VALUE!</v>
      </c>
    </row>
    <row r="52" spans="1:13">
      <c r="A52" s="576"/>
      <c r="B52" s="723">
        <v>6.5000000000000002E-2</v>
      </c>
      <c r="C52" s="728" t="e">
        <v>#VALUE!</v>
      </c>
      <c r="D52" s="728" t="e">
        <v>#VALUE!</v>
      </c>
      <c r="E52" s="728" t="e">
        <v>#VALUE!</v>
      </c>
      <c r="F52" s="728" t="e">
        <v>#VALUE!</v>
      </c>
      <c r="G52" s="728" t="e">
        <v>#VALUE!</v>
      </c>
      <c r="H52" s="728" t="e">
        <v>#VALUE!</v>
      </c>
      <c r="I52" s="728" t="e">
        <v>#VALUE!</v>
      </c>
      <c r="J52" s="728" t="e">
        <v>#VALUE!</v>
      </c>
      <c r="K52" s="728" t="e">
        <v>#VALUE!</v>
      </c>
      <c r="L52" s="728" t="e">
        <v>#VALUE!</v>
      </c>
      <c r="M52" s="729" t="e">
        <v>#VALUE!</v>
      </c>
    </row>
    <row r="53" spans="1:13">
      <c r="A53" s="576"/>
      <c r="B53" s="723">
        <v>7.0000000000000007E-2</v>
      </c>
      <c r="C53" s="728" t="e">
        <v>#VALUE!</v>
      </c>
      <c r="D53" s="728" t="e">
        <v>#VALUE!</v>
      </c>
      <c r="E53" s="728" t="e">
        <v>#VALUE!</v>
      </c>
      <c r="F53" s="728" t="e">
        <v>#VALUE!</v>
      </c>
      <c r="G53" s="728" t="e">
        <v>#VALUE!</v>
      </c>
      <c r="H53" s="600" t="e">
        <v>#VALUE!</v>
      </c>
      <c r="I53" s="600" t="e">
        <v>#VALUE!</v>
      </c>
      <c r="J53" s="600" t="e">
        <v>#VALUE!</v>
      </c>
      <c r="K53" s="728" t="e">
        <v>#VALUE!</v>
      </c>
      <c r="L53" s="728" t="e">
        <v>#VALUE!</v>
      </c>
      <c r="M53" s="729" t="e">
        <v>#VALUE!</v>
      </c>
    </row>
    <row r="54" spans="1:13">
      <c r="A54" s="576"/>
      <c r="B54" s="723">
        <v>7.4999999999999997E-2</v>
      </c>
      <c r="C54" s="728" t="e">
        <v>#VALUE!</v>
      </c>
      <c r="D54" s="728" t="e">
        <v>#VALUE!</v>
      </c>
      <c r="E54" s="728" t="e">
        <v>#VALUE!</v>
      </c>
      <c r="F54" s="728" t="e">
        <v>#VALUE!</v>
      </c>
      <c r="G54" s="728" t="e">
        <v>#VALUE!</v>
      </c>
      <c r="H54" s="732" t="e">
        <v>#VALUE!</v>
      </c>
      <c r="I54" s="732" t="e">
        <v>#VALUE!</v>
      </c>
      <c r="J54" s="732" t="e">
        <v>#VALUE!</v>
      </c>
      <c r="K54" s="728" t="e">
        <v>#VALUE!</v>
      </c>
      <c r="L54" s="728" t="e">
        <v>#VALUE!</v>
      </c>
      <c r="M54" s="729" t="e">
        <v>#VALUE!</v>
      </c>
    </row>
    <row r="55" spans="1:13">
      <c r="A55" s="727" t="s">
        <v>384</v>
      </c>
      <c r="B55" s="723">
        <v>0.08</v>
      </c>
      <c r="C55" s="728" t="e">
        <v>#VALUE!</v>
      </c>
      <c r="D55" s="728" t="e">
        <v>#VALUE!</v>
      </c>
      <c r="E55" s="728" t="e">
        <v>#VALUE!</v>
      </c>
      <c r="F55" s="728" t="e">
        <v>#VALUE!</v>
      </c>
      <c r="G55" s="728" t="e">
        <v>#VALUE!</v>
      </c>
      <c r="H55" s="732" t="e">
        <v>#VALUE!</v>
      </c>
      <c r="I55" s="732" t="e">
        <v>#VALUE!</v>
      </c>
      <c r="J55" s="732" t="e">
        <v>#VALUE!</v>
      </c>
      <c r="K55" s="728" t="e">
        <v>#VALUE!</v>
      </c>
      <c r="L55" s="728" t="e">
        <v>#VALUE!</v>
      </c>
      <c r="M55" s="729" t="e">
        <v>#VALUE!</v>
      </c>
    </row>
    <row r="56" spans="1:13">
      <c r="A56" s="727" t="s">
        <v>261</v>
      </c>
      <c r="B56" s="723">
        <v>8.5000000000000006E-2</v>
      </c>
      <c r="C56" s="728" t="e">
        <v>#VALUE!</v>
      </c>
      <c r="D56" s="728" t="e">
        <v>#VALUE!</v>
      </c>
      <c r="E56" s="728" t="e">
        <v>#VALUE!</v>
      </c>
      <c r="F56" s="728" t="e">
        <v>#VALUE!</v>
      </c>
      <c r="G56" s="728" t="e">
        <v>#VALUE!</v>
      </c>
      <c r="H56" s="739" t="e">
        <v>#VALUE!</v>
      </c>
      <c r="I56" s="739" t="e">
        <v>#VALUE!</v>
      </c>
      <c r="J56" s="739" t="e">
        <v>#VALUE!</v>
      </c>
      <c r="K56" s="728" t="e">
        <v>#VALUE!</v>
      </c>
      <c r="L56" s="728" t="e">
        <v>#VALUE!</v>
      </c>
      <c r="M56" s="729" t="e">
        <v>#VALUE!</v>
      </c>
    </row>
    <row r="57" spans="1:13">
      <c r="A57" s="576"/>
      <c r="B57" s="723">
        <v>0.09</v>
      </c>
      <c r="C57" s="728" t="e">
        <v>#VALUE!</v>
      </c>
      <c r="D57" s="728" t="e">
        <v>#VALUE!</v>
      </c>
      <c r="E57" s="728" t="e">
        <v>#VALUE!</v>
      </c>
      <c r="F57" s="728" t="e">
        <v>#VALUE!</v>
      </c>
      <c r="G57" s="728" t="e">
        <v>#VALUE!</v>
      </c>
      <c r="H57" s="728" t="e">
        <v>#VALUE!</v>
      </c>
      <c r="I57" s="728" t="e">
        <v>#VALUE!</v>
      </c>
      <c r="J57" s="728" t="e">
        <v>#VALUE!</v>
      </c>
      <c r="K57" s="728" t="e">
        <v>#VALUE!</v>
      </c>
      <c r="L57" s="728" t="e">
        <v>#VALUE!</v>
      </c>
      <c r="M57" s="729" t="e">
        <v>#VALUE!</v>
      </c>
    </row>
    <row r="58" spans="1:13">
      <c r="A58" s="576"/>
      <c r="B58" s="723">
        <v>9.5000000000000001E-2</v>
      </c>
      <c r="C58" s="728" t="e">
        <v>#VALUE!</v>
      </c>
      <c r="D58" s="728" t="e">
        <v>#VALUE!</v>
      </c>
      <c r="E58" s="728" t="e">
        <v>#VALUE!</v>
      </c>
      <c r="F58" s="728" t="e">
        <v>#VALUE!</v>
      </c>
      <c r="G58" s="728" t="e">
        <v>#VALUE!</v>
      </c>
      <c r="H58" s="728" t="e">
        <v>#VALUE!</v>
      </c>
      <c r="I58" s="728" t="e">
        <v>#VALUE!</v>
      </c>
      <c r="J58" s="728" t="e">
        <v>#VALUE!</v>
      </c>
      <c r="K58" s="728" t="e">
        <v>#VALUE!</v>
      </c>
      <c r="L58" s="728" t="e">
        <v>#VALUE!</v>
      </c>
      <c r="M58" s="729" t="e">
        <v>#VALUE!</v>
      </c>
    </row>
    <row r="59" spans="1:13">
      <c r="A59" s="576"/>
      <c r="B59" s="723">
        <v>0.1</v>
      </c>
      <c r="C59" s="728" t="e">
        <v>#VALUE!</v>
      </c>
      <c r="D59" s="728" t="e">
        <v>#VALUE!</v>
      </c>
      <c r="E59" s="728" t="e">
        <v>#VALUE!</v>
      </c>
      <c r="F59" s="728" t="e">
        <v>#VALUE!</v>
      </c>
      <c r="G59" s="728" t="e">
        <v>#VALUE!</v>
      </c>
      <c r="H59" s="728" t="e">
        <v>#VALUE!</v>
      </c>
      <c r="I59" s="728" t="e">
        <v>#VALUE!</v>
      </c>
      <c r="J59" s="728" t="e">
        <v>#VALUE!</v>
      </c>
      <c r="K59" s="728" t="e">
        <v>#VALUE!</v>
      </c>
      <c r="L59" s="728" t="e">
        <v>#VALUE!</v>
      </c>
      <c r="M59" s="729" t="e">
        <v>#VALUE!</v>
      </c>
    </row>
    <row r="60" spans="1:13">
      <c r="A60" s="576"/>
      <c r="B60" s="723">
        <v>0.105</v>
      </c>
      <c r="C60" s="728" t="e">
        <v>#VALUE!</v>
      </c>
      <c r="D60" s="728" t="e">
        <v>#VALUE!</v>
      </c>
      <c r="E60" s="728" t="e">
        <v>#VALUE!</v>
      </c>
      <c r="F60" s="728" t="e">
        <v>#VALUE!</v>
      </c>
      <c r="G60" s="728" t="e">
        <v>#VALUE!</v>
      </c>
      <c r="H60" s="728" t="e">
        <v>#VALUE!</v>
      </c>
      <c r="I60" s="728" t="e">
        <v>#VALUE!</v>
      </c>
      <c r="J60" s="728" t="e">
        <v>#VALUE!</v>
      </c>
      <c r="K60" s="728" t="e">
        <v>#VALUE!</v>
      </c>
      <c r="L60" s="728" t="e">
        <v>#VALUE!</v>
      </c>
      <c r="M60" s="729" t="e">
        <v>#VALUE!</v>
      </c>
    </row>
    <row r="61" spans="1:13">
      <c r="A61" s="577"/>
      <c r="B61" s="724">
        <v>0.11</v>
      </c>
      <c r="C61" s="730" t="e">
        <v>#VALUE!</v>
      </c>
      <c r="D61" s="730" t="e">
        <v>#VALUE!</v>
      </c>
      <c r="E61" s="730" t="e">
        <v>#VALUE!</v>
      </c>
      <c r="F61" s="730" t="e">
        <v>#VALUE!</v>
      </c>
      <c r="G61" s="730" t="e">
        <v>#VALUE!</v>
      </c>
      <c r="H61" s="730" t="e">
        <v>#VALUE!</v>
      </c>
      <c r="I61" s="730" t="e">
        <v>#VALUE!</v>
      </c>
      <c r="J61" s="730" t="e">
        <v>#VALUE!</v>
      </c>
      <c r="K61" s="730" t="e">
        <v>#VALUE!</v>
      </c>
      <c r="L61" s="730" t="e">
        <v>#VALUE!</v>
      </c>
      <c r="M61" s="731" t="e">
        <v>#VALUE!</v>
      </c>
    </row>
  </sheetData>
  <mergeCells count="2">
    <mergeCell ref="C49:M49"/>
    <mergeCell ref="C10:M10"/>
  </mergeCells>
  <phoneticPr fontId="0" type="noConversion"/>
  <pageMargins left="0.44" right="0.17" top="0.7" bottom="0.25" header="0.17" footer="0.17"/>
  <pageSetup scale="9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zoomScale="75" zoomScaleNormal="100" workbookViewId="0">
      <selection activeCell="I13" sqref="I13"/>
    </sheetView>
  </sheetViews>
  <sheetFormatPr defaultRowHeight="12.75"/>
  <cols>
    <col min="1" max="1" width="36.42578125" bestFit="1" customWidth="1"/>
    <col min="2" max="3" width="12.85546875" customWidth="1"/>
    <col min="4" max="4" width="12.7109375" customWidth="1"/>
    <col min="5" max="5" width="9.85546875" customWidth="1"/>
  </cols>
  <sheetData>
    <row r="1" spans="1:5" ht="18">
      <c r="A1" s="180" t="str">
        <f>Assumptions!D7</f>
        <v>Wolverine</v>
      </c>
      <c r="B1" s="7"/>
    </row>
    <row r="2" spans="1:5" ht="15.75">
      <c r="A2" s="220" t="s">
        <v>37</v>
      </c>
      <c r="B2" s="7"/>
    </row>
    <row r="3" spans="1:5">
      <c r="B3" s="69"/>
    </row>
    <row r="4" spans="1:5">
      <c r="A4" s="20"/>
      <c r="B4" s="110">
        <v>36708</v>
      </c>
      <c r="C4" s="42" t="s">
        <v>30</v>
      </c>
      <c r="D4" s="42" t="s">
        <v>31</v>
      </c>
    </row>
    <row r="5" spans="1:5">
      <c r="A5" s="6"/>
      <c r="B5" s="66"/>
      <c r="C5" s="42"/>
      <c r="D5" s="42"/>
    </row>
    <row r="6" spans="1:5">
      <c r="A6" t="s">
        <v>5</v>
      </c>
    </row>
    <row r="7" spans="1:5">
      <c r="A7" t="s">
        <v>91</v>
      </c>
    </row>
    <row r="8" spans="1:5">
      <c r="A8" s="55" t="s">
        <v>89</v>
      </c>
      <c r="B8" s="26"/>
      <c r="C8" s="10"/>
      <c r="D8" s="10"/>
      <c r="E8" s="10"/>
    </row>
    <row r="9" spans="1:5">
      <c r="A9" s="55" t="s">
        <v>92</v>
      </c>
      <c r="B9" s="26">
        <v>-1535</v>
      </c>
      <c r="C9" s="10">
        <v>0</v>
      </c>
      <c r="D9" s="4">
        <f t="shared" ref="D9:D15" si="0">SUM(B9:C9)</f>
        <v>-1535</v>
      </c>
      <c r="E9" s="10"/>
    </row>
    <row r="10" spans="1:5">
      <c r="A10" s="55" t="s">
        <v>93</v>
      </c>
      <c r="B10" s="26">
        <v>2763</v>
      </c>
      <c r="C10" s="10">
        <v>0</v>
      </c>
      <c r="D10" s="4">
        <f t="shared" si="0"/>
        <v>2763</v>
      </c>
      <c r="E10" s="10"/>
    </row>
    <row r="11" spans="1:5">
      <c r="A11" t="s">
        <v>90</v>
      </c>
      <c r="B11" s="108">
        <v>7</v>
      </c>
      <c r="C11" s="4">
        <v>0</v>
      </c>
      <c r="D11" s="4">
        <f t="shared" si="0"/>
        <v>7</v>
      </c>
      <c r="E11" s="10"/>
    </row>
    <row r="12" spans="1:5">
      <c r="A12" s="55" t="s">
        <v>86</v>
      </c>
      <c r="B12" s="26">
        <v>27020</v>
      </c>
      <c r="C12" s="4">
        <v>0</v>
      </c>
      <c r="D12" s="4">
        <f t="shared" si="0"/>
        <v>27020</v>
      </c>
      <c r="E12" s="10"/>
    </row>
    <row r="13" spans="1:5">
      <c r="A13" s="55" t="s">
        <v>87</v>
      </c>
      <c r="B13" s="26">
        <v>9110</v>
      </c>
      <c r="C13" s="4">
        <v>0</v>
      </c>
      <c r="D13" s="4">
        <f t="shared" si="0"/>
        <v>9110</v>
      </c>
      <c r="E13" s="10"/>
    </row>
    <row r="14" spans="1:5">
      <c r="A14" s="55" t="s">
        <v>88</v>
      </c>
      <c r="B14" s="26">
        <v>0</v>
      </c>
      <c r="C14" s="4">
        <v>0</v>
      </c>
      <c r="D14" s="4">
        <f t="shared" si="0"/>
        <v>0</v>
      </c>
      <c r="E14" s="10"/>
    </row>
    <row r="15" spans="1:5" ht="15">
      <c r="A15" s="55" t="s">
        <v>94</v>
      </c>
      <c r="B15" s="33">
        <v>10850</v>
      </c>
      <c r="C15" s="3">
        <v>0</v>
      </c>
      <c r="D15" s="3">
        <f t="shared" si="0"/>
        <v>10850</v>
      </c>
      <c r="E15" s="10"/>
    </row>
    <row r="16" spans="1:5">
      <c r="A16" s="56" t="s">
        <v>36</v>
      </c>
      <c r="B16" s="67">
        <f>SUM(B9:B15)</f>
        <v>48215</v>
      </c>
      <c r="C16" s="67">
        <f>SUM(C9:C15)</f>
        <v>0</v>
      </c>
      <c r="D16" s="67">
        <f>SUM(D9:D15)</f>
        <v>48215</v>
      </c>
      <c r="E16" s="10"/>
    </row>
    <row r="17" spans="1:5">
      <c r="A17" s="82" t="s">
        <v>95</v>
      </c>
      <c r="B17" s="67"/>
      <c r="C17" s="67"/>
      <c r="D17" s="67"/>
      <c r="E17" s="10"/>
    </row>
    <row r="18" spans="1:5">
      <c r="A18" s="82" t="s">
        <v>96</v>
      </c>
      <c r="B18" s="67">
        <v>102263</v>
      </c>
      <c r="C18" s="4">
        <v>0</v>
      </c>
      <c r="D18" s="4">
        <f>SUM(B18:C18)</f>
        <v>102263</v>
      </c>
      <c r="E18" s="10"/>
    </row>
    <row r="19" spans="1:5" ht="15">
      <c r="A19" s="82" t="s">
        <v>97</v>
      </c>
      <c r="B19" s="68">
        <v>-19169</v>
      </c>
      <c r="C19" s="3">
        <v>0</v>
      </c>
      <c r="D19" s="3">
        <f>SUM(B19:C19)</f>
        <v>-19169</v>
      </c>
      <c r="E19" s="10"/>
    </row>
    <row r="20" spans="1:5">
      <c r="A20" s="56" t="s">
        <v>36</v>
      </c>
      <c r="B20" s="67">
        <f>B19+B18</f>
        <v>83094</v>
      </c>
      <c r="C20" s="67">
        <f>C19+C18</f>
        <v>0</v>
      </c>
      <c r="D20" s="67">
        <f>D19+D18</f>
        <v>83094</v>
      </c>
      <c r="E20" s="10"/>
    </row>
    <row r="21" spans="1:5">
      <c r="A21" s="82" t="s">
        <v>98</v>
      </c>
      <c r="B21" s="67">
        <v>4875</v>
      </c>
      <c r="C21" s="4">
        <v>0</v>
      </c>
      <c r="D21" s="4">
        <f>SUM(B21:C21)</f>
        <v>4875</v>
      </c>
      <c r="E21" s="10"/>
    </row>
    <row r="22" spans="1:5" ht="13.5" thickBot="1">
      <c r="A22" s="56"/>
      <c r="B22" s="67"/>
      <c r="C22" s="51"/>
      <c r="D22" s="51"/>
      <c r="E22" s="10"/>
    </row>
    <row r="23" spans="1:5" s="10" customFormat="1" ht="13.5" thickBot="1">
      <c r="A23" s="95" t="s">
        <v>64</v>
      </c>
      <c r="B23" s="96">
        <f>B21+B20+B16</f>
        <v>136184</v>
      </c>
      <c r="C23" s="96">
        <f>C21+C20+C16</f>
        <v>0</v>
      </c>
      <c r="D23" s="109">
        <f>D21+D20+D16</f>
        <v>136184</v>
      </c>
    </row>
    <row r="24" spans="1:5" s="10" customFormat="1" ht="15">
      <c r="A24" s="57"/>
      <c r="C24" s="41"/>
    </row>
    <row r="25" spans="1:5">
      <c r="A25" t="s">
        <v>109</v>
      </c>
      <c r="C25" s="10"/>
      <c r="D25" s="10"/>
      <c r="E25" s="10"/>
    </row>
    <row r="26" spans="1:5">
      <c r="A26" s="8"/>
      <c r="C26" s="10"/>
      <c r="D26" s="10"/>
      <c r="E26" s="10"/>
    </row>
    <row r="27" spans="1:5">
      <c r="A27" s="55" t="s">
        <v>99</v>
      </c>
      <c r="C27" s="10"/>
      <c r="D27" s="10"/>
      <c r="E27" s="10"/>
    </row>
    <row r="28" spans="1:5">
      <c r="A28" s="55" t="s">
        <v>100</v>
      </c>
      <c r="B28" s="98">
        <v>0</v>
      </c>
      <c r="C28" s="98">
        <v>0</v>
      </c>
      <c r="D28" s="4">
        <f t="shared" ref="D28:D33" si="1">SUM(B28:C28)</f>
        <v>0</v>
      </c>
      <c r="E28" s="10"/>
    </row>
    <row r="29" spans="1:5">
      <c r="A29" s="55" t="s">
        <v>101</v>
      </c>
      <c r="B29" s="98">
        <v>6773</v>
      </c>
      <c r="C29" s="98">
        <v>0</v>
      </c>
      <c r="D29" s="4">
        <f t="shared" si="1"/>
        <v>6773</v>
      </c>
      <c r="E29" s="10"/>
    </row>
    <row r="30" spans="1:5">
      <c r="A30" s="55" t="s">
        <v>102</v>
      </c>
      <c r="B30" s="98">
        <v>43</v>
      </c>
      <c r="C30" s="98">
        <v>0</v>
      </c>
      <c r="D30" s="4">
        <f t="shared" si="1"/>
        <v>43</v>
      </c>
      <c r="E30" s="10"/>
    </row>
    <row r="31" spans="1:5">
      <c r="A31" s="55" t="s">
        <v>103</v>
      </c>
      <c r="B31" s="98">
        <v>2191</v>
      </c>
      <c r="C31" s="98">
        <v>0</v>
      </c>
      <c r="D31" s="4">
        <f t="shared" si="1"/>
        <v>2191</v>
      </c>
      <c r="E31" s="10"/>
    </row>
    <row r="32" spans="1:5">
      <c r="A32" s="55" t="s">
        <v>104</v>
      </c>
      <c r="B32" s="98">
        <v>-11832</v>
      </c>
      <c r="C32" s="98">
        <v>0</v>
      </c>
      <c r="D32" s="4">
        <f t="shared" si="1"/>
        <v>-11832</v>
      </c>
      <c r="E32" s="10"/>
    </row>
    <row r="33" spans="1:5" ht="15">
      <c r="A33" s="79" t="s">
        <v>105</v>
      </c>
      <c r="B33" s="68">
        <v>0</v>
      </c>
      <c r="C33" s="3">
        <v>0</v>
      </c>
      <c r="D33" s="3">
        <f t="shared" si="1"/>
        <v>0</v>
      </c>
      <c r="E33" s="10"/>
    </row>
    <row r="34" spans="1:5">
      <c r="A34" s="8" t="s">
        <v>36</v>
      </c>
      <c r="B34" s="67">
        <f>SUM(B28:B33)</f>
        <v>-2825</v>
      </c>
      <c r="C34" s="67">
        <f>SUM(C28:C33)</f>
        <v>0</v>
      </c>
      <c r="D34" s="67">
        <f>SUM(D28:D33)</f>
        <v>-2825</v>
      </c>
      <c r="E34" s="10"/>
    </row>
    <row r="35" spans="1:5">
      <c r="A35" s="79" t="s">
        <v>106</v>
      </c>
      <c r="B35" s="67"/>
      <c r="C35" s="10"/>
      <c r="D35" s="10"/>
      <c r="E35" s="10"/>
    </row>
    <row r="36" spans="1:5">
      <c r="A36" s="79" t="s">
        <v>107</v>
      </c>
      <c r="B36" s="26">
        <v>0</v>
      </c>
      <c r="C36" s="10">
        <f>-B36</f>
        <v>0</v>
      </c>
      <c r="D36" s="10">
        <f>SUM(B36:C36)</f>
        <v>0</v>
      </c>
      <c r="E36" s="10"/>
    </row>
    <row r="37" spans="1:5" ht="15">
      <c r="A37" s="79" t="s">
        <v>108</v>
      </c>
      <c r="B37" s="68">
        <v>-52378</v>
      </c>
      <c r="C37" s="3">
        <v>0</v>
      </c>
      <c r="D37" s="3">
        <f>SUM(B37:C37)</f>
        <v>-52378</v>
      </c>
      <c r="E37" s="10"/>
    </row>
    <row r="38" spans="1:5">
      <c r="A38" s="8" t="s">
        <v>36</v>
      </c>
      <c r="B38" s="67">
        <f>SUM(B36:B37)</f>
        <v>-52378</v>
      </c>
      <c r="C38" s="10">
        <f>SUM(C36:C37)</f>
        <v>0</v>
      </c>
      <c r="D38" s="10">
        <f>SUM(D36:D37)</f>
        <v>-52378</v>
      </c>
      <c r="E38" s="10"/>
    </row>
    <row r="39" spans="1:5">
      <c r="A39" s="79" t="s">
        <v>110</v>
      </c>
      <c r="B39" s="26"/>
      <c r="C39" s="10"/>
      <c r="D39" s="10"/>
      <c r="E39" s="10"/>
    </row>
    <row r="40" spans="1:5">
      <c r="A40" s="79" t="s">
        <v>111</v>
      </c>
      <c r="B40" s="26">
        <v>0</v>
      </c>
      <c r="C40" s="10">
        <v>0</v>
      </c>
      <c r="D40" s="10">
        <f>SUM(B40:C40)</f>
        <v>0</v>
      </c>
      <c r="E40" s="10"/>
    </row>
    <row r="41" spans="1:5">
      <c r="A41" s="79" t="s">
        <v>112</v>
      </c>
      <c r="B41" s="111">
        <v>575987</v>
      </c>
      <c r="C41" s="4">
        <v>0</v>
      </c>
      <c r="D41" s="4">
        <f>SUM(B41:C41)</f>
        <v>575987</v>
      </c>
      <c r="E41" s="10"/>
    </row>
    <row r="42" spans="1:5" ht="15">
      <c r="A42" t="s">
        <v>113</v>
      </c>
      <c r="B42" s="68">
        <v>-384600</v>
      </c>
      <c r="C42" s="3">
        <v>0</v>
      </c>
      <c r="D42" s="3">
        <f>SUM(B42:C42)</f>
        <v>-384600</v>
      </c>
      <c r="E42" s="10"/>
    </row>
    <row r="43" spans="1:5">
      <c r="A43" s="8" t="s">
        <v>36</v>
      </c>
      <c r="B43" s="67">
        <f>SUM(B40:B42)</f>
        <v>191387</v>
      </c>
      <c r="C43" s="67">
        <f>SUM(C40:C42)</f>
        <v>0</v>
      </c>
      <c r="D43" s="67">
        <f>SUM(D40:D42)</f>
        <v>191387</v>
      </c>
      <c r="E43" s="10"/>
    </row>
    <row r="44" spans="1:5" ht="13.5" thickBot="1">
      <c r="C44" s="10"/>
      <c r="D44" s="10"/>
      <c r="E44" s="10"/>
    </row>
    <row r="45" spans="1:5" s="10" customFormat="1" ht="13.5" thickBot="1">
      <c r="A45" s="95" t="s">
        <v>6</v>
      </c>
      <c r="B45" s="96">
        <f>B43+B38+B34</f>
        <v>136184</v>
      </c>
      <c r="C45" s="96">
        <f>C43+C38+C34</f>
        <v>0</v>
      </c>
      <c r="D45" s="109">
        <f>D43+D38+D34</f>
        <v>136184</v>
      </c>
    </row>
    <row r="46" spans="1:5" s="10" customFormat="1">
      <c r="B46" s="10">
        <f>B23-B45</f>
        <v>0</v>
      </c>
      <c r="C46" s="10">
        <f>C23-C45</f>
        <v>0</v>
      </c>
      <c r="D46" s="10">
        <f>D23-D45</f>
        <v>0</v>
      </c>
    </row>
    <row r="47" spans="1:5" s="23" customFormat="1">
      <c r="C47" s="4"/>
      <c r="D47" s="4"/>
      <c r="E47" s="4"/>
    </row>
    <row r="48" spans="1:5">
      <c r="C48" s="10"/>
      <c r="D48" s="10"/>
      <c r="E48" s="10"/>
    </row>
    <row r="49" spans="3:5">
      <c r="C49" s="10"/>
      <c r="D49" s="10"/>
      <c r="E49" s="10"/>
    </row>
    <row r="50" spans="3:5">
      <c r="D50" s="10"/>
      <c r="E50" s="10"/>
    </row>
    <row r="51" spans="3:5">
      <c r="C51" s="10"/>
      <c r="D51" s="10"/>
      <c r="E51" s="10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37</vt:i4>
      </vt:variant>
    </vt:vector>
  </HeadingPairs>
  <TitlesOfParts>
    <vt:vector size="58" baseType="lpstr">
      <vt:lpstr>Explaination about this model</vt:lpstr>
      <vt:lpstr>Org Chart</vt:lpstr>
      <vt:lpstr>Summary</vt:lpstr>
      <vt:lpstr>Assumptions</vt:lpstr>
      <vt:lpstr>Fin Stats and Ratios</vt:lpstr>
      <vt:lpstr>Debt</vt:lpstr>
      <vt:lpstr>Lev. Consolid</vt:lpstr>
      <vt:lpstr>Unlev. Consolid</vt:lpstr>
      <vt:lpstr>Consolid IS</vt:lpstr>
      <vt:lpstr>Consolid BS</vt:lpstr>
      <vt:lpstr>Consolid CF</vt:lpstr>
      <vt:lpstr>Pipeline Co DCF</vt:lpstr>
      <vt:lpstr>Pipeline Co IS</vt:lpstr>
      <vt:lpstr>Pipeline Co BS</vt:lpstr>
      <vt:lpstr>Pipeline Co CF</vt:lpstr>
      <vt:lpstr>Pipeline Vols</vt:lpstr>
      <vt:lpstr>Consumers DCF</vt:lpstr>
      <vt:lpstr>Corp DCF</vt:lpstr>
      <vt:lpstr>Curves</vt:lpstr>
      <vt:lpstr>Scenarios</vt:lpstr>
      <vt:lpstr>Cons. BS</vt:lpstr>
      <vt:lpstr>Asset1Drate</vt:lpstr>
      <vt:lpstr>Asset1Loop</vt:lpstr>
      <vt:lpstr>Asset1NPVPrice</vt:lpstr>
      <vt:lpstr>Asset1PurPrice</vt:lpstr>
      <vt:lpstr>Asset2Drate</vt:lpstr>
      <vt:lpstr>Asset2Loop</vt:lpstr>
      <vt:lpstr>Asset2NPVPrice</vt:lpstr>
      <vt:lpstr>Asset2PurPrice</vt:lpstr>
      <vt:lpstr>'Consumers DCF'!Asset3Drate</vt:lpstr>
      <vt:lpstr>'Corp DCF'!Asset3Drate</vt:lpstr>
      <vt:lpstr>Asset3Drate</vt:lpstr>
      <vt:lpstr>'Consumers DCF'!Asset3Loop</vt:lpstr>
      <vt:lpstr>'Corp DCF'!Asset3Loop</vt:lpstr>
      <vt:lpstr>Asset3Loop</vt:lpstr>
      <vt:lpstr>'Consumers DCF'!Asset3NPVPrice</vt:lpstr>
      <vt:lpstr>'Corp DCF'!Asset3NPVPrice</vt:lpstr>
      <vt:lpstr>Asset3NPVPrice</vt:lpstr>
      <vt:lpstr>'Consumers DCF'!Asset3PurPrice</vt:lpstr>
      <vt:lpstr>'Corp DCF'!Asset3PurPrice</vt:lpstr>
      <vt:lpstr>Asset3PurPrice</vt:lpstr>
      <vt:lpstr>CDRate</vt:lpstr>
      <vt:lpstr>CLoop</vt:lpstr>
      <vt:lpstr>CNPVPrice</vt:lpstr>
      <vt:lpstr>ConsDRate</vt:lpstr>
      <vt:lpstr>CPurPrice</vt:lpstr>
      <vt:lpstr>Assumptions!Print_Area</vt:lpstr>
      <vt:lpstr>'Consumers DCF'!Print_Area</vt:lpstr>
      <vt:lpstr>'Corp DCF'!Print_Area</vt:lpstr>
      <vt:lpstr>Curves!Print_Area</vt:lpstr>
      <vt:lpstr>Debt!Print_Area</vt:lpstr>
      <vt:lpstr>'Lev. Consolid'!Print_Area</vt:lpstr>
      <vt:lpstr>'Pipeline Co BS'!Print_Area</vt:lpstr>
      <vt:lpstr>'Pipeline Co CF'!Print_Area</vt:lpstr>
      <vt:lpstr>'Pipeline Co DCF'!Print_Area</vt:lpstr>
      <vt:lpstr>'Pipeline Co IS'!Print_Area</vt:lpstr>
      <vt:lpstr>Scenarios!Print_Area</vt:lpstr>
      <vt:lpstr>'Unlev. Consolid'!Print_Area</vt:lpstr>
    </vt:vector>
  </TitlesOfParts>
  <Company>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Felienne</cp:lastModifiedBy>
  <cp:lastPrinted>2001-11-14T17:04:53Z</cp:lastPrinted>
  <dcterms:created xsi:type="dcterms:W3CDTF">2000-03-09T01:43:06Z</dcterms:created>
  <dcterms:modified xsi:type="dcterms:W3CDTF">2014-09-05T06:34:10Z</dcterms:modified>
</cp:coreProperties>
</file>