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60" windowWidth="11340" windowHeight="6030"/>
  </bookViews>
  <sheets>
    <sheet name="Hp Sizing" sheetId="1" r:id="rId1"/>
    <sheet name="Header &amp; Unit Sizing" sheetId="2" r:id="rId2"/>
    <sheet name="Sheet3" sheetId="3" r:id="rId3"/>
  </sheets>
  <definedNames>
    <definedName name="_xlnm.Print_Titles" localSheetId="0">'Hp Sizing'!$A:$A,'Hp Sizing'!$1:$5</definedName>
  </definedNames>
  <calcPr calcId="152511" fullCalcOnLoad="1"/>
</workbook>
</file>

<file path=xl/calcChain.xml><?xml version="1.0" encoding="utf-8"?>
<calcChain xmlns="http://schemas.openxmlformats.org/spreadsheetml/2006/main">
  <c r="I6" i="1" l="1"/>
  <c r="K6" i="1" s="1"/>
  <c r="T6" i="1" s="1"/>
  <c r="J6" i="1"/>
  <c r="R6" i="1" s="1"/>
  <c r="N6" i="1"/>
  <c r="O6" i="1" s="1"/>
  <c r="Q6" i="1"/>
  <c r="W6" i="1"/>
  <c r="I7" i="1"/>
  <c r="O7" i="1" s="1"/>
  <c r="J7" i="1"/>
  <c r="R7" i="1" s="1"/>
  <c r="N7" i="1"/>
  <c r="Q7" i="1"/>
  <c r="W7" i="1"/>
  <c r="I8" i="1"/>
  <c r="K8" i="1" s="1"/>
  <c r="T8" i="1" s="1"/>
  <c r="X8" i="1" s="1"/>
  <c r="J8" i="1"/>
  <c r="R8" i="1" s="1"/>
  <c r="N8" i="1"/>
  <c r="Q8" i="1"/>
  <c r="W8" i="1"/>
  <c r="I9" i="1"/>
  <c r="J9" i="1"/>
  <c r="I10" i="1"/>
  <c r="O10" i="1" s="1"/>
  <c r="J10" i="1"/>
  <c r="R10" i="1" s="1"/>
  <c r="M10" i="1"/>
  <c r="N10" i="1"/>
  <c r="Q10" i="1"/>
  <c r="I12" i="1"/>
  <c r="M12" i="1" s="1"/>
  <c r="J12" i="1"/>
  <c r="K12" i="1"/>
  <c r="N12" i="1"/>
  <c r="T12" i="1" s="1"/>
  <c r="X12" i="1" s="1"/>
  <c r="O12" i="1"/>
  <c r="Q12" i="1"/>
  <c r="R12" i="1"/>
  <c r="W12" i="1"/>
  <c r="I13" i="1"/>
  <c r="K13" i="1" s="1"/>
  <c r="J13" i="1"/>
  <c r="N13" i="1"/>
  <c r="O13" i="1" s="1"/>
  <c r="Q13" i="1"/>
  <c r="R13" i="1"/>
  <c r="W13" i="1"/>
  <c r="I14" i="1"/>
  <c r="M14" i="1" s="1"/>
  <c r="J14" i="1"/>
  <c r="R14" i="1" s="1"/>
  <c r="N14" i="1"/>
  <c r="Q14" i="1"/>
  <c r="W14" i="1"/>
  <c r="I16" i="1"/>
  <c r="J16" i="1"/>
  <c r="R16" i="1" s="1"/>
  <c r="M16" i="1"/>
  <c r="N16" i="1"/>
  <c r="O16" i="1" s="1"/>
  <c r="Q16" i="1"/>
  <c r="I17" i="1"/>
  <c r="K17" i="1" s="1"/>
  <c r="T17" i="1" s="1"/>
  <c r="J17" i="1"/>
  <c r="R17" i="1" s="1"/>
  <c r="N17" i="1"/>
  <c r="Q17" i="1"/>
  <c r="I18" i="1"/>
  <c r="K18" i="1" s="1"/>
  <c r="T18" i="1" s="1"/>
  <c r="J18" i="1"/>
  <c r="N18" i="1"/>
  <c r="O18" i="1" s="1"/>
  <c r="Q18" i="1"/>
  <c r="R18" i="1"/>
  <c r="I20" i="1"/>
  <c r="K20" i="1" s="1"/>
  <c r="T20" i="1" s="1"/>
  <c r="J20" i="1"/>
  <c r="M20" i="1"/>
  <c r="N20" i="1"/>
  <c r="O20" i="1" s="1"/>
  <c r="Q20" i="1"/>
  <c r="R20" i="1" s="1"/>
  <c r="W20" i="1"/>
  <c r="I22" i="1"/>
  <c r="K22" i="1" s="1"/>
  <c r="T22" i="1" s="1"/>
  <c r="J22" i="1"/>
  <c r="R22" i="1" s="1"/>
  <c r="M22" i="1"/>
  <c r="N22" i="1"/>
  <c r="O22" i="1" s="1"/>
  <c r="Q22" i="1"/>
  <c r="W22" i="1"/>
  <c r="I24" i="1"/>
  <c r="K24" i="1" s="1"/>
  <c r="T24" i="1" s="1"/>
  <c r="J24" i="1"/>
  <c r="R24" i="1" s="1"/>
  <c r="N24" i="1"/>
  <c r="Q24" i="1"/>
  <c r="W24" i="1"/>
  <c r="I26" i="1"/>
  <c r="M26" i="1" s="1"/>
  <c r="J26" i="1"/>
  <c r="K26" i="1"/>
  <c r="T26" i="1" s="1"/>
  <c r="X26" i="1" s="1"/>
  <c r="N26" i="1"/>
  <c r="O26" i="1"/>
  <c r="Q26" i="1"/>
  <c r="R26" i="1" s="1"/>
  <c r="W26" i="1"/>
  <c r="I28" i="1"/>
  <c r="J28" i="1"/>
  <c r="K28" i="1"/>
  <c r="M28" i="1"/>
  <c r="N28" i="1"/>
  <c r="T28" i="1" s="1"/>
  <c r="X28" i="1" s="1"/>
  <c r="O28" i="1"/>
  <c r="Q28" i="1"/>
  <c r="R28" i="1"/>
  <c r="W28" i="1"/>
  <c r="I29" i="1"/>
  <c r="K29" i="1" s="1"/>
  <c r="T29" i="1" s="1"/>
  <c r="X29" i="1" s="1"/>
  <c r="J29" i="1"/>
  <c r="N29" i="1"/>
  <c r="O29" i="1" s="1"/>
  <c r="Q29" i="1"/>
  <c r="R29" i="1"/>
  <c r="W29" i="1"/>
  <c r="I30" i="1"/>
  <c r="J30" i="1"/>
  <c r="K30" i="1" s="1"/>
  <c r="M30" i="1"/>
  <c r="N30" i="1"/>
  <c r="T30" i="1" s="1"/>
  <c r="Q30" i="1"/>
  <c r="R30" i="1"/>
  <c r="W30" i="1"/>
  <c r="I32" i="1"/>
  <c r="J32" i="1"/>
  <c r="R32" i="1" s="1"/>
  <c r="M32" i="1"/>
  <c r="N32" i="1"/>
  <c r="O32" i="1" s="1"/>
  <c r="Q32" i="1"/>
  <c r="W32" i="1"/>
  <c r="I33" i="1"/>
  <c r="K33" i="1" s="1"/>
  <c r="T33" i="1" s="1"/>
  <c r="J33" i="1"/>
  <c r="M33" i="1"/>
  <c r="N33" i="1"/>
  <c r="Q33" i="1"/>
  <c r="R33" i="1" s="1"/>
  <c r="W33" i="1"/>
  <c r="I34" i="1"/>
  <c r="K34" i="1" s="1"/>
  <c r="J34" i="1"/>
  <c r="R34" i="1" s="1"/>
  <c r="M34" i="1"/>
  <c r="N34" i="1"/>
  <c r="O34" i="1" s="1"/>
  <c r="Q34" i="1"/>
  <c r="W34" i="1"/>
  <c r="X24" i="1" l="1"/>
  <c r="X30" i="1"/>
  <c r="X20" i="1"/>
  <c r="X6" i="1"/>
  <c r="X22" i="1"/>
  <c r="X33" i="1"/>
  <c r="K32" i="1"/>
  <c r="T32" i="1" s="1"/>
  <c r="X32" i="1" s="1"/>
  <c r="O30" i="1"/>
  <c r="K16" i="1"/>
  <c r="O14" i="1"/>
  <c r="T13" i="1"/>
  <c r="X13" i="1" s="1"/>
  <c r="M7" i="1"/>
  <c r="O33" i="1"/>
  <c r="T16" i="1"/>
  <c r="K10" i="1"/>
  <c r="T10" i="1" s="1"/>
  <c r="K7" i="1"/>
  <c r="T7" i="1" s="1"/>
  <c r="X7" i="1" s="1"/>
  <c r="K14" i="1"/>
  <c r="T14" i="1" s="1"/>
  <c r="X14" i="1" s="1"/>
  <c r="O17" i="1"/>
  <c r="O8" i="1"/>
  <c r="M6" i="1"/>
  <c r="T34" i="1"/>
  <c r="X34" i="1" s="1"/>
  <c r="O24" i="1"/>
  <c r="M29" i="1"/>
  <c r="M18" i="1"/>
  <c r="M13" i="1"/>
  <c r="M24" i="1"/>
  <c r="M17" i="1"/>
  <c r="M8" i="1"/>
</calcChain>
</file>

<file path=xl/sharedStrings.xml><?xml version="1.0" encoding="utf-8"?>
<sst xmlns="http://schemas.openxmlformats.org/spreadsheetml/2006/main" count="116" uniqueCount="63">
  <si>
    <t>Ps</t>
  </si>
  <si>
    <t>Pd</t>
  </si>
  <si>
    <t>Q</t>
  </si>
  <si>
    <t>Station</t>
  </si>
  <si>
    <t>New Unit</t>
  </si>
  <si>
    <t>Td</t>
  </si>
  <si>
    <t>H</t>
  </si>
  <si>
    <t>Ts</t>
  </si>
  <si>
    <t>°F</t>
  </si>
  <si>
    <t>BHp</t>
  </si>
  <si>
    <t>SG</t>
  </si>
  <si>
    <t>Compress</t>
  </si>
  <si>
    <t>ability</t>
  </si>
  <si>
    <t>Ratio</t>
  </si>
  <si>
    <t>Adiab</t>
  </si>
  <si>
    <t>TRV</t>
  </si>
  <si>
    <t>(Psig)</t>
  </si>
  <si>
    <t>(MMSCFD)</t>
  </si>
  <si>
    <t>(feet)</t>
  </si>
  <si>
    <t>Mech</t>
  </si>
  <si>
    <t>Efficny</t>
  </si>
  <si>
    <t>Compr</t>
  </si>
  <si>
    <t>Isentr</t>
  </si>
  <si>
    <t>Exp</t>
  </si>
  <si>
    <t>&amp;</t>
  </si>
  <si>
    <t>Unit</t>
  </si>
  <si>
    <t>(ACFM)</t>
  </si>
  <si>
    <t>Req'd</t>
  </si>
  <si>
    <t>Avail</t>
  </si>
  <si>
    <t>Effcy</t>
  </si>
  <si>
    <t xml:space="preserve"> amb</t>
  </si>
  <si>
    <t>Data</t>
  </si>
  <si>
    <t>Date</t>
  </si>
  <si>
    <t>*</t>
  </si>
  <si>
    <t>*Note:  When sizing gas coolers add 5°F to the shown gas discharge temp to account for any recycle and possible efficiency issues</t>
  </si>
  <si>
    <t>RPM</t>
  </si>
  <si>
    <t>Mfgr</t>
  </si>
  <si>
    <t>Margin</t>
  </si>
  <si>
    <t>Generic</t>
  </si>
  <si>
    <t>@Motor Shaft</t>
  </si>
  <si>
    <t>MFGR</t>
  </si>
  <si>
    <t>BLOOMFIELD</t>
  </si>
  <si>
    <t>BISTI</t>
  </si>
  <si>
    <t>STANDING ROCK</t>
  </si>
  <si>
    <t>GALLUP</t>
  </si>
  <si>
    <t>CS#4</t>
  </si>
  <si>
    <t>CS#2</t>
  </si>
  <si>
    <t>CS#3</t>
  </si>
  <si>
    <t>CS#1.5</t>
  </si>
  <si>
    <t>KINGMAN</t>
  </si>
  <si>
    <t>New Comp</t>
  </si>
  <si>
    <t>Rebundle</t>
  </si>
  <si>
    <t>Feet</t>
  </si>
  <si>
    <t>CS#1</t>
  </si>
  <si>
    <t>Elev</t>
  </si>
  <si>
    <t>Mars 100-15000 Hp 122°F Match</t>
  </si>
  <si>
    <t>New Comp - LOW HEAD- HI Hp….LIKELY PROB W/ MOTOR CAPABILITY</t>
  </si>
  <si>
    <t>TurnDown? / New Bundle</t>
  </si>
  <si>
    <t>New Bundle</t>
  </si>
  <si>
    <t>GT 38"</t>
  </si>
  <si>
    <t>GT 40"</t>
  </si>
  <si>
    <t>36"</t>
  </si>
  <si>
    <t>Sun Devil Compressor Operating Points ( Rev 1 )  01/07/02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</si>
</sst>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00_)"/>
    <numFmt numFmtId="166" formatCode="0.00_)"/>
    <numFmt numFmtId="173" formatCode="_(* #,##0_);_(* \(#,##0\);_(* &quot;-&quot;??_);_(@_)"/>
    <numFmt numFmtId="174" formatCode="0_)"/>
  </numFmts>
  <fonts count="12">
    <font>
      <sz val="10"/>
      <name val="Arial"/>
    </font>
    <font>
      <sz val="10"/>
      <name val="Arial"/>
    </font>
    <font>
      <sz val="12"/>
      <color indexed="10"/>
      <name val="Arial MT"/>
    </font>
    <font>
      <sz val="10"/>
      <color indexed="10"/>
      <name val="Arial MT"/>
    </font>
    <font>
      <sz val="10"/>
      <color indexed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3" xfId="0" applyFont="1" applyBorder="1"/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164" fontId="3" fillId="0" borderId="0" xfId="0" applyNumberFormat="1" applyFont="1" applyAlignment="1" applyProtection="1">
      <alignment horizontal="center"/>
    </xf>
    <xf numFmtId="166" fontId="3" fillId="0" borderId="0" xfId="0" applyNumberFormat="1" applyFont="1" applyAlignment="1" applyProtection="1">
      <alignment horizontal="center"/>
    </xf>
    <xf numFmtId="37" fontId="3" fillId="0" borderId="0" xfId="0" applyNumberFormat="1" applyFont="1" applyAlignment="1" applyProtection="1">
      <alignment horizontal="center"/>
    </xf>
    <xf numFmtId="1" fontId="0" fillId="0" borderId="0" xfId="0" applyNumberFormat="1" applyAlignment="1">
      <alignment horizontal="center"/>
    </xf>
    <xf numFmtId="166" fontId="2" fillId="0" borderId="0" xfId="0" applyNumberFormat="1" applyFont="1" applyAlignment="1" applyProtection="1">
      <alignment horizontal="center"/>
    </xf>
    <xf numFmtId="174" fontId="3" fillId="0" borderId="0" xfId="0" applyNumberFormat="1" applyFont="1" applyAlignment="1" applyProtection="1">
      <alignment horizontal="center"/>
    </xf>
    <xf numFmtId="173" fontId="4" fillId="0" borderId="0" xfId="1" applyNumberFormat="1" applyFont="1" applyAlignment="1">
      <alignment horizontal="center"/>
    </xf>
    <xf numFmtId="14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0" xfId="0" applyFont="1" applyAlignment="1">
      <alignment horizontal="center"/>
    </xf>
    <xf numFmtId="173" fontId="8" fillId="0" borderId="0" xfId="1" applyNumberFormat="1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173" fontId="9" fillId="0" borderId="0" xfId="0" applyNumberFormat="1" applyFont="1"/>
    <xf numFmtId="0" fontId="9" fillId="0" borderId="0" xfId="0" applyFont="1" applyAlignment="1">
      <alignment horizontal="center"/>
    </xf>
    <xf numFmtId="0" fontId="9" fillId="0" borderId="0" xfId="0" applyFont="1"/>
    <xf numFmtId="0" fontId="10" fillId="0" borderId="0" xfId="0" applyFont="1"/>
    <xf numFmtId="173" fontId="8" fillId="0" borderId="0" xfId="1" quotePrefix="1" applyNumberFormat="1" applyFont="1" applyAlignment="1">
      <alignment horizontal="left"/>
    </xf>
    <xf numFmtId="0" fontId="6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wrapText="1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tabSelected="1" workbookViewId="0">
      <pane ySplit="5" topLeftCell="A6" activePane="bottomLeft" state="frozen"/>
      <selection pane="bottomLeft" activeCell="A18" sqref="A18"/>
    </sheetView>
  </sheetViews>
  <sheetFormatPr defaultRowHeight="12.75"/>
  <cols>
    <col min="1" max="1" width="16.140625" customWidth="1"/>
    <col min="2" max="2" width="7.28515625" customWidth="1"/>
    <col min="3" max="3" width="6.140625" customWidth="1"/>
    <col min="4" max="4" width="6.42578125" customWidth="1"/>
    <col min="5" max="5" width="5.140625" customWidth="1"/>
    <col min="6" max="6" width="6" customWidth="1"/>
    <col min="7" max="7" width="6.28515625" customWidth="1"/>
    <col min="8" max="8" width="4.85546875" customWidth="1"/>
    <col min="9" max="10" width="9.140625" hidden="1" customWidth="1"/>
    <col min="11" max="11" width="7" customWidth="1"/>
    <col min="12" max="12" width="8.85546875" customWidth="1"/>
    <col min="13" max="13" width="8.140625" customWidth="1"/>
    <col min="14" max="14" width="8.7109375" customWidth="1"/>
    <col min="15" max="15" width="8.140625" customWidth="1"/>
    <col min="16" max="16" width="10" customWidth="1"/>
    <col min="17" max="17" width="7.140625" hidden="1" customWidth="1"/>
    <col min="18" max="18" width="5.140625" customWidth="1"/>
    <col min="19" max="19" width="6.7109375" customWidth="1"/>
    <col min="21" max="21" width="0" hidden="1" customWidth="1"/>
    <col min="23" max="23" width="7.7109375" customWidth="1"/>
    <col min="24" max="24" width="9.28515625" customWidth="1"/>
    <col min="25" max="25" width="7.85546875" customWidth="1"/>
    <col min="26" max="26" width="34.7109375" customWidth="1"/>
  </cols>
  <sheetData>
    <row r="1" spans="1:26" ht="18.75" thickBot="1">
      <c r="A1" s="33" t="s">
        <v>62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20"/>
    </row>
    <row r="2" spans="1:26" ht="13.5" thickBot="1">
      <c r="T2" s="29" t="s">
        <v>38</v>
      </c>
      <c r="U2" s="34" t="s">
        <v>40</v>
      </c>
      <c r="V2" s="35"/>
      <c r="W2" s="35"/>
      <c r="X2" s="36"/>
    </row>
    <row r="3" spans="1:26">
      <c r="A3" s="3" t="s">
        <v>3</v>
      </c>
      <c r="B3" s="3"/>
      <c r="C3" s="3" t="s">
        <v>10</v>
      </c>
      <c r="D3" s="3" t="s">
        <v>22</v>
      </c>
      <c r="E3" s="3" t="s">
        <v>30</v>
      </c>
      <c r="F3" s="3" t="s">
        <v>0</v>
      </c>
      <c r="G3" s="3" t="s">
        <v>1</v>
      </c>
      <c r="H3" s="3" t="s">
        <v>7</v>
      </c>
      <c r="I3" s="2" t="s">
        <v>11</v>
      </c>
      <c r="J3" s="2" t="s">
        <v>13</v>
      </c>
      <c r="K3" s="3" t="s">
        <v>6</v>
      </c>
      <c r="L3" s="3" t="s">
        <v>2</v>
      </c>
      <c r="M3" s="3" t="s">
        <v>2</v>
      </c>
      <c r="N3" s="3" t="s">
        <v>2</v>
      </c>
      <c r="O3" s="3" t="s">
        <v>2</v>
      </c>
      <c r="P3" s="3" t="s">
        <v>21</v>
      </c>
      <c r="Q3" s="2" t="s">
        <v>15</v>
      </c>
      <c r="R3" s="3" t="s">
        <v>5</v>
      </c>
      <c r="S3" s="3" t="s">
        <v>19</v>
      </c>
      <c r="T3" s="3" t="s">
        <v>9</v>
      </c>
      <c r="U3" s="4" t="s">
        <v>9</v>
      </c>
      <c r="V3" s="4"/>
      <c r="W3" s="4" t="s">
        <v>9</v>
      </c>
      <c r="X3" s="4" t="s">
        <v>9</v>
      </c>
      <c r="Y3" s="17" t="s">
        <v>31</v>
      </c>
    </row>
    <row r="4" spans="1:26">
      <c r="A4" s="4" t="s">
        <v>24</v>
      </c>
      <c r="B4" s="4" t="s">
        <v>54</v>
      </c>
      <c r="C4" s="4"/>
      <c r="D4" s="4" t="s">
        <v>23</v>
      </c>
      <c r="E4" s="4" t="s">
        <v>8</v>
      </c>
      <c r="F4" s="4" t="s">
        <v>16</v>
      </c>
      <c r="G4" s="4" t="s">
        <v>16</v>
      </c>
      <c r="H4" s="4" t="s">
        <v>8</v>
      </c>
      <c r="I4" s="2" t="s">
        <v>12</v>
      </c>
      <c r="J4" s="2"/>
      <c r="K4" s="4" t="s">
        <v>18</v>
      </c>
      <c r="L4" s="7" t="s">
        <v>17</v>
      </c>
      <c r="M4" s="7" t="s">
        <v>26</v>
      </c>
      <c r="N4" s="7" t="s">
        <v>17</v>
      </c>
      <c r="O4" s="7" t="s">
        <v>26</v>
      </c>
      <c r="P4" s="4" t="s">
        <v>20</v>
      </c>
      <c r="Q4" s="2"/>
      <c r="R4" s="4" t="s">
        <v>33</v>
      </c>
      <c r="S4" s="4" t="s">
        <v>29</v>
      </c>
      <c r="T4" s="4" t="s">
        <v>27</v>
      </c>
      <c r="U4" s="4" t="s">
        <v>27</v>
      </c>
      <c r="V4" s="4" t="s">
        <v>35</v>
      </c>
      <c r="W4" s="4" t="s">
        <v>28</v>
      </c>
      <c r="X4" s="4" t="s">
        <v>37</v>
      </c>
      <c r="Y4" s="18" t="s">
        <v>32</v>
      </c>
    </row>
    <row r="5" spans="1:26" ht="13.5" thickBot="1">
      <c r="A5" s="5" t="s">
        <v>25</v>
      </c>
      <c r="B5" s="5" t="s">
        <v>52</v>
      </c>
      <c r="C5" s="5"/>
      <c r="D5" s="5"/>
      <c r="E5" s="6"/>
      <c r="F5" s="5"/>
      <c r="G5" s="5"/>
      <c r="H5" s="5"/>
      <c r="I5" s="2"/>
      <c r="J5" s="2"/>
      <c r="K5" s="5"/>
      <c r="L5" s="8" t="s">
        <v>3</v>
      </c>
      <c r="M5" s="8" t="s">
        <v>3</v>
      </c>
      <c r="N5" s="8" t="s">
        <v>4</v>
      </c>
      <c r="O5" s="8" t="s">
        <v>4</v>
      </c>
      <c r="P5" s="5" t="s">
        <v>14</v>
      </c>
      <c r="Q5" s="2"/>
      <c r="R5" s="5" t="s">
        <v>8</v>
      </c>
      <c r="S5" s="5"/>
      <c r="T5" s="8" t="s">
        <v>4</v>
      </c>
      <c r="U5" s="8" t="s">
        <v>36</v>
      </c>
      <c r="V5" s="8"/>
      <c r="W5" s="8" t="s">
        <v>4</v>
      </c>
      <c r="X5" s="8" t="s">
        <v>4</v>
      </c>
      <c r="Y5" s="19"/>
    </row>
    <row r="6" spans="1:26" ht="15">
      <c r="A6" s="1" t="s">
        <v>41</v>
      </c>
      <c r="B6" s="1">
        <v>5580</v>
      </c>
      <c r="C6" s="23">
        <v>0.59499999999999997</v>
      </c>
      <c r="D6" s="23">
        <v>1.29</v>
      </c>
      <c r="E6" s="30">
        <v>95</v>
      </c>
      <c r="F6" s="23">
        <v>850</v>
      </c>
      <c r="G6" s="23">
        <v>1050</v>
      </c>
      <c r="H6" s="23">
        <v>85</v>
      </c>
      <c r="I6" s="9">
        <f>1/(10^(1.785*$C6)*$F6*344400/(($H6+460)^3.825)+1)</f>
        <v>0.89661736590030205</v>
      </c>
      <c r="J6" s="10">
        <f>+($G6+14.73)/($F6+14.73)</f>
        <v>1.2312860661709435</v>
      </c>
      <c r="K6" s="11">
        <f>53.385*$I6*($H6+460)/$C6*($D6/($D6-1))*(($J6^(($D6-1)/$D6))-1)</f>
        <v>9338.7571166194357</v>
      </c>
      <c r="L6" s="1">
        <v>525</v>
      </c>
      <c r="M6" s="11">
        <f>$L6*14.73/520*($H6+460)/($F6+14.73)*$I6*1000000/24/60</f>
        <v>5836.0544711093653</v>
      </c>
      <c r="N6" s="12">
        <f t="shared" ref="N6:N34" si="0">L6</f>
        <v>525</v>
      </c>
      <c r="O6" s="11">
        <f>$N6*14.73/520*($H6+460)/($F6+14.73)*$I6*1000000/24/60</f>
        <v>5836.0544711093653</v>
      </c>
      <c r="P6" s="1">
        <v>0.83</v>
      </c>
      <c r="Q6" s="13">
        <f>+$P6*4.333/($P6*4.333-1)</f>
        <v>1.385150150786284</v>
      </c>
      <c r="R6" s="14">
        <f>+($J6^(($Q6-1)/$Q6)*($H6+460))-460</f>
        <v>117.45933903622949</v>
      </c>
      <c r="S6" s="1">
        <v>0.96</v>
      </c>
      <c r="T6" s="15">
        <f>+N6/(33000*P6*S6/K6*1545/16.8*520*1440/14.7/144/1000000  )</f>
        <v>5731.6532331213821</v>
      </c>
      <c r="U6" s="21"/>
      <c r="V6" s="21">
        <v>8500</v>
      </c>
      <c r="W6" s="24">
        <f>10351*(2*(V6/8799)-(V6/8799)^2)</f>
        <v>10339.047519334876</v>
      </c>
      <c r="X6" s="24">
        <f>+W6-T6</f>
        <v>4607.3942862134936</v>
      </c>
      <c r="Y6" s="16"/>
      <c r="Z6" s="27" t="s">
        <v>55</v>
      </c>
    </row>
    <row r="7" spans="1:26" ht="15">
      <c r="A7" s="1"/>
      <c r="B7" s="1"/>
      <c r="C7" s="23">
        <v>0.59499999999999997</v>
      </c>
      <c r="D7" s="23">
        <v>1.29</v>
      </c>
      <c r="E7" s="30">
        <v>95</v>
      </c>
      <c r="F7" s="23">
        <v>870</v>
      </c>
      <c r="G7" s="23">
        <v>1091</v>
      </c>
      <c r="H7" s="23">
        <v>90</v>
      </c>
      <c r="I7" s="9">
        <f>1/(10^(1.785*$C7)*$F7*344400/(($H7+460)^3.825)+1)</f>
        <v>0.89769456551506444</v>
      </c>
      <c r="J7" s="10">
        <f>+($G7+14.73)/($F7+14.73)</f>
        <v>1.2497937223785787</v>
      </c>
      <c r="K7" s="11">
        <f>53.385*$I7*($H7+460)/$C7*($D7/($D7-1))*(($J7^(($D7-1)/$D7))-1)</f>
        <v>10129.4761095553</v>
      </c>
      <c r="L7" s="1">
        <v>551</v>
      </c>
      <c r="M7" s="11">
        <f>$L7*14.73/520*($H7+460)/($F7+14.73)*$I7*1000000/24/60</f>
        <v>6048.7974455264448</v>
      </c>
      <c r="N7" s="12">
        <f t="shared" si="0"/>
        <v>551</v>
      </c>
      <c r="O7" s="11">
        <f>$N7*14.73/520*($H7+460)/($F7+14.73)*$I7*1000000/24/60</f>
        <v>6048.7974455264448</v>
      </c>
      <c r="P7" s="1">
        <v>0.83</v>
      </c>
      <c r="Q7" s="13">
        <f>+$P7*4.333/($P7*4.333-1)</f>
        <v>1.385150150786284</v>
      </c>
      <c r="R7" s="14">
        <f>+($J7^(($Q7-1)/$Q7)*($H7+460))-460</f>
        <v>125.17966963285596</v>
      </c>
      <c r="S7" s="1">
        <v>0.96</v>
      </c>
      <c r="T7" s="15">
        <f>+N7/(33000*P7*S7/K7*1545/16.8*520*1440/14.7/144/1000000  )</f>
        <v>6524.8436149826584</v>
      </c>
      <c r="U7" s="21"/>
      <c r="V7" s="21">
        <v>8500</v>
      </c>
      <c r="W7" s="24">
        <f>10351*(2*(V7/8799)-(V7/8799)^2)</f>
        <v>10339.047519334876</v>
      </c>
      <c r="X7" s="24">
        <f>+W7-T7</f>
        <v>3814.2039043522173</v>
      </c>
      <c r="Y7" s="16"/>
      <c r="Z7" s="27" t="s">
        <v>55</v>
      </c>
    </row>
    <row r="8" spans="1:26" ht="15">
      <c r="A8" s="1"/>
      <c r="B8" s="1"/>
      <c r="C8" s="23">
        <v>0.59499999999999997</v>
      </c>
      <c r="D8" s="23">
        <v>1.29</v>
      </c>
      <c r="E8" s="30">
        <v>95</v>
      </c>
      <c r="F8" s="23">
        <v>900</v>
      </c>
      <c r="G8" s="23">
        <v>1195</v>
      </c>
      <c r="H8" s="23">
        <v>95</v>
      </c>
      <c r="I8" s="9">
        <f>1/(10^(1.785*$C8)*$F8*344400/(($H8+460)^3.825)+1)</f>
        <v>0.89776012631763502</v>
      </c>
      <c r="J8" s="10">
        <f>+($G8+14.73)/($F8+14.73)</f>
        <v>1.3224995353820252</v>
      </c>
      <c r="K8" s="11">
        <f>53.385*$I8*($H8+460)/$C8*($D8/($D8-1))*(($J8^(($D8-1)/$D8))-1)</f>
        <v>12897.05761246626</v>
      </c>
      <c r="L8" s="1">
        <v>575</v>
      </c>
      <c r="M8" s="11">
        <f>$L8*14.73/520*($H8+460)/($F8+14.73)*$I8*1000000/24/60</f>
        <v>6161.1974742002831</v>
      </c>
      <c r="N8" s="12">
        <f t="shared" si="0"/>
        <v>575</v>
      </c>
      <c r="O8" s="11">
        <f>$N8*14.73/520*($H8+460)/($F8+14.73)*$I8*1000000/24/60</f>
        <v>6161.1974742002831</v>
      </c>
      <c r="P8" s="1">
        <v>0.83</v>
      </c>
      <c r="Q8" s="13">
        <f>+$P8*4.333/($P8*4.333-1)</f>
        <v>1.385150150786284</v>
      </c>
      <c r="R8" s="14">
        <f>+($J8^(($Q8-1)/$Q8)*($H8+460))-460</f>
        <v>139.85711126532487</v>
      </c>
      <c r="S8" s="1">
        <v>0.96</v>
      </c>
      <c r="T8" s="15">
        <f>+N8/(33000*P8*S8/K8*1545/16.8*520*1440/14.7/144/1000000  )</f>
        <v>8669.4193012755022</v>
      </c>
      <c r="U8" s="21"/>
      <c r="V8" s="21">
        <v>8500</v>
      </c>
      <c r="W8" s="24">
        <f>10351*(2*(V8/8799)-(V8/8799)^2)</f>
        <v>10339.047519334876</v>
      </c>
      <c r="X8" s="24">
        <f>+W8-T8</f>
        <v>1669.6282180593735</v>
      </c>
      <c r="Y8" s="16"/>
      <c r="Z8" s="27" t="s">
        <v>55</v>
      </c>
    </row>
    <row r="9" spans="1:26" ht="15">
      <c r="A9" s="1"/>
      <c r="B9" s="1"/>
      <c r="C9" s="23"/>
      <c r="D9" s="23"/>
      <c r="E9" s="30"/>
      <c r="F9" s="23"/>
      <c r="G9" s="23"/>
      <c r="H9" s="23"/>
      <c r="I9" s="9">
        <f>1/(10^(1.785*$C9)*$F9*344400/(($H9+460)^3.825)+1)</f>
        <v>1</v>
      </c>
      <c r="J9" s="10">
        <f>+($G9+14.73)/($F9+14.73)</f>
        <v>1</v>
      </c>
      <c r="K9" s="11"/>
      <c r="L9" s="1"/>
      <c r="M9" s="11"/>
      <c r="N9" s="12"/>
      <c r="O9" s="11"/>
      <c r="P9" s="1"/>
      <c r="Q9" s="13"/>
      <c r="R9" s="14"/>
      <c r="S9" s="1"/>
      <c r="T9" s="15"/>
      <c r="U9" s="21"/>
      <c r="V9" s="21"/>
      <c r="W9" s="26"/>
      <c r="X9" s="26"/>
      <c r="Z9" s="27"/>
    </row>
    <row r="10" spans="1:26" ht="15">
      <c r="A10" s="1" t="s">
        <v>42</v>
      </c>
      <c r="B10" s="1">
        <v>5798</v>
      </c>
      <c r="C10" s="23">
        <v>0.59499999999999997</v>
      </c>
      <c r="D10" s="23">
        <v>1.29</v>
      </c>
      <c r="E10" s="30">
        <v>95</v>
      </c>
      <c r="F10" s="23">
        <v>970</v>
      </c>
      <c r="G10" s="23">
        <v>1090</v>
      </c>
      <c r="H10" s="23">
        <v>85</v>
      </c>
      <c r="I10" s="9">
        <f>1/(10^(1.785*$C10)*$F10*344400/(($H10+460)^3.825)+1)</f>
        <v>0.88371930989163872</v>
      </c>
      <c r="J10" s="10">
        <f>+($G10+14.73)/($F10+14.73)</f>
        <v>1.1218608146395459</v>
      </c>
      <c r="K10" s="11">
        <f>53.385*$I10*($H10+460)/$C10*($D10/($D10-1))*(($J10^(($D10-1)/$D10))-1)</f>
        <v>5033.7757342432242</v>
      </c>
      <c r="L10" s="1">
        <v>1590</v>
      </c>
      <c r="M10" s="11">
        <f>$L10*14.73/520*($H10+460)/($F10+14.73)*$I10*1000000/24/60</f>
        <v>15297.755430610534</v>
      </c>
      <c r="N10" s="12">
        <f t="shared" si="0"/>
        <v>1590</v>
      </c>
      <c r="O10" s="11">
        <f>$N10*14.73/520*($H10+460)/($F10+14.73)*$I10*1000000/24/60</f>
        <v>15297.755430610534</v>
      </c>
      <c r="P10" s="1">
        <v>0.83</v>
      </c>
      <c r="Q10" s="13">
        <f>+$P10*4.333/($P10*4.333-1)</f>
        <v>1.385150150786284</v>
      </c>
      <c r="R10" s="14">
        <f>+($J10^(($Q10-1)/$Q10)*($H10+460))-460</f>
        <v>102.70706158458779</v>
      </c>
      <c r="S10" s="1">
        <v>0.96</v>
      </c>
      <c r="T10" s="15">
        <f>+N10/(33000*P10*S10/K10*1545/16.8*520*1440/14.7/144/1000000  )</f>
        <v>9356.6958177752331</v>
      </c>
      <c r="U10" s="28" t="s">
        <v>39</v>
      </c>
      <c r="V10" s="21">
        <v>0</v>
      </c>
      <c r="W10" s="26">
        <v>0</v>
      </c>
      <c r="X10" s="26"/>
      <c r="Y10" s="16"/>
      <c r="Z10" s="27" t="s">
        <v>51</v>
      </c>
    </row>
    <row r="11" spans="1:26">
      <c r="A11" s="1"/>
      <c r="B11" s="1"/>
      <c r="C11" s="23"/>
      <c r="D11" s="23"/>
      <c r="E11" s="30"/>
      <c r="F11" s="23"/>
      <c r="G11" s="23"/>
      <c r="H11" s="23"/>
      <c r="I11" s="1"/>
      <c r="J11" s="1"/>
      <c r="K11" s="1"/>
      <c r="L11" s="1"/>
      <c r="M11" s="1"/>
      <c r="N11" s="12"/>
      <c r="O11" s="1"/>
      <c r="P11" s="1"/>
      <c r="Q11" s="1"/>
      <c r="R11" s="1"/>
      <c r="S11" s="1"/>
      <c r="U11" s="22"/>
      <c r="V11" s="22"/>
      <c r="W11" s="26"/>
      <c r="X11" s="26"/>
      <c r="Z11" s="27"/>
    </row>
    <row r="12" spans="1:26" ht="15">
      <c r="A12" s="1" t="s">
        <v>43</v>
      </c>
      <c r="B12" s="1">
        <v>6250</v>
      </c>
      <c r="C12" s="23">
        <v>0.59499999999999997</v>
      </c>
      <c r="D12" s="23">
        <v>1.29</v>
      </c>
      <c r="E12" s="30">
        <v>95</v>
      </c>
      <c r="F12" s="23">
        <v>976</v>
      </c>
      <c r="G12" s="23">
        <v>976</v>
      </c>
      <c r="H12" s="23">
        <v>82</v>
      </c>
      <c r="I12" s="9">
        <f>1/(10^(1.785*$C12)*$F12*344400/(($H12+460)^3.825)+1)</f>
        <v>0.88088658270401643</v>
      </c>
      <c r="J12" s="10">
        <f>+($G12+14.73)/($F12+14.73)</f>
        <v>1</v>
      </c>
      <c r="K12" s="11">
        <f>53.385*$I12*($H12+460)/$C12*($D12/($D12-1))*(($J12^(($D12-1)/$D12))-1)</f>
        <v>0</v>
      </c>
      <c r="L12" s="1">
        <v>0</v>
      </c>
      <c r="M12" s="11">
        <f>$L12*14.73/520*($H12+460)/($F12+14.73)*$I12*1000000/24/60</f>
        <v>0</v>
      </c>
      <c r="N12" s="12">
        <f t="shared" si="0"/>
        <v>0</v>
      </c>
      <c r="O12" s="11">
        <f>$N12*14.73/520*($H12+460)/($F12+14.73)*$I12*1000000/24/60</f>
        <v>0</v>
      </c>
      <c r="P12" s="1">
        <v>0.83</v>
      </c>
      <c r="Q12" s="13">
        <f>+$P12*4.333/($P12*4.333-1)</f>
        <v>1.385150150786284</v>
      </c>
      <c r="R12" s="14">
        <f>+($J12^(($Q12-1)/$Q12)*($H12+460))-460</f>
        <v>82</v>
      </c>
      <c r="S12" s="1">
        <v>0.98</v>
      </c>
      <c r="T12" s="15" t="e">
        <f>+N12/(33000*P12*S12/K12*1545/16.8*520*1440/14.7/144/1000000  )</f>
        <v>#DIV/0!</v>
      </c>
      <c r="U12" s="21"/>
      <c r="V12" s="21">
        <v>8500</v>
      </c>
      <c r="W12" s="24">
        <f>10088*(2*(V12/8799)-(V12/8799)^2)</f>
        <v>10076.35121003287</v>
      </c>
      <c r="X12" s="24" t="e">
        <f>+W12-T12</f>
        <v>#DIV/0!</v>
      </c>
      <c r="Y12" s="16"/>
      <c r="Z12" s="27" t="s">
        <v>55</v>
      </c>
    </row>
    <row r="13" spans="1:26" ht="15">
      <c r="A13" s="1"/>
      <c r="B13" s="1"/>
      <c r="C13" s="23">
        <v>0.59499999999999997</v>
      </c>
      <c r="D13" s="23">
        <v>1.29</v>
      </c>
      <c r="E13" s="30">
        <v>95</v>
      </c>
      <c r="F13" s="23">
        <v>976</v>
      </c>
      <c r="G13" s="23">
        <v>976</v>
      </c>
      <c r="H13" s="23">
        <v>85</v>
      </c>
      <c r="I13" s="9">
        <f t="shared" ref="I13:I34" si="1">1/(10^(1.785*$C13)*$F13*344400/(($H13+460)^3.825)+1)</f>
        <v>0.88308414102560451</v>
      </c>
      <c r="J13" s="10">
        <f t="shared" ref="J13:J34" si="2">+($G13+14.73)/($F13+14.73)</f>
        <v>1</v>
      </c>
      <c r="K13" s="11">
        <f t="shared" ref="K13:K34" si="3">53.385*$I13*($H13+460)/$C13*($D13/($D13-1))*(($J13^(($D13-1)/$D13))-1)</f>
        <v>0</v>
      </c>
      <c r="L13" s="1">
        <v>0</v>
      </c>
      <c r="M13" s="11">
        <f t="shared" ref="M13:M34" si="4">$L13*14.73/520*($H13+460)/($F13+14.73)*$I13*1000000/24/60</f>
        <v>0</v>
      </c>
      <c r="N13" s="12">
        <f t="shared" si="0"/>
        <v>0</v>
      </c>
      <c r="O13" s="11">
        <f t="shared" ref="O13:O34" si="5">$N13*14.73/520*($H13+460)/($F13+14.73)*$I13*1000000/24/60</f>
        <v>0</v>
      </c>
      <c r="P13" s="1">
        <v>0.83</v>
      </c>
      <c r="Q13" s="13">
        <f t="shared" ref="Q13:Q34" si="6">+$P13*4.333/($P13*4.333-1)</f>
        <v>1.385150150786284</v>
      </c>
      <c r="R13" s="14">
        <f t="shared" ref="R13:R34" si="7">+($J13^(($Q13-1)/$Q13)*($H13+460))-460</f>
        <v>85</v>
      </c>
      <c r="S13" s="1">
        <v>0.98</v>
      </c>
      <c r="T13" s="15" t="e">
        <f>+N13/(33000*P13*S13/K13*1545/16.8*520*1440/14.7/144/1000000  )</f>
        <v>#DIV/0!</v>
      </c>
      <c r="U13" s="21"/>
      <c r="V13" s="21">
        <v>8500</v>
      </c>
      <c r="W13" s="24">
        <f>10088*(2*(V13/8799)-(V13/8799)^2)</f>
        <v>10076.35121003287</v>
      </c>
      <c r="X13" s="24" t="e">
        <f>+W13-T13</f>
        <v>#DIV/0!</v>
      </c>
      <c r="Y13" s="16"/>
      <c r="Z13" s="27" t="s">
        <v>55</v>
      </c>
    </row>
    <row r="14" spans="1:26" ht="15">
      <c r="A14" s="1"/>
      <c r="B14" s="1"/>
      <c r="C14" s="23">
        <v>0.59499999999999997</v>
      </c>
      <c r="D14" s="23">
        <v>1.29</v>
      </c>
      <c r="E14" s="30">
        <v>95</v>
      </c>
      <c r="F14" s="23">
        <v>976</v>
      </c>
      <c r="G14" s="23">
        <v>976</v>
      </c>
      <c r="H14" s="23">
        <v>88</v>
      </c>
      <c r="I14" s="9">
        <f t="shared" si="1"/>
        <v>0.88523466320076383</v>
      </c>
      <c r="J14" s="10">
        <f t="shared" si="2"/>
        <v>1</v>
      </c>
      <c r="K14" s="11">
        <f t="shared" si="3"/>
        <v>0</v>
      </c>
      <c r="L14" s="1">
        <v>0</v>
      </c>
      <c r="M14" s="11">
        <f t="shared" si="4"/>
        <v>0</v>
      </c>
      <c r="N14" s="12">
        <f t="shared" si="0"/>
        <v>0</v>
      </c>
      <c r="O14" s="11">
        <f t="shared" si="5"/>
        <v>0</v>
      </c>
      <c r="P14" s="1">
        <v>0.83</v>
      </c>
      <c r="Q14" s="13">
        <f t="shared" si="6"/>
        <v>1.385150150786284</v>
      </c>
      <c r="R14" s="14">
        <f t="shared" si="7"/>
        <v>88</v>
      </c>
      <c r="S14" s="1">
        <v>0.98</v>
      </c>
      <c r="T14" s="15" t="e">
        <f>+N14/(33000*P14*S14/K14*1545/16.8*520*1440/14.7/144/1000000  )</f>
        <v>#DIV/0!</v>
      </c>
      <c r="U14" s="21"/>
      <c r="V14" s="21">
        <v>8500</v>
      </c>
      <c r="W14" s="24">
        <f>10088*(2*(V14/8799)-(V14/8799)^2)</f>
        <v>10076.35121003287</v>
      </c>
      <c r="X14" s="24" t="e">
        <f>+W14-T14</f>
        <v>#DIV/0!</v>
      </c>
      <c r="Y14" s="16"/>
      <c r="Z14" s="27" t="s">
        <v>55</v>
      </c>
    </row>
    <row r="15" spans="1:26" ht="15">
      <c r="A15" s="1"/>
      <c r="B15" s="1"/>
      <c r="C15" s="23"/>
      <c r="D15" s="23"/>
      <c r="E15" s="30"/>
      <c r="F15" s="23"/>
      <c r="G15" s="23"/>
      <c r="H15" s="23"/>
      <c r="I15" s="9"/>
      <c r="J15" s="10"/>
      <c r="K15" s="11"/>
      <c r="L15" s="1"/>
      <c r="M15" s="11"/>
      <c r="N15" s="12"/>
      <c r="O15" s="11"/>
      <c r="P15" s="1"/>
      <c r="Q15" s="13"/>
      <c r="R15" s="14"/>
      <c r="S15" s="1"/>
      <c r="T15" s="15"/>
      <c r="U15" s="21"/>
      <c r="V15" s="21"/>
      <c r="W15" s="25"/>
      <c r="X15" s="25"/>
      <c r="Z15" s="27"/>
    </row>
    <row r="16" spans="1:26" ht="15">
      <c r="A16" s="1" t="s">
        <v>44</v>
      </c>
      <c r="B16" s="1">
        <v>6600</v>
      </c>
      <c r="C16" s="23">
        <v>0.59499999999999997</v>
      </c>
      <c r="D16" s="23">
        <v>1.29</v>
      </c>
      <c r="E16" s="30">
        <v>95</v>
      </c>
      <c r="F16" s="23">
        <v>863</v>
      </c>
      <c r="G16" s="23">
        <v>970</v>
      </c>
      <c r="H16" s="23">
        <v>82</v>
      </c>
      <c r="I16" s="9">
        <f t="shared" si="1"/>
        <v>0.89320458423278881</v>
      </c>
      <c r="J16" s="10">
        <f t="shared" si="2"/>
        <v>1.1219053695327721</v>
      </c>
      <c r="K16" s="11">
        <f t="shared" si="3"/>
        <v>5061.5690036521546</v>
      </c>
      <c r="L16" s="1">
        <v>1590</v>
      </c>
      <c r="M16" s="11">
        <f t="shared" si="4"/>
        <v>17251.359397903139</v>
      </c>
      <c r="N16" s="12">
        <f t="shared" si="0"/>
        <v>1590</v>
      </c>
      <c r="O16" s="11">
        <f t="shared" si="5"/>
        <v>17251.359397903139</v>
      </c>
      <c r="P16" s="1">
        <v>0.83</v>
      </c>
      <c r="Q16" s="13">
        <f t="shared" si="6"/>
        <v>1.385150150786284</v>
      </c>
      <c r="R16" s="14">
        <f t="shared" si="7"/>
        <v>99.615771237584568</v>
      </c>
      <c r="S16" s="1">
        <v>0.96</v>
      </c>
      <c r="T16" s="15">
        <f t="shared" ref="T16:T34" si="8">+N16/(33000*P16*S16/K16*1545/16.8*520*1440/14.7/144/1000000  )</f>
        <v>9408.3574692611692</v>
      </c>
      <c r="U16" s="21">
        <v>5012</v>
      </c>
      <c r="V16" s="21">
        <v>0</v>
      </c>
      <c r="W16" s="24"/>
      <c r="X16" s="24"/>
      <c r="Y16" s="16"/>
      <c r="Z16" s="27" t="s">
        <v>50</v>
      </c>
    </row>
    <row r="17" spans="1:26" ht="15">
      <c r="A17" s="1"/>
      <c r="B17" s="1"/>
      <c r="C17" s="23">
        <v>0.59499999999999997</v>
      </c>
      <c r="D17" s="23">
        <v>1.29</v>
      </c>
      <c r="E17" s="30">
        <v>95</v>
      </c>
      <c r="F17" s="23">
        <v>863</v>
      </c>
      <c r="G17" s="23">
        <v>970</v>
      </c>
      <c r="H17" s="23">
        <v>0</v>
      </c>
      <c r="I17" s="9">
        <f t="shared" si="1"/>
        <v>0.81704433705523327</v>
      </c>
      <c r="J17" s="10">
        <f t="shared" si="2"/>
        <v>1.1219053695327721</v>
      </c>
      <c r="K17" s="11">
        <f t="shared" si="3"/>
        <v>3929.5099059417253</v>
      </c>
      <c r="L17" s="1">
        <v>0</v>
      </c>
      <c r="M17" s="11">
        <f t="shared" si="4"/>
        <v>0</v>
      </c>
      <c r="N17" s="12">
        <f t="shared" si="0"/>
        <v>0</v>
      </c>
      <c r="O17" s="11">
        <f t="shared" si="5"/>
        <v>0</v>
      </c>
      <c r="P17" s="1">
        <v>0.83</v>
      </c>
      <c r="Q17" s="13">
        <f t="shared" si="6"/>
        <v>1.385150150786284</v>
      </c>
      <c r="R17" s="14">
        <f t="shared" si="7"/>
        <v>14.950654555883602</v>
      </c>
      <c r="S17" s="1">
        <v>0.96</v>
      </c>
      <c r="T17" s="15">
        <f t="shared" si="8"/>
        <v>0</v>
      </c>
      <c r="U17" s="21">
        <v>5347</v>
      </c>
      <c r="V17" s="21">
        <v>0</v>
      </c>
      <c r="W17" s="24"/>
      <c r="X17" s="24"/>
      <c r="Y17" s="16"/>
      <c r="Z17" s="27" t="s">
        <v>50</v>
      </c>
    </row>
    <row r="18" spans="1:26" ht="27.75" customHeight="1">
      <c r="A18" s="1"/>
      <c r="B18" s="1"/>
      <c r="C18" s="23">
        <v>0.59499999999999997</v>
      </c>
      <c r="D18" s="23">
        <v>1.29</v>
      </c>
      <c r="E18" s="30">
        <v>95</v>
      </c>
      <c r="F18" s="23">
        <v>863</v>
      </c>
      <c r="G18" s="23">
        <v>970</v>
      </c>
      <c r="H18" s="23">
        <v>82</v>
      </c>
      <c r="I18" s="9">
        <f t="shared" si="1"/>
        <v>0.89320458423278881</v>
      </c>
      <c r="J18" s="10">
        <f t="shared" si="2"/>
        <v>1.1219053695327721</v>
      </c>
      <c r="K18" s="11">
        <f t="shared" si="3"/>
        <v>5061.5690036521546</v>
      </c>
      <c r="L18" s="1">
        <v>1590</v>
      </c>
      <c r="M18" s="11">
        <f t="shared" si="4"/>
        <v>17251.359397903139</v>
      </c>
      <c r="N18" s="12">
        <f t="shared" si="0"/>
        <v>1590</v>
      </c>
      <c r="O18" s="11">
        <f t="shared" si="5"/>
        <v>17251.359397903139</v>
      </c>
      <c r="P18" s="1">
        <v>0.83</v>
      </c>
      <c r="Q18" s="13">
        <f t="shared" si="6"/>
        <v>1.385150150786284</v>
      </c>
      <c r="R18" s="14">
        <f t="shared" si="7"/>
        <v>99.615771237584568</v>
      </c>
      <c r="S18" s="1">
        <v>0.96</v>
      </c>
      <c r="T18" s="15">
        <f t="shared" si="8"/>
        <v>9408.3574692611692</v>
      </c>
      <c r="U18" s="21">
        <v>5836</v>
      </c>
      <c r="V18" s="21">
        <v>0</v>
      </c>
      <c r="W18" s="24"/>
      <c r="X18" s="24"/>
      <c r="Y18" s="16"/>
      <c r="Z18" s="31" t="s">
        <v>56</v>
      </c>
    </row>
    <row r="19" spans="1:26" ht="15">
      <c r="A19" s="1"/>
      <c r="B19" s="1"/>
      <c r="C19" s="23"/>
      <c r="D19" s="23"/>
      <c r="E19" s="30"/>
      <c r="F19" s="23"/>
      <c r="G19" s="23"/>
      <c r="H19" s="23"/>
      <c r="I19" s="9"/>
      <c r="J19" s="10"/>
      <c r="K19" s="11"/>
      <c r="L19" s="1"/>
      <c r="M19" s="11"/>
      <c r="N19" s="12"/>
      <c r="O19" s="11"/>
      <c r="P19" s="1"/>
      <c r="Q19" s="13"/>
      <c r="R19" s="14"/>
      <c r="S19" s="1"/>
      <c r="T19" s="15"/>
      <c r="U19" s="21"/>
      <c r="V19" s="21"/>
      <c r="W19" s="25"/>
      <c r="X19" s="25"/>
      <c r="Z19" s="27"/>
    </row>
    <row r="20" spans="1:26" ht="15">
      <c r="A20" s="1" t="s">
        <v>45</v>
      </c>
      <c r="B20" s="1">
        <v>7300</v>
      </c>
      <c r="C20" s="23">
        <v>0.59499999999999997</v>
      </c>
      <c r="D20" s="23">
        <v>1.29</v>
      </c>
      <c r="E20" s="30">
        <v>95</v>
      </c>
      <c r="F20" s="23">
        <v>830</v>
      </c>
      <c r="G20" s="23">
        <v>1000</v>
      </c>
      <c r="H20" s="23">
        <v>78</v>
      </c>
      <c r="I20" s="9">
        <f t="shared" si="1"/>
        <v>0.89421676622360968</v>
      </c>
      <c r="J20" s="10">
        <f t="shared" si="2"/>
        <v>1.2012477359629705</v>
      </c>
      <c r="K20" s="11">
        <f t="shared" si="3"/>
        <v>8080.0779060473787</v>
      </c>
      <c r="L20" s="1">
        <v>1762</v>
      </c>
      <c r="M20" s="11">
        <f t="shared" si="4"/>
        <v>19740.128762579199</v>
      </c>
      <c r="N20" s="12">
        <f t="shared" si="0"/>
        <v>1762</v>
      </c>
      <c r="O20" s="11">
        <f t="shared" si="5"/>
        <v>19740.128762579199</v>
      </c>
      <c r="P20" s="1">
        <v>0.83</v>
      </c>
      <c r="Q20" s="13">
        <f t="shared" si="6"/>
        <v>1.385150150786284</v>
      </c>
      <c r="R20" s="14">
        <f t="shared" si="7"/>
        <v>106.14104375250827</v>
      </c>
      <c r="S20" s="1">
        <v>0.98</v>
      </c>
      <c r="T20" s="15">
        <f t="shared" si="8"/>
        <v>16304.148915824346</v>
      </c>
      <c r="U20" s="21">
        <v>5239</v>
      </c>
      <c r="V20" s="21">
        <v>6100</v>
      </c>
      <c r="W20" s="24">
        <f>29980/0.7457*0.95*0.994*0.985*0.997*0.754*(2*(V20/6100)-(V20/6100)^2)</f>
        <v>28111.253387367597</v>
      </c>
      <c r="X20" s="24">
        <f>+W20-T20</f>
        <v>11807.104471543251</v>
      </c>
      <c r="Y20" s="16"/>
      <c r="Z20" s="27" t="s">
        <v>57</v>
      </c>
    </row>
    <row r="21" spans="1:26" ht="15">
      <c r="A21" s="1"/>
      <c r="B21" s="1"/>
      <c r="C21" s="23"/>
      <c r="D21" s="23"/>
      <c r="E21" s="30"/>
      <c r="F21" s="23"/>
      <c r="G21" s="23"/>
      <c r="H21" s="23"/>
      <c r="I21" s="9"/>
      <c r="J21" s="10"/>
      <c r="K21" s="11"/>
      <c r="L21" s="1"/>
      <c r="M21" s="11"/>
      <c r="N21" s="12"/>
      <c r="O21" s="11"/>
      <c r="P21" s="1"/>
      <c r="Q21" s="13"/>
      <c r="R21" s="14"/>
      <c r="S21" s="1"/>
      <c r="T21" s="15"/>
      <c r="U21" s="21"/>
      <c r="V21" s="21"/>
      <c r="W21" s="25"/>
      <c r="X21" s="25"/>
      <c r="Z21" s="27"/>
    </row>
    <row r="22" spans="1:26" ht="15">
      <c r="A22" s="1" t="s">
        <v>46</v>
      </c>
      <c r="B22" s="1">
        <v>7450</v>
      </c>
      <c r="C22" s="23">
        <v>0.59499999999999997</v>
      </c>
      <c r="D22" s="23">
        <v>1.29</v>
      </c>
      <c r="E22" s="30">
        <v>95</v>
      </c>
      <c r="F22" s="23">
        <v>820</v>
      </c>
      <c r="G22" s="23">
        <v>1004</v>
      </c>
      <c r="H22" s="23">
        <v>82</v>
      </c>
      <c r="I22" s="9">
        <f t="shared" si="1"/>
        <v>0.89798293861878098</v>
      </c>
      <c r="J22" s="10">
        <f t="shared" si="2"/>
        <v>1.2204305583841482</v>
      </c>
      <c r="K22" s="11">
        <f t="shared" si="3"/>
        <v>8896.6746658211578</v>
      </c>
      <c r="L22" s="1">
        <v>1747</v>
      </c>
      <c r="M22" s="11">
        <f t="shared" si="4"/>
        <v>20037.852052155991</v>
      </c>
      <c r="N22" s="12">
        <f t="shared" si="0"/>
        <v>1747</v>
      </c>
      <c r="O22" s="11">
        <f t="shared" si="5"/>
        <v>20037.852052155991</v>
      </c>
      <c r="P22" s="1">
        <v>0.83</v>
      </c>
      <c r="Q22" s="13">
        <f t="shared" si="6"/>
        <v>1.385150150786284</v>
      </c>
      <c r="R22" s="14">
        <f t="shared" si="7"/>
        <v>112.86833587302704</v>
      </c>
      <c r="S22" s="1">
        <v>0.98</v>
      </c>
      <c r="T22" s="15">
        <f t="shared" si="8"/>
        <v>17799.069369472229</v>
      </c>
      <c r="U22" s="21">
        <v>10742</v>
      </c>
      <c r="V22" s="21">
        <v>6100</v>
      </c>
      <c r="W22" s="24">
        <f>29980/0.7457*0.95*0.994*0.985*0.997*0.754*(2*(V22/6100)-(V22/6100)^2)</f>
        <v>28111.253387367597</v>
      </c>
      <c r="X22" s="24">
        <f>+W22-T22</f>
        <v>10312.184017895368</v>
      </c>
      <c r="Y22" s="16"/>
      <c r="Z22" s="27" t="s">
        <v>58</v>
      </c>
    </row>
    <row r="23" spans="1:26" ht="15">
      <c r="A23" s="1"/>
      <c r="B23" s="1"/>
      <c r="C23" s="23"/>
      <c r="D23" s="23"/>
      <c r="E23" s="30"/>
      <c r="F23" s="23"/>
      <c r="G23" s="23"/>
      <c r="H23" s="23"/>
      <c r="I23" s="9"/>
      <c r="J23" s="10"/>
      <c r="K23" s="11"/>
      <c r="L23" s="1"/>
      <c r="M23" s="11"/>
      <c r="N23" s="12"/>
      <c r="O23" s="11"/>
      <c r="P23" s="1"/>
      <c r="Q23" s="13"/>
      <c r="R23" s="14"/>
      <c r="S23" s="1"/>
      <c r="T23" s="15"/>
      <c r="U23" s="21"/>
      <c r="V23" s="21"/>
      <c r="W23" s="24"/>
      <c r="X23" s="24"/>
      <c r="Y23" s="16"/>
      <c r="Z23" s="27"/>
    </row>
    <row r="24" spans="1:26" ht="15">
      <c r="A24" s="1" t="s">
        <v>53</v>
      </c>
      <c r="B24" s="1">
        <v>5049</v>
      </c>
      <c r="C24" s="23">
        <v>0.59499999999999997</v>
      </c>
      <c r="D24" s="23">
        <v>1.29</v>
      </c>
      <c r="E24" s="30">
        <v>95</v>
      </c>
      <c r="F24" s="23">
        <v>672</v>
      </c>
      <c r="G24" s="23">
        <v>1005</v>
      </c>
      <c r="H24" s="23">
        <v>85</v>
      </c>
      <c r="I24" s="9">
        <f t="shared" si="1"/>
        <v>0.91645826564017163</v>
      </c>
      <c r="J24" s="10">
        <f t="shared" si="2"/>
        <v>1.4849067319033682</v>
      </c>
      <c r="K24" s="11">
        <f t="shared" si="3"/>
        <v>18528.396153878912</v>
      </c>
      <c r="L24" s="1">
        <v>1243</v>
      </c>
      <c r="M24" s="11">
        <f t="shared" si="4"/>
        <v>17784.072266143168</v>
      </c>
      <c r="N24" s="12">
        <f t="shared" si="0"/>
        <v>1243</v>
      </c>
      <c r="O24" s="11">
        <f t="shared" si="5"/>
        <v>17784.072266143168</v>
      </c>
      <c r="P24" s="1">
        <v>0.83</v>
      </c>
      <c r="Q24" s="13">
        <f t="shared" si="6"/>
        <v>1.385150150786284</v>
      </c>
      <c r="R24" s="14">
        <f t="shared" si="7"/>
        <v>148.32910102606729</v>
      </c>
      <c r="S24" s="1">
        <v>0.98</v>
      </c>
      <c r="T24" s="15">
        <f t="shared" si="8"/>
        <v>26374.585165549226</v>
      </c>
      <c r="U24" s="21">
        <v>11586</v>
      </c>
      <c r="V24" s="21">
        <v>6100</v>
      </c>
      <c r="W24" s="24">
        <f>29980/0.7457*0.95*0.994*0.985*0.997*0.825*(2*(V24/6100)-(V24/6100)^2)</f>
        <v>30758.334276629001</v>
      </c>
      <c r="X24" s="24">
        <f>+W24-T24</f>
        <v>4383.7491110797746</v>
      </c>
      <c r="Y24" s="16"/>
      <c r="Z24" s="27" t="s">
        <v>58</v>
      </c>
    </row>
    <row r="25" spans="1:26" ht="15">
      <c r="A25" s="1"/>
      <c r="B25" s="1"/>
      <c r="C25" s="23"/>
      <c r="D25" s="23"/>
      <c r="E25" s="30"/>
      <c r="F25" s="23"/>
      <c r="G25" s="23"/>
      <c r="H25" s="23"/>
      <c r="I25" s="9"/>
      <c r="J25" s="10"/>
      <c r="K25" s="11"/>
      <c r="L25" s="1"/>
      <c r="M25" s="11"/>
      <c r="N25" s="12"/>
      <c r="O25" s="11"/>
      <c r="P25" s="1"/>
      <c r="Q25" s="13"/>
      <c r="R25" s="14"/>
      <c r="S25" s="1"/>
      <c r="T25" s="15"/>
      <c r="U25" s="21"/>
      <c r="V25" s="21"/>
      <c r="W25" s="25"/>
      <c r="X25" s="25"/>
      <c r="Y25" s="16"/>
      <c r="Z25" s="27"/>
    </row>
    <row r="26" spans="1:26" ht="15">
      <c r="A26" s="1" t="s">
        <v>47</v>
      </c>
      <c r="B26" s="1">
        <v>4768</v>
      </c>
      <c r="C26" s="23">
        <v>0.59499999999999997</v>
      </c>
      <c r="D26" s="23">
        <v>1.29</v>
      </c>
      <c r="E26" s="30">
        <v>95</v>
      </c>
      <c r="F26" s="23">
        <v>775</v>
      </c>
      <c r="G26" s="23">
        <v>1004</v>
      </c>
      <c r="H26" s="23">
        <v>85</v>
      </c>
      <c r="I26" s="9">
        <f t="shared" si="1"/>
        <v>0.90487160205403971</v>
      </c>
      <c r="J26" s="10">
        <f t="shared" si="2"/>
        <v>1.2899725222544414</v>
      </c>
      <c r="K26" s="11">
        <f t="shared" si="3"/>
        <v>11594.945073298972</v>
      </c>
      <c r="L26" s="1">
        <v>1758</v>
      </c>
      <c r="M26" s="11">
        <f t="shared" si="4"/>
        <v>21595.367882253842</v>
      </c>
      <c r="N26" s="12">
        <f t="shared" si="0"/>
        <v>1758</v>
      </c>
      <c r="O26" s="11">
        <f t="shared" si="5"/>
        <v>21595.367882253842</v>
      </c>
      <c r="P26" s="1">
        <v>0.83</v>
      </c>
      <c r="Q26" s="13">
        <f t="shared" si="6"/>
        <v>1.385150150786284</v>
      </c>
      <c r="R26" s="14">
        <f t="shared" si="7"/>
        <v>124.98419104590585</v>
      </c>
      <c r="S26" s="1">
        <v>0.98</v>
      </c>
      <c r="T26" s="15">
        <f>+N26/(33000*P26*S26/K26*1545/16.8*520*1440/14.7/144/1000000  )</f>
        <v>23343.407288795424</v>
      </c>
      <c r="U26" s="21"/>
      <c r="V26" s="21">
        <v>6100</v>
      </c>
      <c r="W26" s="24">
        <f>29980/0.7457*0.95*0.994*0.985*0.997*0.835*(2*(V26/6100)-(V26/6100)^2)</f>
        <v>31131.162570891171</v>
      </c>
      <c r="X26" s="24">
        <f>+W26-T26</f>
        <v>7787.7552820957462</v>
      </c>
      <c r="Y26" s="16"/>
      <c r="Z26" s="27" t="s">
        <v>58</v>
      </c>
    </row>
    <row r="27" spans="1:26" ht="15">
      <c r="A27" s="1"/>
      <c r="B27" s="1"/>
      <c r="C27" s="23"/>
      <c r="D27" s="23"/>
      <c r="E27" s="30"/>
      <c r="F27" s="23"/>
      <c r="G27" s="23"/>
      <c r="H27" s="23"/>
      <c r="I27" s="9"/>
      <c r="J27" s="10"/>
      <c r="K27" s="11"/>
      <c r="L27" s="1"/>
      <c r="M27" s="11"/>
      <c r="N27" s="12"/>
      <c r="O27" s="11"/>
      <c r="P27" s="1"/>
      <c r="Q27" s="13"/>
      <c r="R27" s="14"/>
      <c r="S27" s="1"/>
      <c r="T27" s="15"/>
      <c r="U27" s="21"/>
      <c r="V27" s="21"/>
      <c r="W27" s="25"/>
      <c r="X27" s="25"/>
      <c r="Z27" s="27"/>
    </row>
    <row r="28" spans="1:26" ht="15">
      <c r="A28" s="1" t="s">
        <v>48</v>
      </c>
      <c r="B28" s="1">
        <v>5120</v>
      </c>
      <c r="C28" s="23">
        <v>0.59499999999999997</v>
      </c>
      <c r="D28" s="23">
        <v>1.29</v>
      </c>
      <c r="E28" s="30">
        <v>95</v>
      </c>
      <c r="F28" s="23">
        <v>901</v>
      </c>
      <c r="G28" s="23">
        <v>901</v>
      </c>
      <c r="H28" s="23">
        <v>75</v>
      </c>
      <c r="I28" s="9">
        <f t="shared" si="1"/>
        <v>0.88402266681747943</v>
      </c>
      <c r="J28" s="10">
        <f t="shared" si="2"/>
        <v>1</v>
      </c>
      <c r="K28" s="11">
        <f t="shared" si="3"/>
        <v>0</v>
      </c>
      <c r="L28" s="1">
        <v>0</v>
      </c>
      <c r="M28" s="11">
        <f t="shared" si="4"/>
        <v>0</v>
      </c>
      <c r="N28" s="12">
        <f t="shared" si="0"/>
        <v>0</v>
      </c>
      <c r="O28" s="11">
        <f t="shared" si="5"/>
        <v>0</v>
      </c>
      <c r="P28" s="1">
        <v>0.83</v>
      </c>
      <c r="Q28" s="13">
        <f t="shared" si="6"/>
        <v>1.385150150786284</v>
      </c>
      <c r="R28" s="14">
        <f t="shared" si="7"/>
        <v>75</v>
      </c>
      <c r="S28" s="1">
        <v>0.98</v>
      </c>
      <c r="T28" s="15" t="e">
        <f t="shared" si="8"/>
        <v>#DIV/0!</v>
      </c>
      <c r="U28" s="21">
        <v>5365</v>
      </c>
      <c r="V28" s="21">
        <v>6100</v>
      </c>
      <c r="W28" s="24">
        <f>29980/0.7457*0.95*0.994*0.985*0.997*0.825*(2*(V28/6100)-(V28/6100)^2)</f>
        <v>30758.334276629001</v>
      </c>
      <c r="X28" s="24" t="e">
        <f>+W28-T28</f>
        <v>#DIV/0!</v>
      </c>
      <c r="Y28" s="16"/>
      <c r="Z28" s="27" t="s">
        <v>58</v>
      </c>
    </row>
    <row r="29" spans="1:26" ht="15">
      <c r="A29" s="1"/>
      <c r="B29" s="1"/>
      <c r="C29" s="23">
        <v>0.59499999999999997</v>
      </c>
      <c r="D29" s="23">
        <v>1.29</v>
      </c>
      <c r="E29" s="30">
        <v>95</v>
      </c>
      <c r="F29" s="23">
        <v>901</v>
      </c>
      <c r="G29" s="23">
        <v>901</v>
      </c>
      <c r="H29" s="23">
        <v>92</v>
      </c>
      <c r="I29" s="9">
        <f t="shared" si="1"/>
        <v>0.8957378045961969</v>
      </c>
      <c r="J29" s="10">
        <f t="shared" si="2"/>
        <v>1</v>
      </c>
      <c r="K29" s="11">
        <f t="shared" si="3"/>
        <v>0</v>
      </c>
      <c r="L29" s="1">
        <v>0</v>
      </c>
      <c r="M29" s="11">
        <f t="shared" si="4"/>
        <v>0</v>
      </c>
      <c r="N29" s="12">
        <f t="shared" si="0"/>
        <v>0</v>
      </c>
      <c r="O29" s="11">
        <f t="shared" si="5"/>
        <v>0</v>
      </c>
      <c r="P29" s="1">
        <v>0.83</v>
      </c>
      <c r="Q29" s="13">
        <f t="shared" si="6"/>
        <v>1.385150150786284</v>
      </c>
      <c r="R29" s="14">
        <f t="shared" si="7"/>
        <v>92</v>
      </c>
      <c r="S29" s="1">
        <v>0.98</v>
      </c>
      <c r="T29" s="15" t="e">
        <f t="shared" si="8"/>
        <v>#DIV/0!</v>
      </c>
      <c r="U29" s="21">
        <v>5369</v>
      </c>
      <c r="V29" s="21">
        <v>6100</v>
      </c>
      <c r="W29" s="24">
        <f>29980/0.7457*0.95*0.994*0.985*0.997*0.825*(2*(V29/6100)-(V29/6100)^2)</f>
        <v>30758.334276629001</v>
      </c>
      <c r="X29" s="24" t="e">
        <f>+W29-T29</f>
        <v>#DIV/0!</v>
      </c>
      <c r="Y29" s="16"/>
      <c r="Z29" s="27" t="s">
        <v>58</v>
      </c>
    </row>
    <row r="30" spans="1:26" ht="15">
      <c r="A30" s="1"/>
      <c r="B30" s="1"/>
      <c r="C30" s="23">
        <v>0.59499999999999997</v>
      </c>
      <c r="D30" s="23">
        <v>1.29</v>
      </c>
      <c r="E30" s="30">
        <v>95</v>
      </c>
      <c r="F30" s="23">
        <v>901</v>
      </c>
      <c r="G30" s="23">
        <v>901</v>
      </c>
      <c r="H30" s="23">
        <v>95</v>
      </c>
      <c r="I30" s="9">
        <f t="shared" si="1"/>
        <v>0.89765815247750247</v>
      </c>
      <c r="J30" s="10">
        <f t="shared" si="2"/>
        <v>1</v>
      </c>
      <c r="K30" s="11">
        <f t="shared" si="3"/>
        <v>0</v>
      </c>
      <c r="L30" s="1">
        <v>0</v>
      </c>
      <c r="M30" s="11">
        <f t="shared" si="4"/>
        <v>0</v>
      </c>
      <c r="N30" s="12">
        <f t="shared" si="0"/>
        <v>0</v>
      </c>
      <c r="O30" s="11">
        <f t="shared" si="5"/>
        <v>0</v>
      </c>
      <c r="P30" s="1">
        <v>0.83</v>
      </c>
      <c r="Q30" s="13">
        <f t="shared" si="6"/>
        <v>1.385150150786284</v>
      </c>
      <c r="R30" s="14">
        <f t="shared" si="7"/>
        <v>95</v>
      </c>
      <c r="S30" s="1">
        <v>0.98</v>
      </c>
      <c r="T30" s="15" t="e">
        <f t="shared" si="8"/>
        <v>#DIV/0!</v>
      </c>
      <c r="U30" s="21">
        <v>5386</v>
      </c>
      <c r="V30" s="21">
        <v>6100</v>
      </c>
      <c r="W30" s="24">
        <f>29980/0.7457*0.95*0.994*0.985*0.997*0.825*(2*(V30/6100)-(V30/6100)^2)</f>
        <v>30758.334276629001</v>
      </c>
      <c r="X30" s="24" t="e">
        <f>+W30-T30</f>
        <v>#DIV/0!</v>
      </c>
      <c r="Y30" s="16"/>
      <c r="Z30" s="27" t="s">
        <v>58</v>
      </c>
    </row>
    <row r="31" spans="1:26" ht="15">
      <c r="A31" s="1"/>
      <c r="B31" s="1"/>
      <c r="C31" s="23"/>
      <c r="D31" s="23"/>
      <c r="E31" s="30"/>
      <c r="F31" s="23"/>
      <c r="G31" s="23"/>
      <c r="H31" s="23"/>
      <c r="I31" s="9"/>
      <c r="J31" s="10"/>
      <c r="K31" s="11"/>
      <c r="L31" s="1"/>
      <c r="M31" s="11"/>
      <c r="N31" s="12"/>
      <c r="O31" s="11"/>
      <c r="P31" s="1"/>
      <c r="Q31" s="13"/>
      <c r="R31" s="14"/>
      <c r="S31" s="1"/>
      <c r="T31" s="15"/>
      <c r="U31" s="21"/>
      <c r="V31" s="21"/>
      <c r="W31" s="25"/>
      <c r="X31" s="25"/>
      <c r="Z31" s="27"/>
    </row>
    <row r="32" spans="1:26" ht="15">
      <c r="A32" s="1" t="s">
        <v>49</v>
      </c>
      <c r="B32" s="1">
        <v>2610</v>
      </c>
      <c r="C32" s="23">
        <v>0.59499999999999997</v>
      </c>
      <c r="D32" s="23">
        <v>1.29</v>
      </c>
      <c r="E32" s="30">
        <v>95</v>
      </c>
      <c r="F32" s="23">
        <v>895</v>
      </c>
      <c r="G32" s="23">
        <v>895</v>
      </c>
      <c r="H32" s="23">
        <v>85</v>
      </c>
      <c r="I32" s="9">
        <f t="shared" si="1"/>
        <v>0.89173671405441268</v>
      </c>
      <c r="J32" s="10">
        <f t="shared" si="2"/>
        <v>1</v>
      </c>
      <c r="K32" s="11">
        <f t="shared" si="3"/>
        <v>0</v>
      </c>
      <c r="L32" s="1">
        <v>0</v>
      </c>
      <c r="M32" s="11">
        <f t="shared" si="4"/>
        <v>0</v>
      </c>
      <c r="N32" s="12">
        <f t="shared" si="0"/>
        <v>0</v>
      </c>
      <c r="O32" s="11">
        <f t="shared" si="5"/>
        <v>0</v>
      </c>
      <c r="P32" s="1">
        <v>0.83</v>
      </c>
      <c r="Q32" s="13">
        <f t="shared" si="6"/>
        <v>1.385150150786284</v>
      </c>
      <c r="R32" s="14">
        <f t="shared" si="7"/>
        <v>85</v>
      </c>
      <c r="S32" s="1">
        <v>0.98</v>
      </c>
      <c r="T32" s="15" t="e">
        <f t="shared" si="8"/>
        <v>#DIV/0!</v>
      </c>
      <c r="U32" s="21">
        <v>5235</v>
      </c>
      <c r="V32" s="21">
        <v>6100</v>
      </c>
      <c r="W32" s="24">
        <f>29980/0.7457*0.95*0.994*0.985*0.997*0.91*(2*(V32/6100)-(V32/6100)^2)</f>
        <v>33927.374777857447</v>
      </c>
      <c r="X32" s="24" t="e">
        <f>+W32-T32</f>
        <v>#DIV/0!</v>
      </c>
      <c r="Y32" s="16"/>
      <c r="Z32" s="27" t="s">
        <v>58</v>
      </c>
    </row>
    <row r="33" spans="1:26" ht="15">
      <c r="A33" s="1"/>
      <c r="B33" s="1"/>
      <c r="C33" s="23">
        <v>0.59499999999999997</v>
      </c>
      <c r="D33" s="23">
        <v>1.29</v>
      </c>
      <c r="E33" s="30">
        <v>95</v>
      </c>
      <c r="F33" s="23">
        <v>895</v>
      </c>
      <c r="G33" s="23">
        <v>895</v>
      </c>
      <c r="H33" s="23">
        <v>92</v>
      </c>
      <c r="I33" s="9">
        <f t="shared" si="1"/>
        <v>0.89636015627943455</v>
      </c>
      <c r="J33" s="10">
        <f t="shared" si="2"/>
        <v>1</v>
      </c>
      <c r="K33" s="11">
        <f t="shared" si="3"/>
        <v>0</v>
      </c>
      <c r="L33" s="1">
        <v>0</v>
      </c>
      <c r="M33" s="11">
        <f t="shared" si="4"/>
        <v>0</v>
      </c>
      <c r="N33" s="12">
        <f t="shared" si="0"/>
        <v>0</v>
      </c>
      <c r="O33" s="11">
        <f t="shared" si="5"/>
        <v>0</v>
      </c>
      <c r="P33" s="1">
        <v>0.83</v>
      </c>
      <c r="Q33" s="13">
        <f t="shared" si="6"/>
        <v>1.385150150786284</v>
      </c>
      <c r="R33" s="14">
        <f t="shared" si="7"/>
        <v>92</v>
      </c>
      <c r="S33" s="1">
        <v>0.98</v>
      </c>
      <c r="T33" s="15" t="e">
        <f t="shared" si="8"/>
        <v>#DIV/0!</v>
      </c>
      <c r="U33" s="21">
        <v>5326</v>
      </c>
      <c r="V33" s="21">
        <v>6100</v>
      </c>
      <c r="W33" s="24">
        <f>29980/0.7457*0.95*0.994*0.985*0.997*0.91*(2*(V33/6100)-(V33/6100)^2)</f>
        <v>33927.374777857447</v>
      </c>
      <c r="X33" s="24" t="e">
        <f>+W33-T33</f>
        <v>#DIV/0!</v>
      </c>
      <c r="Y33" s="16"/>
      <c r="Z33" s="27" t="s">
        <v>58</v>
      </c>
    </row>
    <row r="34" spans="1:26" ht="15">
      <c r="A34" s="1"/>
      <c r="B34" s="1"/>
      <c r="C34" s="23">
        <v>0.59499999999999997</v>
      </c>
      <c r="D34" s="23">
        <v>1.29</v>
      </c>
      <c r="E34" s="30">
        <v>95</v>
      </c>
      <c r="F34" s="23">
        <v>895</v>
      </c>
      <c r="G34" s="23">
        <v>895</v>
      </c>
      <c r="H34" s="23">
        <v>98</v>
      </c>
      <c r="I34" s="9">
        <f t="shared" si="1"/>
        <v>0.90013919971964174</v>
      </c>
      <c r="J34" s="10">
        <f t="shared" si="2"/>
        <v>1</v>
      </c>
      <c r="K34" s="11">
        <f t="shared" si="3"/>
        <v>0</v>
      </c>
      <c r="L34" s="1">
        <v>0</v>
      </c>
      <c r="M34" s="11">
        <f t="shared" si="4"/>
        <v>0</v>
      </c>
      <c r="N34" s="12">
        <f t="shared" si="0"/>
        <v>0</v>
      </c>
      <c r="O34" s="11">
        <f t="shared" si="5"/>
        <v>0</v>
      </c>
      <c r="P34" s="1">
        <v>0.83</v>
      </c>
      <c r="Q34" s="13">
        <f t="shared" si="6"/>
        <v>1.385150150786284</v>
      </c>
      <c r="R34" s="14">
        <f t="shared" si="7"/>
        <v>98</v>
      </c>
      <c r="S34" s="1">
        <v>0.98</v>
      </c>
      <c r="T34" s="15" t="e">
        <f t="shared" si="8"/>
        <v>#DIV/0!</v>
      </c>
      <c r="U34" s="21">
        <v>5316</v>
      </c>
      <c r="V34" s="21">
        <v>6100</v>
      </c>
      <c r="W34" s="24">
        <f>29980/0.7457*0.95*0.994*0.985*0.997*0.91*(2*(V34/6100)-(V34/6100)^2)</f>
        <v>33927.374777857447</v>
      </c>
      <c r="X34" s="24" t="e">
        <f>+W34-T34</f>
        <v>#DIV/0!</v>
      </c>
      <c r="Y34" s="16"/>
      <c r="Z34" s="27" t="s">
        <v>58</v>
      </c>
    </row>
    <row r="35" spans="1:26">
      <c r="W35" s="26"/>
      <c r="X35" s="26"/>
      <c r="Z35" s="27"/>
    </row>
    <row r="36" spans="1:26">
      <c r="W36" s="26"/>
      <c r="X36" s="26"/>
      <c r="Z36" s="27"/>
    </row>
    <row r="37" spans="1:26">
      <c r="C37" t="s">
        <v>34</v>
      </c>
      <c r="W37" s="26"/>
      <c r="X37" s="26"/>
      <c r="Z37" s="27"/>
    </row>
    <row r="38" spans="1:26">
      <c r="W38" s="26"/>
      <c r="X38" s="26"/>
      <c r="Z38" s="27"/>
    </row>
    <row r="39" spans="1:26">
      <c r="W39" s="26"/>
      <c r="X39" s="26"/>
      <c r="Z39" s="27"/>
    </row>
    <row r="40" spans="1:26">
      <c r="W40" s="26"/>
      <c r="X40" s="26"/>
    </row>
    <row r="41" spans="1:26">
      <c r="W41" s="26"/>
      <c r="X41" s="26"/>
    </row>
  </sheetData>
  <mergeCells count="2">
    <mergeCell ref="A1:W1"/>
    <mergeCell ref="U2:X2"/>
  </mergeCells>
  <phoneticPr fontId="0" type="noConversion"/>
  <pageMargins left="0.75" right="0.75" top="1" bottom="1" header="0.5" footer="0.5"/>
  <pageSetup paperSize="1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C12" sqref="C12"/>
    </sheetView>
  </sheetViews>
  <sheetFormatPr defaultRowHeight="12.75"/>
  <cols>
    <col min="1" max="1" width="17.5703125" customWidth="1"/>
  </cols>
  <sheetData>
    <row r="1" spans="1:5">
      <c r="C1" t="s">
        <v>3</v>
      </c>
      <c r="E1" t="s">
        <v>25</v>
      </c>
    </row>
    <row r="2" spans="1:5">
      <c r="A2" s="1" t="s">
        <v>41</v>
      </c>
      <c r="C2">
        <v>30</v>
      </c>
      <c r="E2">
        <v>24</v>
      </c>
    </row>
    <row r="3" spans="1:5">
      <c r="A3" s="1"/>
    </row>
    <row r="4" spans="1:5">
      <c r="A4" s="1"/>
    </row>
    <row r="5" spans="1:5">
      <c r="A5" s="1"/>
    </row>
    <row r="6" spans="1:5">
      <c r="A6" s="1" t="s">
        <v>42</v>
      </c>
      <c r="C6">
        <v>36</v>
      </c>
      <c r="E6">
        <v>36</v>
      </c>
    </row>
    <row r="7" spans="1:5">
      <c r="A7" s="1"/>
      <c r="C7" s="32"/>
    </row>
    <row r="8" spans="1:5">
      <c r="A8" s="1" t="s">
        <v>43</v>
      </c>
      <c r="C8" s="32">
        <v>36</v>
      </c>
      <c r="E8">
        <v>36</v>
      </c>
    </row>
    <row r="9" spans="1:5">
      <c r="A9" s="1"/>
      <c r="C9" s="32"/>
    </row>
    <row r="10" spans="1:5">
      <c r="A10" s="1"/>
      <c r="C10" s="32"/>
    </row>
    <row r="11" spans="1:5">
      <c r="A11" s="1"/>
      <c r="C11" s="32"/>
    </row>
    <row r="12" spans="1:5">
      <c r="A12" s="1" t="s">
        <v>44</v>
      </c>
      <c r="C12" s="32">
        <v>36</v>
      </c>
      <c r="E12">
        <v>36</v>
      </c>
    </row>
    <row r="13" spans="1:5">
      <c r="A13" s="1"/>
      <c r="C13" s="32"/>
    </row>
    <row r="14" spans="1:5">
      <c r="A14" s="1"/>
      <c r="C14" s="32"/>
    </row>
    <row r="15" spans="1:5">
      <c r="A15" s="1"/>
      <c r="C15" s="32"/>
    </row>
    <row r="16" spans="1:5">
      <c r="A16" s="1" t="s">
        <v>45</v>
      </c>
      <c r="C16" s="32" t="s">
        <v>59</v>
      </c>
      <c r="E16" s="32" t="s">
        <v>59</v>
      </c>
    </row>
    <row r="17" spans="1:5">
      <c r="A17" s="1"/>
      <c r="C17" s="32"/>
    </row>
    <row r="18" spans="1:5">
      <c r="A18" s="1"/>
      <c r="C18" s="32"/>
    </row>
    <row r="19" spans="1:5">
      <c r="A19" s="1"/>
      <c r="C19" s="32"/>
    </row>
    <row r="20" spans="1:5">
      <c r="A20" s="1" t="s">
        <v>46</v>
      </c>
      <c r="C20" s="32" t="s">
        <v>60</v>
      </c>
      <c r="E20" s="32" t="s">
        <v>60</v>
      </c>
    </row>
    <row r="21" spans="1:5">
      <c r="A21" s="1"/>
      <c r="C21" s="32"/>
      <c r="E21" s="32"/>
    </row>
    <row r="22" spans="1:5">
      <c r="A22" s="1" t="s">
        <v>53</v>
      </c>
      <c r="C22" s="32" t="s">
        <v>59</v>
      </c>
      <c r="E22" s="32" t="s">
        <v>59</v>
      </c>
    </row>
    <row r="23" spans="1:5">
      <c r="A23" s="1"/>
      <c r="C23" s="32"/>
      <c r="E23" s="32"/>
    </row>
    <row r="24" spans="1:5">
      <c r="A24" s="1" t="s">
        <v>47</v>
      </c>
      <c r="C24" s="32" t="s">
        <v>59</v>
      </c>
      <c r="E24" s="32" t="s">
        <v>59</v>
      </c>
    </row>
    <row r="25" spans="1:5">
      <c r="A25" s="1"/>
      <c r="C25" s="32"/>
      <c r="E25" s="32"/>
    </row>
    <row r="26" spans="1:5">
      <c r="A26" s="1" t="s">
        <v>48</v>
      </c>
      <c r="C26" s="32" t="s">
        <v>59</v>
      </c>
      <c r="E26" s="32" t="s">
        <v>59</v>
      </c>
    </row>
    <row r="27" spans="1:5">
      <c r="A27" s="1"/>
      <c r="C27" s="32"/>
    </row>
    <row r="28" spans="1:5">
      <c r="A28" s="1"/>
      <c r="C28" s="32"/>
    </row>
    <row r="29" spans="1:5">
      <c r="A29" s="1"/>
      <c r="C29" s="32"/>
    </row>
    <row r="30" spans="1:5">
      <c r="A30" s="1" t="s">
        <v>49</v>
      </c>
      <c r="C30" s="32" t="s">
        <v>61</v>
      </c>
      <c r="E30" s="32" t="s">
        <v>61</v>
      </c>
    </row>
    <row r="31" spans="1:5">
      <c r="A31" s="1"/>
    </row>
    <row r="32" spans="1:5">
      <c r="A32" s="1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Hp Sizing</vt:lpstr>
      <vt:lpstr>Header &amp; Unit Sizing</vt:lpstr>
      <vt:lpstr>Sheet3</vt:lpstr>
      <vt:lpstr>'Hp Sizing'!Print_Titles</vt:lpstr>
    </vt:vector>
  </TitlesOfParts>
  <Company>-(Dr. Diet Mountain Dew)-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MMinott</dc:creator>
  <cp:lastModifiedBy>Felienne</cp:lastModifiedBy>
  <cp:lastPrinted>2001-09-25T13:15:41Z</cp:lastPrinted>
  <dcterms:created xsi:type="dcterms:W3CDTF">2000-08-15T14:09:10Z</dcterms:created>
  <dcterms:modified xsi:type="dcterms:W3CDTF">2014-09-04T08:20:29Z</dcterms:modified>
</cp:coreProperties>
</file>