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DADB" lockStructure="1"/>
  <bookViews>
    <workbookView xWindow="75" yWindow="0" windowWidth="14670" windowHeight="8895"/>
  </bookViews>
  <sheets>
    <sheet name="East Power - January" sheetId="4" r:id="rId1"/>
    <sheet name="SUMMARY BY COUNTERPARTY" sheetId="1" r:id="rId2"/>
    <sheet name="SUMMARY BY REGION" sheetId="2" r:id="rId3"/>
    <sheet name="NET POSITION REPORT" sheetId="3" r:id="rId4"/>
  </sheets>
  <definedNames>
    <definedName name="ALCO_SIG_OFF">'SUMMARY BY COUNTERPARTY'!$C$838:$I$856</definedName>
    <definedName name="ALCO_SIG_PK">'SUMMARY BY COUNTERPARTY'!$C$591:$I$609</definedName>
    <definedName name="AMRN_CIN_PK">'SUMMARY BY COUNTERPARTY'!$C$282:$I$300</definedName>
    <definedName name="AMRN_ENT_PK">'SUMMARY BY COUNTERPARTY'!$C$262:$I$280</definedName>
    <definedName name="AMRN_TVA_PK">'SUMMARY BY COUNTERPARTY'!$C$302:$I$320</definedName>
    <definedName name="CARG_CIN_PK">'SUMMARY BY COUNTERPARTY'!$C$345:$I$363</definedName>
    <definedName name="CARG_COM_PK">'SUMMARY BY COUNTERPARTY'!$C$324:$I$342</definedName>
    <definedName name="CMP_NEP_PK">'SUMMARY BY COUNTERPARTY'!$C$632:$I$650</definedName>
    <definedName name="CPL_CIN_PK">'SUMMARY BY COUNTERPARTY'!$C$389:$I$407</definedName>
    <definedName name="CPL_PJM_PK">'SUMMARY BY COUNTERPARTY'!$C$368:$I$386</definedName>
    <definedName name="FE_CIN_PK">'SUMMARY BY COUNTERPARTY'!$C$411:$I$429</definedName>
    <definedName name="FE_PJM_PK">'SUMMARY BY COUNTERPARTY'!$C$431:$I$449</definedName>
    <definedName name="GPU_PJM_PK">'SUMMARY BY COUNTERPARTY'!$C$152:$I$170</definedName>
    <definedName name="HQ_NEP_OFF">'SUMMARY BY COUNTERPARTY'!$C$776:$I$794</definedName>
    <definedName name="HQ_NEP_PK">'SUMMARY BY COUNTERPARTY'!$C$194:$I$212</definedName>
    <definedName name="HQ_PJM_PK">'SUMMARY BY COUNTERPARTY'!$C$173:$I$191</definedName>
    <definedName name="LEM_CIN_PK">'SUMMARY BY COUNTERPARTY'!$C$236:$I$254</definedName>
    <definedName name="LEM_TVA_PK">'SUMMARY BY COUNTERPARTY'!$C$215:$I$233</definedName>
    <definedName name="MPI_COMED_PK">'SUMMARY BY COUNTERPARTY'!$C$471:$I$489</definedName>
    <definedName name="NSTAR_NEP_OFF">'SUMMARY BY COUNTERPARTY'!$C$881:$I$899</definedName>
    <definedName name="NSTAR_NEP_PK">'SUMMARY BY COUNTERPARTY'!$C$652:$I$670</definedName>
    <definedName name="_xlnm.Print_Area" localSheetId="1">'SUMMARY BY COUNTERPARTY'!$A$1:$J$901</definedName>
    <definedName name="SEL_CIN_PK">'SUMMARY BY COUNTERPARTY'!$C$111:$I$129</definedName>
    <definedName name="SEL_NEP_OFF">'SUMMARY BY COUNTERPARTY'!$C$797:$I$815</definedName>
    <definedName name="SEL_NEP_PK">'SUMMARY BY COUNTERPARTY'!$C$131:$I$149</definedName>
    <definedName name="SEL_PJM_PK">'SUMMARY BY COUNTERPARTY'!$C$90:$I$108</definedName>
    <definedName name="TAUNT_NEP_OFF">'SUMMARY BY COUNTERPARTY'!$C$818:$I$836</definedName>
    <definedName name="TAUNT_NEP_PK">'SUMMARY BY COUNTERPARTY'!$C$571:$I$589</definedName>
    <definedName name="TXU_CIN_PK">'SUMMARY BY COUNTERPARTY'!$C$551:$I$569</definedName>
    <definedName name="TXU_NEP_PK">'SUMMARY BY COUNTERPARTY'!$C$511:$I$529</definedName>
    <definedName name="TXU_PJM_OFF">'SUMMARY BY COUNTERPARTY'!$C$755:$I$773</definedName>
    <definedName name="TXU_PJM_PK">'SUMMARY BY COUNTERPARTY'!$C$531:$I$549</definedName>
    <definedName name="UI_NEP_OFF">'SUMMARY BY COUNTERPARTY'!$C$859:$I$877</definedName>
    <definedName name="UI_NEP_PK">'SUMMARY BY COUNTERPARTY'!$C$612:$I$630</definedName>
    <definedName name="VP_CIN_OFF">'SUMMARY BY COUNTERPARTY'!$C$694:$I$712</definedName>
    <definedName name="VP_CIN_PK">'SUMMARY BY COUNTERPARTY'!$C$47:$I$65</definedName>
    <definedName name="VP_ENT_PK">'SUMMARY BY COUNTERPARTY'!$C$26:$I$44</definedName>
    <definedName name="VP_NEP_OFF">'SUMMARY BY COUNTERPARTY'!$C$714:$I$732</definedName>
    <definedName name="VP_NEP_PK">'SUMMARY BY COUNTERPARTY'!$C$68:$I$86</definedName>
    <definedName name="VP_PJM_OFF">'SUMMARY BY COUNTERPARTY'!$C$674:$I$692</definedName>
    <definedName name="VP_PJM_PK">'SUMMARY BY COUNTERPARTY'!$C$6:$I$24</definedName>
    <definedName name="WAB_CIN_OFF">'SUMMARY BY COUNTERPARTY'!$C$734:$I$752</definedName>
    <definedName name="WAB_CIN_PK">'SUMMARY BY COUNTERPARTY'!$C$451:$I$469</definedName>
    <definedName name="WEPC_COMED_PK">'SUMMARY BY COUNTERPARTY'!$C$491:$I$509</definedName>
  </definedNames>
  <calcPr calcId="152511"/>
</workbook>
</file>

<file path=xl/calcChain.xml><?xml version="1.0" encoding="utf-8"?>
<calcChain xmlns="http://schemas.openxmlformats.org/spreadsheetml/2006/main">
  <c r="D51" i="4" l="1"/>
  <c r="G51" i="4"/>
  <c r="P80" i="4"/>
  <c r="S80" i="4"/>
  <c r="T80" i="4"/>
  <c r="P85" i="4"/>
  <c r="G90" i="4"/>
  <c r="H90" i="4"/>
  <c r="I90" i="4"/>
  <c r="J90" i="4"/>
  <c r="L90" i="4" s="1"/>
  <c r="P99" i="4"/>
  <c r="C11" i="1"/>
  <c r="C17" i="1" s="1"/>
  <c r="C22" i="1" s="1"/>
  <c r="D11" i="1"/>
  <c r="D17" i="1" s="1"/>
  <c r="E11" i="1"/>
  <c r="E17" i="1" s="1"/>
  <c r="F11" i="1"/>
  <c r="F17" i="1" s="1"/>
  <c r="G11" i="1"/>
  <c r="H11" i="1"/>
  <c r="I11" i="1"/>
  <c r="I17" i="1" s="1"/>
  <c r="I22" i="1" s="1"/>
  <c r="C14" i="1"/>
  <c r="D14" i="1"/>
  <c r="E14" i="1"/>
  <c r="F14" i="1"/>
  <c r="G14" i="1"/>
  <c r="H14" i="1"/>
  <c r="I14" i="1"/>
  <c r="C15" i="1"/>
  <c r="D15" i="1"/>
  <c r="E15" i="1"/>
  <c r="E23" i="1" s="1"/>
  <c r="J6" i="4" s="1"/>
  <c r="F15" i="1"/>
  <c r="G15" i="1"/>
  <c r="H15" i="1"/>
  <c r="I15" i="1"/>
  <c r="I23" i="1" s="1"/>
  <c r="V6" i="4" s="1"/>
  <c r="F16" i="1"/>
  <c r="F19" i="1" s="1"/>
  <c r="F20" i="1" s="1"/>
  <c r="G16" i="1"/>
  <c r="G19" i="1" s="1"/>
  <c r="G20" i="1" s="1"/>
  <c r="H16" i="1"/>
  <c r="H19" i="1" s="1"/>
  <c r="H20" i="1" s="1"/>
  <c r="I16" i="1"/>
  <c r="G17" i="1"/>
  <c r="H17" i="1"/>
  <c r="I19" i="1"/>
  <c r="I20" i="1" s="1"/>
  <c r="F22" i="1"/>
  <c r="D23" i="1"/>
  <c r="G6" i="4" s="1"/>
  <c r="F23" i="1"/>
  <c r="M6" i="4" s="1"/>
  <c r="G23" i="1"/>
  <c r="P6" i="4" s="1"/>
  <c r="H23" i="1"/>
  <c r="S6" i="4" s="1"/>
  <c r="C31" i="1"/>
  <c r="D31" i="1"/>
  <c r="D37" i="1" s="1"/>
  <c r="D42" i="1" s="1"/>
  <c r="E31" i="1"/>
  <c r="F31" i="1"/>
  <c r="G31" i="1"/>
  <c r="G37" i="1" s="1"/>
  <c r="H31" i="1"/>
  <c r="I31" i="1"/>
  <c r="C34" i="1"/>
  <c r="D34" i="1"/>
  <c r="E34" i="1"/>
  <c r="F34" i="1"/>
  <c r="F36" i="1" s="1"/>
  <c r="F39" i="1" s="1"/>
  <c r="F40" i="1" s="1"/>
  <c r="G34" i="1"/>
  <c r="H34" i="1"/>
  <c r="I34" i="1"/>
  <c r="C35" i="1"/>
  <c r="C43" i="1" s="1"/>
  <c r="D8" i="4" s="1"/>
  <c r="D35" i="1"/>
  <c r="E35" i="1"/>
  <c r="F35" i="1"/>
  <c r="G35" i="1"/>
  <c r="H35" i="1"/>
  <c r="I35" i="1"/>
  <c r="D36" i="1"/>
  <c r="E36" i="1"/>
  <c r="G36" i="1"/>
  <c r="G39" i="1" s="1"/>
  <c r="G40" i="1" s="1"/>
  <c r="H36" i="1"/>
  <c r="C37" i="1"/>
  <c r="E37" i="1"/>
  <c r="E42" i="1" s="1"/>
  <c r="F37" i="1"/>
  <c r="F42" i="1" s="1"/>
  <c r="N8" i="4" s="1"/>
  <c r="H37" i="1"/>
  <c r="H42" i="1" s="1"/>
  <c r="T8" i="4" s="1"/>
  <c r="I37" i="1"/>
  <c r="C42" i="1"/>
  <c r="G42" i="1"/>
  <c r="Q8" i="4" s="1"/>
  <c r="D43" i="1"/>
  <c r="G8" i="4" s="1"/>
  <c r="E43" i="1"/>
  <c r="J8" i="4" s="1"/>
  <c r="F43" i="1"/>
  <c r="G43" i="1"/>
  <c r="H43" i="1"/>
  <c r="S8" i="4" s="1"/>
  <c r="I43" i="1"/>
  <c r="V8" i="4" s="1"/>
  <c r="H44" i="1"/>
  <c r="C52" i="1"/>
  <c r="C58" i="1" s="1"/>
  <c r="D52" i="1"/>
  <c r="E52" i="1"/>
  <c r="F52" i="1"/>
  <c r="G52" i="1"/>
  <c r="G58" i="1" s="1"/>
  <c r="G63" i="1" s="1"/>
  <c r="H52" i="1"/>
  <c r="H58" i="1" s="1"/>
  <c r="I52" i="1"/>
  <c r="C55" i="1"/>
  <c r="D55" i="1"/>
  <c r="E55" i="1"/>
  <c r="F55" i="1"/>
  <c r="G55" i="1"/>
  <c r="H55" i="1"/>
  <c r="H63" i="1" s="1"/>
  <c r="T9" i="4" s="1"/>
  <c r="I55" i="1"/>
  <c r="C56" i="1"/>
  <c r="C64" i="1" s="1"/>
  <c r="D9" i="4" s="1"/>
  <c r="D56" i="1"/>
  <c r="D64" i="1" s="1"/>
  <c r="G9" i="4" s="1"/>
  <c r="E56" i="1"/>
  <c r="F56" i="1"/>
  <c r="G56" i="1"/>
  <c r="H56" i="1"/>
  <c r="I56" i="1"/>
  <c r="I64" i="1" s="1"/>
  <c r="V9" i="4" s="1"/>
  <c r="E57" i="1"/>
  <c r="E60" i="1" s="1"/>
  <c r="E61" i="1" s="1"/>
  <c r="F57" i="1"/>
  <c r="H57" i="1"/>
  <c r="H60" i="1" s="1"/>
  <c r="D58" i="1"/>
  <c r="E58" i="1"/>
  <c r="E63" i="1" s="1"/>
  <c r="F58" i="1"/>
  <c r="F63" i="1" s="1"/>
  <c r="I58" i="1"/>
  <c r="I63" i="1" s="1"/>
  <c r="W9" i="4" s="1"/>
  <c r="F60" i="1"/>
  <c r="F61" i="1" s="1"/>
  <c r="H61" i="1"/>
  <c r="C63" i="1"/>
  <c r="D63" i="1"/>
  <c r="E64" i="1"/>
  <c r="J9" i="4" s="1"/>
  <c r="F64" i="1"/>
  <c r="M9" i="4" s="1"/>
  <c r="G64" i="1"/>
  <c r="P9" i="4" s="1"/>
  <c r="H64" i="1"/>
  <c r="S9" i="4" s="1"/>
  <c r="C73" i="1"/>
  <c r="C79" i="1" s="1"/>
  <c r="D73" i="1"/>
  <c r="D79" i="1" s="1"/>
  <c r="E73" i="1"/>
  <c r="F73" i="1"/>
  <c r="G73" i="1"/>
  <c r="H73" i="1"/>
  <c r="I73" i="1"/>
  <c r="I79" i="1" s="1"/>
  <c r="I84" i="1" s="1"/>
  <c r="W11" i="4" s="1"/>
  <c r="C76" i="1"/>
  <c r="D76" i="1"/>
  <c r="E76" i="1"/>
  <c r="F76" i="1"/>
  <c r="G76" i="1"/>
  <c r="H76" i="1"/>
  <c r="H78" i="1" s="1"/>
  <c r="I76" i="1"/>
  <c r="C77" i="1"/>
  <c r="C85" i="1" s="1"/>
  <c r="D11" i="4" s="1"/>
  <c r="D77" i="1"/>
  <c r="D85" i="1" s="1"/>
  <c r="G11" i="4" s="1"/>
  <c r="E77" i="1"/>
  <c r="E85" i="1" s="1"/>
  <c r="J11" i="4" s="1"/>
  <c r="F77" i="1"/>
  <c r="G77" i="1"/>
  <c r="H77" i="1"/>
  <c r="I77" i="1"/>
  <c r="I78" i="1" s="1"/>
  <c r="G78" i="1"/>
  <c r="G81" i="1" s="1"/>
  <c r="G82" i="1" s="1"/>
  <c r="E79" i="1"/>
  <c r="F79" i="1"/>
  <c r="F84" i="1" s="1"/>
  <c r="G79" i="1"/>
  <c r="H79" i="1"/>
  <c r="H81" i="1" s="1"/>
  <c r="H82" i="1" s="1"/>
  <c r="I81" i="1"/>
  <c r="I82" i="1" s="1"/>
  <c r="G85" i="1"/>
  <c r="P11" i="4" s="1"/>
  <c r="H85" i="1"/>
  <c r="S11" i="4" s="1"/>
  <c r="C95" i="1"/>
  <c r="C101" i="1" s="1"/>
  <c r="D95" i="1"/>
  <c r="D101" i="1" s="1"/>
  <c r="E95" i="1"/>
  <c r="F95" i="1"/>
  <c r="G95" i="1"/>
  <c r="H95" i="1"/>
  <c r="H101" i="1" s="1"/>
  <c r="I95" i="1"/>
  <c r="I101" i="1" s="1"/>
  <c r="C98" i="1"/>
  <c r="D98" i="1"/>
  <c r="D106" i="1" s="1"/>
  <c r="E98" i="1"/>
  <c r="F98" i="1"/>
  <c r="F106" i="1" s="1"/>
  <c r="G98" i="1"/>
  <c r="H98" i="1"/>
  <c r="I98" i="1"/>
  <c r="C99" i="1"/>
  <c r="D99" i="1"/>
  <c r="E99" i="1"/>
  <c r="E107" i="1" s="1"/>
  <c r="J16" i="4" s="1"/>
  <c r="F99" i="1"/>
  <c r="G99" i="1"/>
  <c r="G100" i="1" s="1"/>
  <c r="H99" i="1"/>
  <c r="I99" i="1"/>
  <c r="C100" i="1"/>
  <c r="C103" i="1" s="1"/>
  <c r="C104" i="1" s="1"/>
  <c r="F100" i="1"/>
  <c r="H100" i="1"/>
  <c r="E101" i="1"/>
  <c r="F101" i="1"/>
  <c r="G101" i="1"/>
  <c r="G106" i="1" s="1"/>
  <c r="Q16" i="4" s="1"/>
  <c r="C106" i="1"/>
  <c r="E106" i="1"/>
  <c r="C107" i="1"/>
  <c r="D16" i="4" s="1"/>
  <c r="D107" i="1"/>
  <c r="G16" i="4" s="1"/>
  <c r="F107" i="1"/>
  <c r="M16" i="4" s="1"/>
  <c r="G107" i="1"/>
  <c r="P16" i="4" s="1"/>
  <c r="H107" i="1"/>
  <c r="S16" i="4" s="1"/>
  <c r="I107" i="1"/>
  <c r="V16" i="4" s="1"/>
  <c r="G108" i="1"/>
  <c r="C116" i="1"/>
  <c r="C122" i="1" s="1"/>
  <c r="D116" i="1"/>
  <c r="E116" i="1"/>
  <c r="F116" i="1"/>
  <c r="G116" i="1"/>
  <c r="H116" i="1"/>
  <c r="H122" i="1" s="1"/>
  <c r="I116" i="1"/>
  <c r="I122" i="1" s="1"/>
  <c r="C119" i="1"/>
  <c r="D119" i="1"/>
  <c r="E119" i="1"/>
  <c r="F119" i="1"/>
  <c r="F121" i="1" s="1"/>
  <c r="F124" i="1" s="1"/>
  <c r="F125" i="1" s="1"/>
  <c r="G119" i="1"/>
  <c r="H119" i="1"/>
  <c r="I119" i="1"/>
  <c r="I121" i="1" s="1"/>
  <c r="I124" i="1" s="1"/>
  <c r="C120" i="1"/>
  <c r="D120" i="1"/>
  <c r="D121" i="1" s="1"/>
  <c r="D124" i="1" s="1"/>
  <c r="D125" i="1" s="1"/>
  <c r="E120" i="1"/>
  <c r="F120" i="1"/>
  <c r="F128" i="1" s="1"/>
  <c r="M17" i="4" s="1"/>
  <c r="G120" i="1"/>
  <c r="G128" i="1" s="1"/>
  <c r="P17" i="4" s="1"/>
  <c r="H120" i="1"/>
  <c r="I120" i="1"/>
  <c r="C121" i="1"/>
  <c r="C124" i="1" s="1"/>
  <c r="C125" i="1" s="1"/>
  <c r="E121" i="1"/>
  <c r="H121" i="1"/>
  <c r="D122" i="1"/>
  <c r="D127" i="1" s="1"/>
  <c r="H17" i="4" s="1"/>
  <c r="E122" i="1"/>
  <c r="F122" i="1"/>
  <c r="G122" i="1"/>
  <c r="G127" i="1" s="1"/>
  <c r="I125" i="1"/>
  <c r="C127" i="1"/>
  <c r="I127" i="1"/>
  <c r="C128" i="1"/>
  <c r="D17" i="4" s="1"/>
  <c r="D128" i="1"/>
  <c r="G17" i="4" s="1"/>
  <c r="I17" i="4" s="1"/>
  <c r="E128" i="1"/>
  <c r="J17" i="4" s="1"/>
  <c r="H128" i="1"/>
  <c r="S17" i="4" s="1"/>
  <c r="I128" i="1"/>
  <c r="V17" i="4" s="1"/>
  <c r="D129" i="1"/>
  <c r="C136" i="1"/>
  <c r="D136" i="1"/>
  <c r="D142" i="1" s="1"/>
  <c r="E136" i="1"/>
  <c r="F136" i="1"/>
  <c r="F142" i="1" s="1"/>
  <c r="G136" i="1"/>
  <c r="G142" i="1" s="1"/>
  <c r="H136" i="1"/>
  <c r="I136" i="1"/>
  <c r="I142" i="1" s="1"/>
  <c r="I147" i="1" s="1"/>
  <c r="C139" i="1"/>
  <c r="D139" i="1"/>
  <c r="D147" i="1" s="1"/>
  <c r="H18" i="4" s="1"/>
  <c r="E139" i="1"/>
  <c r="F139" i="1"/>
  <c r="G139" i="1"/>
  <c r="H139" i="1"/>
  <c r="I139" i="1"/>
  <c r="C140" i="1"/>
  <c r="C148" i="1" s="1"/>
  <c r="D18" i="4" s="1"/>
  <c r="D140" i="1"/>
  <c r="E140" i="1"/>
  <c r="F140" i="1"/>
  <c r="F141" i="1" s="1"/>
  <c r="G140" i="1"/>
  <c r="G148" i="1" s="1"/>
  <c r="P18" i="4" s="1"/>
  <c r="H140" i="1"/>
  <c r="H148" i="1" s="1"/>
  <c r="S18" i="4" s="1"/>
  <c r="I140" i="1"/>
  <c r="D141" i="1"/>
  <c r="D144" i="1" s="1"/>
  <c r="D145" i="1" s="1"/>
  <c r="E141" i="1"/>
  <c r="E144" i="1" s="1"/>
  <c r="E145" i="1" s="1"/>
  <c r="C142" i="1"/>
  <c r="E142" i="1"/>
  <c r="H142" i="1"/>
  <c r="F144" i="1"/>
  <c r="F145" i="1" s="1"/>
  <c r="C147" i="1"/>
  <c r="D148" i="1"/>
  <c r="E148" i="1"/>
  <c r="J18" i="4" s="1"/>
  <c r="C157" i="1"/>
  <c r="D157" i="1"/>
  <c r="E157" i="1"/>
  <c r="E163" i="1" s="1"/>
  <c r="F157" i="1"/>
  <c r="G157" i="1"/>
  <c r="H157" i="1"/>
  <c r="H163" i="1" s="1"/>
  <c r="I157" i="1"/>
  <c r="C160" i="1"/>
  <c r="D160" i="1"/>
  <c r="D162" i="1" s="1"/>
  <c r="E160" i="1"/>
  <c r="E168" i="1" s="1"/>
  <c r="K49" i="4" s="1"/>
  <c r="K51" i="4" s="1"/>
  <c r="F160" i="1"/>
  <c r="G160" i="1"/>
  <c r="H160" i="1"/>
  <c r="I160" i="1"/>
  <c r="I162" i="1" s="1"/>
  <c r="C161" i="1"/>
  <c r="D161" i="1"/>
  <c r="E161" i="1"/>
  <c r="F161" i="1"/>
  <c r="F162" i="1" s="1"/>
  <c r="G161" i="1"/>
  <c r="H161" i="1"/>
  <c r="H169" i="1" s="1"/>
  <c r="S49" i="4" s="1"/>
  <c r="S51" i="4" s="1"/>
  <c r="I161" i="1"/>
  <c r="I169" i="1" s="1"/>
  <c r="V49" i="4" s="1"/>
  <c r="C162" i="1"/>
  <c r="E162" i="1"/>
  <c r="C163" i="1"/>
  <c r="C168" i="1" s="1"/>
  <c r="D163" i="1"/>
  <c r="F163" i="1"/>
  <c r="F168" i="1" s="1"/>
  <c r="G163" i="1"/>
  <c r="I163" i="1"/>
  <c r="E165" i="1"/>
  <c r="E166" i="1" s="1"/>
  <c r="I165" i="1"/>
  <c r="I166" i="1"/>
  <c r="I168" i="1"/>
  <c r="C169" i="1"/>
  <c r="D49" i="4" s="1"/>
  <c r="D169" i="1"/>
  <c r="G49" i="4" s="1"/>
  <c r="E169" i="1"/>
  <c r="J49" i="4" s="1"/>
  <c r="G169" i="1"/>
  <c r="P49" i="4" s="1"/>
  <c r="P51" i="4" s="1"/>
  <c r="C178" i="1"/>
  <c r="E178" i="1"/>
  <c r="E184" i="1" s="1"/>
  <c r="F178" i="1"/>
  <c r="I178" i="1"/>
  <c r="I184" i="1" s="1"/>
  <c r="C181" i="1"/>
  <c r="D181" i="1"/>
  <c r="D189" i="1" s="1"/>
  <c r="E181" i="1"/>
  <c r="F181" i="1"/>
  <c r="G181" i="1"/>
  <c r="G189" i="1" s="1"/>
  <c r="Q63" i="4" s="1"/>
  <c r="H181" i="1"/>
  <c r="H183" i="1" s="1"/>
  <c r="I181" i="1"/>
  <c r="C182" i="1"/>
  <c r="C190" i="1" s="1"/>
  <c r="D63" i="4" s="1"/>
  <c r="D182" i="1"/>
  <c r="D190" i="1" s="1"/>
  <c r="G63" i="4" s="1"/>
  <c r="E182" i="1"/>
  <c r="E190" i="1" s="1"/>
  <c r="J63" i="4" s="1"/>
  <c r="F182" i="1"/>
  <c r="G182" i="1"/>
  <c r="H182" i="1"/>
  <c r="I182" i="1"/>
  <c r="I183" i="1" s="1"/>
  <c r="D183" i="1"/>
  <c r="D186" i="1" s="1"/>
  <c r="D187" i="1" s="1"/>
  <c r="E183" i="1"/>
  <c r="E186" i="1" s="1"/>
  <c r="E187" i="1" s="1"/>
  <c r="F183" i="1"/>
  <c r="F186" i="1" s="1"/>
  <c r="F187" i="1" s="1"/>
  <c r="G183" i="1"/>
  <c r="G186" i="1" s="1"/>
  <c r="G187" i="1" s="1"/>
  <c r="C184" i="1"/>
  <c r="D184" i="1"/>
  <c r="F184" i="1"/>
  <c r="G184" i="1"/>
  <c r="H184" i="1"/>
  <c r="H186" i="1" s="1"/>
  <c r="H187" i="1" s="1"/>
  <c r="E189" i="1"/>
  <c r="F189" i="1"/>
  <c r="F190" i="1"/>
  <c r="M63" i="4" s="1"/>
  <c r="G190" i="1"/>
  <c r="P63" i="4" s="1"/>
  <c r="H190" i="1"/>
  <c r="S63" i="4" s="1"/>
  <c r="G191" i="1"/>
  <c r="C199" i="1"/>
  <c r="C205" i="1" s="1"/>
  <c r="D199" i="1"/>
  <c r="D205" i="1" s="1"/>
  <c r="E199" i="1"/>
  <c r="F199" i="1"/>
  <c r="G199" i="1"/>
  <c r="H199" i="1"/>
  <c r="I199" i="1"/>
  <c r="I205" i="1" s="1"/>
  <c r="C202" i="1"/>
  <c r="D202" i="1"/>
  <c r="E202" i="1"/>
  <c r="F202" i="1"/>
  <c r="F210" i="1" s="1"/>
  <c r="G202" i="1"/>
  <c r="H202" i="1"/>
  <c r="I202" i="1"/>
  <c r="C203" i="1"/>
  <c r="D203" i="1"/>
  <c r="E203" i="1"/>
  <c r="E211" i="1" s="1"/>
  <c r="J64" i="4" s="1"/>
  <c r="F203" i="1"/>
  <c r="G203" i="1"/>
  <c r="G204" i="1" s="1"/>
  <c r="G207" i="1" s="1"/>
  <c r="G208" i="1" s="1"/>
  <c r="H203" i="1"/>
  <c r="I203" i="1"/>
  <c r="E204" i="1"/>
  <c r="E207" i="1" s="1"/>
  <c r="E208" i="1" s="1"/>
  <c r="F204" i="1"/>
  <c r="F207" i="1" s="1"/>
  <c r="F208" i="1" s="1"/>
  <c r="H204" i="1"/>
  <c r="E205" i="1"/>
  <c r="E210" i="1" s="1"/>
  <c r="F205" i="1"/>
  <c r="G205" i="1"/>
  <c r="G210" i="1" s="1"/>
  <c r="Q64" i="4" s="1"/>
  <c r="H205" i="1"/>
  <c r="H210" i="1" s="1"/>
  <c r="T64" i="4" s="1"/>
  <c r="H207" i="1"/>
  <c r="H208" i="1" s="1"/>
  <c r="C211" i="1"/>
  <c r="D64" i="4" s="1"/>
  <c r="D211" i="1"/>
  <c r="G64" i="4" s="1"/>
  <c r="F211" i="1"/>
  <c r="M64" i="4" s="1"/>
  <c r="G211" i="1"/>
  <c r="H211" i="1"/>
  <c r="S64" i="4" s="1"/>
  <c r="I211" i="1"/>
  <c r="V64" i="4" s="1"/>
  <c r="C220" i="1"/>
  <c r="C226" i="1" s="1"/>
  <c r="D220" i="1"/>
  <c r="E220" i="1"/>
  <c r="F220" i="1"/>
  <c r="G220" i="1"/>
  <c r="H220" i="1"/>
  <c r="H226" i="1" s="1"/>
  <c r="H231" i="1" s="1"/>
  <c r="T69" i="4" s="1"/>
  <c r="I220" i="1"/>
  <c r="I226" i="1" s="1"/>
  <c r="C223" i="1"/>
  <c r="D223" i="1"/>
  <c r="E223" i="1"/>
  <c r="F223" i="1"/>
  <c r="F225" i="1" s="1"/>
  <c r="F228" i="1" s="1"/>
  <c r="F229" i="1" s="1"/>
  <c r="G223" i="1"/>
  <c r="H223" i="1"/>
  <c r="I223" i="1"/>
  <c r="I225" i="1" s="1"/>
  <c r="C224" i="1"/>
  <c r="D224" i="1"/>
  <c r="E224" i="1"/>
  <c r="F224" i="1"/>
  <c r="F232" i="1" s="1"/>
  <c r="M69" i="4" s="1"/>
  <c r="G224" i="1"/>
  <c r="G232" i="1" s="1"/>
  <c r="P69" i="4" s="1"/>
  <c r="P72" i="4" s="1"/>
  <c r="H224" i="1"/>
  <c r="I224" i="1"/>
  <c r="E225" i="1"/>
  <c r="E228" i="1" s="1"/>
  <c r="E229" i="1" s="1"/>
  <c r="H225" i="1"/>
  <c r="D226" i="1"/>
  <c r="D231" i="1" s="1"/>
  <c r="E226" i="1"/>
  <c r="F226" i="1"/>
  <c r="G226" i="1"/>
  <c r="G231" i="1" s="1"/>
  <c r="H228" i="1"/>
  <c r="I228" i="1"/>
  <c r="H229" i="1"/>
  <c r="I229" i="1"/>
  <c r="I231" i="1"/>
  <c r="C232" i="1"/>
  <c r="D69" i="4" s="1"/>
  <c r="E232" i="1"/>
  <c r="J69" i="4" s="1"/>
  <c r="H232" i="1"/>
  <c r="S69" i="4" s="1"/>
  <c r="I232" i="1"/>
  <c r="V69" i="4" s="1"/>
  <c r="C241" i="1"/>
  <c r="D241" i="1"/>
  <c r="D247" i="1" s="1"/>
  <c r="E241" i="1"/>
  <c r="F241" i="1"/>
  <c r="G241" i="1"/>
  <c r="H241" i="1"/>
  <c r="I241" i="1"/>
  <c r="I247" i="1" s="1"/>
  <c r="I252" i="1" s="1"/>
  <c r="C244" i="1"/>
  <c r="D244" i="1"/>
  <c r="D252" i="1" s="1"/>
  <c r="H70" i="4" s="1"/>
  <c r="E244" i="1"/>
  <c r="E252" i="1" s="1"/>
  <c r="F244" i="1"/>
  <c r="G244" i="1"/>
  <c r="H244" i="1"/>
  <c r="I244" i="1"/>
  <c r="C245" i="1"/>
  <c r="C253" i="1" s="1"/>
  <c r="D70" i="4" s="1"/>
  <c r="D245" i="1"/>
  <c r="E245" i="1"/>
  <c r="F245" i="1"/>
  <c r="F246" i="1" s="1"/>
  <c r="G245" i="1"/>
  <c r="G253" i="1" s="1"/>
  <c r="P70" i="4" s="1"/>
  <c r="H245" i="1"/>
  <c r="H253" i="1" s="1"/>
  <c r="S70" i="4" s="1"/>
  <c r="I245" i="1"/>
  <c r="D246" i="1"/>
  <c r="D249" i="1" s="1"/>
  <c r="D250" i="1" s="1"/>
  <c r="E246" i="1"/>
  <c r="C247" i="1"/>
  <c r="E247" i="1"/>
  <c r="F247" i="1"/>
  <c r="G247" i="1"/>
  <c r="H247" i="1"/>
  <c r="C252" i="1"/>
  <c r="D253" i="1"/>
  <c r="G70" i="4" s="1"/>
  <c r="E253" i="1"/>
  <c r="J70" i="4" s="1"/>
  <c r="D254" i="1"/>
  <c r="C267" i="1"/>
  <c r="D267" i="1"/>
  <c r="D273" i="1" s="1"/>
  <c r="D278" i="1" s="1"/>
  <c r="E267" i="1"/>
  <c r="F267" i="1"/>
  <c r="I267" i="1"/>
  <c r="I273" i="1" s="1"/>
  <c r="C270" i="1"/>
  <c r="D270" i="1"/>
  <c r="E270" i="1"/>
  <c r="F270" i="1"/>
  <c r="F272" i="1" s="1"/>
  <c r="G270" i="1"/>
  <c r="H270" i="1"/>
  <c r="I270" i="1"/>
  <c r="C271" i="1"/>
  <c r="C279" i="1" s="1"/>
  <c r="D79" i="4" s="1"/>
  <c r="D271" i="1"/>
  <c r="E271" i="1"/>
  <c r="F271" i="1"/>
  <c r="G271" i="1"/>
  <c r="G279" i="1" s="1"/>
  <c r="P79" i="4" s="1"/>
  <c r="H271" i="1"/>
  <c r="H272" i="1" s="1"/>
  <c r="H275" i="1" s="1"/>
  <c r="H276" i="1" s="1"/>
  <c r="I271" i="1"/>
  <c r="D272" i="1"/>
  <c r="D275" i="1" s="1"/>
  <c r="D276" i="1" s="1"/>
  <c r="E272" i="1"/>
  <c r="E275" i="1" s="1"/>
  <c r="E276" i="1" s="1"/>
  <c r="G272" i="1"/>
  <c r="C273" i="1"/>
  <c r="E273" i="1"/>
  <c r="E278" i="1" s="1"/>
  <c r="K79" i="4" s="1"/>
  <c r="F273" i="1"/>
  <c r="F278" i="1" s="1"/>
  <c r="N79" i="4" s="1"/>
  <c r="G273" i="1"/>
  <c r="H273" i="1"/>
  <c r="H278" i="1" s="1"/>
  <c r="T79" i="4" s="1"/>
  <c r="F275" i="1"/>
  <c r="F276" i="1" s="1"/>
  <c r="G275" i="1"/>
  <c r="G276" i="1" s="1"/>
  <c r="G278" i="1"/>
  <c r="Q79" i="4" s="1"/>
  <c r="D279" i="1"/>
  <c r="G79" i="4" s="1"/>
  <c r="E279" i="1"/>
  <c r="F279" i="1"/>
  <c r="M79" i="4" s="1"/>
  <c r="I279" i="1"/>
  <c r="V79" i="4" s="1"/>
  <c r="G280" i="1"/>
  <c r="C287" i="1"/>
  <c r="D287" i="1"/>
  <c r="E287" i="1"/>
  <c r="F287" i="1"/>
  <c r="G287" i="1"/>
  <c r="G293" i="1" s="1"/>
  <c r="H287" i="1"/>
  <c r="H293" i="1" s="1"/>
  <c r="I287" i="1"/>
  <c r="I293" i="1" s="1"/>
  <c r="I298" i="1" s="1"/>
  <c r="C290" i="1"/>
  <c r="D290" i="1"/>
  <c r="E290" i="1"/>
  <c r="F290" i="1"/>
  <c r="G290" i="1"/>
  <c r="H290" i="1"/>
  <c r="H292" i="1" s="1"/>
  <c r="I290" i="1"/>
  <c r="C291" i="1"/>
  <c r="D291" i="1"/>
  <c r="E291" i="1"/>
  <c r="E292" i="1" s="1"/>
  <c r="E295" i="1" s="1"/>
  <c r="E296" i="1" s="1"/>
  <c r="F291" i="1"/>
  <c r="G291" i="1"/>
  <c r="H291" i="1"/>
  <c r="H299" i="1" s="1"/>
  <c r="I291" i="1"/>
  <c r="I299" i="1" s="1"/>
  <c r="V80" i="4" s="1"/>
  <c r="D292" i="1"/>
  <c r="D295" i="1" s="1"/>
  <c r="D296" i="1" s="1"/>
  <c r="F292" i="1"/>
  <c r="C293" i="1"/>
  <c r="C298" i="1" s="1"/>
  <c r="D293" i="1"/>
  <c r="E293" i="1"/>
  <c r="E298" i="1" s="1"/>
  <c r="K80" i="4" s="1"/>
  <c r="F293" i="1"/>
  <c r="F298" i="1" s="1"/>
  <c r="N80" i="4" s="1"/>
  <c r="H295" i="1"/>
  <c r="H296" i="1" s="1"/>
  <c r="H298" i="1"/>
  <c r="H300" i="1" s="1"/>
  <c r="D299" i="1"/>
  <c r="G80" i="4" s="1"/>
  <c r="E299" i="1"/>
  <c r="F299" i="1"/>
  <c r="M80" i="4" s="1"/>
  <c r="G299" i="1"/>
  <c r="F300" i="1"/>
  <c r="C307" i="1"/>
  <c r="C313" i="1" s="1"/>
  <c r="D307" i="1"/>
  <c r="E307" i="1"/>
  <c r="F307" i="1"/>
  <c r="I307" i="1"/>
  <c r="I313" i="1" s="1"/>
  <c r="C310" i="1"/>
  <c r="D310" i="1"/>
  <c r="E310" i="1"/>
  <c r="F310" i="1"/>
  <c r="F312" i="1" s="1"/>
  <c r="G310" i="1"/>
  <c r="H310" i="1"/>
  <c r="I310" i="1"/>
  <c r="C311" i="1"/>
  <c r="D311" i="1"/>
  <c r="D312" i="1" s="1"/>
  <c r="D315" i="1" s="1"/>
  <c r="D316" i="1" s="1"/>
  <c r="E311" i="1"/>
  <c r="F311" i="1"/>
  <c r="F319" i="1" s="1"/>
  <c r="M78" i="4" s="1"/>
  <c r="G311" i="1"/>
  <c r="G319" i="1" s="1"/>
  <c r="P78" i="4" s="1"/>
  <c r="P82" i="4" s="1"/>
  <c r="H311" i="1"/>
  <c r="I311" i="1"/>
  <c r="C312" i="1"/>
  <c r="C315" i="1" s="1"/>
  <c r="C316" i="1" s="1"/>
  <c r="E312" i="1"/>
  <c r="H312" i="1"/>
  <c r="D313" i="1"/>
  <c r="D318" i="1" s="1"/>
  <c r="H78" i="4" s="1"/>
  <c r="E313" i="1"/>
  <c r="F313" i="1"/>
  <c r="G313" i="1"/>
  <c r="G318" i="1" s="1"/>
  <c r="H313" i="1"/>
  <c r="H318" i="1" s="1"/>
  <c r="H315" i="1"/>
  <c r="H316" i="1"/>
  <c r="C318" i="1"/>
  <c r="C319" i="1"/>
  <c r="D78" i="4" s="1"/>
  <c r="D319" i="1"/>
  <c r="G78" i="4" s="1"/>
  <c r="E319" i="1"/>
  <c r="J78" i="4" s="1"/>
  <c r="H319" i="1"/>
  <c r="S78" i="4" s="1"/>
  <c r="I319" i="1"/>
  <c r="V78" i="4" s="1"/>
  <c r="D320" i="1"/>
  <c r="C329" i="1"/>
  <c r="D329" i="1"/>
  <c r="D335" i="1" s="1"/>
  <c r="E329" i="1"/>
  <c r="F329" i="1"/>
  <c r="F335" i="1" s="1"/>
  <c r="G329" i="1"/>
  <c r="H329" i="1"/>
  <c r="I329" i="1"/>
  <c r="I335" i="1" s="1"/>
  <c r="C332" i="1"/>
  <c r="D332" i="1"/>
  <c r="D340" i="1" s="1"/>
  <c r="H84" i="4" s="1"/>
  <c r="E332" i="1"/>
  <c r="F332" i="1"/>
  <c r="G332" i="1"/>
  <c r="H332" i="1"/>
  <c r="I332" i="1"/>
  <c r="C333" i="1"/>
  <c r="D333" i="1"/>
  <c r="E333" i="1"/>
  <c r="F333" i="1"/>
  <c r="F334" i="1" s="1"/>
  <c r="G333" i="1"/>
  <c r="G341" i="1" s="1"/>
  <c r="P84" i="4" s="1"/>
  <c r="H333" i="1"/>
  <c r="H341" i="1" s="1"/>
  <c r="S84" i="4" s="1"/>
  <c r="S87" i="4" s="1"/>
  <c r="I333" i="1"/>
  <c r="D334" i="1"/>
  <c r="D337" i="1" s="1"/>
  <c r="D338" i="1" s="1"/>
  <c r="E334" i="1"/>
  <c r="C335" i="1"/>
  <c r="E335" i="1"/>
  <c r="G335" i="1"/>
  <c r="H335" i="1"/>
  <c r="F337" i="1"/>
  <c r="F338" i="1" s="1"/>
  <c r="C340" i="1"/>
  <c r="I340" i="1"/>
  <c r="C341" i="1"/>
  <c r="D84" i="4" s="1"/>
  <c r="D341" i="1"/>
  <c r="G84" i="4" s="1"/>
  <c r="E341" i="1"/>
  <c r="J84" i="4" s="1"/>
  <c r="D342" i="1"/>
  <c r="C350" i="1"/>
  <c r="D350" i="1"/>
  <c r="E350" i="1"/>
  <c r="E356" i="1" s="1"/>
  <c r="F350" i="1"/>
  <c r="G350" i="1"/>
  <c r="G356" i="1" s="1"/>
  <c r="H350" i="1"/>
  <c r="H356" i="1" s="1"/>
  <c r="I350" i="1"/>
  <c r="C353" i="1"/>
  <c r="D353" i="1"/>
  <c r="D355" i="1" s="1"/>
  <c r="E353" i="1"/>
  <c r="E361" i="1" s="1"/>
  <c r="F353" i="1"/>
  <c r="G353" i="1"/>
  <c r="H353" i="1"/>
  <c r="I353" i="1"/>
  <c r="C354" i="1"/>
  <c r="D354" i="1"/>
  <c r="E354" i="1"/>
  <c r="F354" i="1"/>
  <c r="F355" i="1" s="1"/>
  <c r="G354" i="1"/>
  <c r="H354" i="1"/>
  <c r="H362" i="1" s="1"/>
  <c r="S85" i="4" s="1"/>
  <c r="I354" i="1"/>
  <c r="I362" i="1" s="1"/>
  <c r="V85" i="4" s="1"/>
  <c r="C355" i="1"/>
  <c r="E355" i="1"/>
  <c r="E358" i="1" s="1"/>
  <c r="E359" i="1" s="1"/>
  <c r="C356" i="1"/>
  <c r="C361" i="1" s="1"/>
  <c r="D356" i="1"/>
  <c r="F356" i="1"/>
  <c r="F361" i="1" s="1"/>
  <c r="I356" i="1"/>
  <c r="I361" i="1"/>
  <c r="C362" i="1"/>
  <c r="D85" i="4" s="1"/>
  <c r="D362" i="1"/>
  <c r="G85" i="4" s="1"/>
  <c r="E362" i="1"/>
  <c r="J85" i="4" s="1"/>
  <c r="G362" i="1"/>
  <c r="C373" i="1"/>
  <c r="D373" i="1"/>
  <c r="E373" i="1"/>
  <c r="F373" i="1"/>
  <c r="F379" i="1" s="1"/>
  <c r="F384" i="1" s="1"/>
  <c r="N89" i="4" s="1"/>
  <c r="G373" i="1"/>
  <c r="G379" i="1" s="1"/>
  <c r="H373" i="1"/>
  <c r="H379" i="1" s="1"/>
  <c r="I373" i="1"/>
  <c r="I379" i="1" s="1"/>
  <c r="C376" i="1"/>
  <c r="D376" i="1"/>
  <c r="E376" i="1"/>
  <c r="E378" i="1" s="1"/>
  <c r="F376" i="1"/>
  <c r="G376" i="1"/>
  <c r="H376" i="1"/>
  <c r="I376" i="1"/>
  <c r="C377" i="1"/>
  <c r="C378" i="1" s="1"/>
  <c r="C381" i="1" s="1"/>
  <c r="C382" i="1" s="1"/>
  <c r="D377" i="1"/>
  <c r="E377" i="1"/>
  <c r="F377" i="1"/>
  <c r="F378" i="1" s="1"/>
  <c r="G377" i="1"/>
  <c r="H377" i="1"/>
  <c r="H385" i="1" s="1"/>
  <c r="S89" i="4" s="1"/>
  <c r="S92" i="4" s="1"/>
  <c r="I377" i="1"/>
  <c r="I385" i="1" s="1"/>
  <c r="V89" i="4" s="1"/>
  <c r="D378" i="1"/>
  <c r="D381" i="1" s="1"/>
  <c r="D382" i="1" s="1"/>
  <c r="C379" i="1"/>
  <c r="D379" i="1"/>
  <c r="E379" i="1"/>
  <c r="E381" i="1" s="1"/>
  <c r="E382" i="1" s="1"/>
  <c r="F381" i="1"/>
  <c r="F382" i="1" s="1"/>
  <c r="C384" i="1"/>
  <c r="I384" i="1"/>
  <c r="C385" i="1"/>
  <c r="D89" i="4" s="1"/>
  <c r="D385" i="1"/>
  <c r="G89" i="4" s="1"/>
  <c r="E385" i="1"/>
  <c r="J89" i="4" s="1"/>
  <c r="G385" i="1"/>
  <c r="P89" i="4" s="1"/>
  <c r="P92" i="4" s="1"/>
  <c r="C394" i="1"/>
  <c r="D394" i="1"/>
  <c r="E394" i="1"/>
  <c r="F394" i="1"/>
  <c r="F400" i="1" s="1"/>
  <c r="G394" i="1"/>
  <c r="G400" i="1" s="1"/>
  <c r="H394" i="1"/>
  <c r="H400" i="1" s="1"/>
  <c r="I394" i="1"/>
  <c r="C397" i="1"/>
  <c r="C405" i="1" s="1"/>
  <c r="D397" i="1"/>
  <c r="E397" i="1"/>
  <c r="F397" i="1"/>
  <c r="G397" i="1"/>
  <c r="G399" i="1" s="1"/>
  <c r="H397" i="1"/>
  <c r="I397" i="1"/>
  <c r="I405" i="1" s="1"/>
  <c r="C398" i="1"/>
  <c r="D398" i="1"/>
  <c r="D399" i="1" s="1"/>
  <c r="D402" i="1" s="1"/>
  <c r="D403" i="1" s="1"/>
  <c r="E398" i="1"/>
  <c r="F398" i="1"/>
  <c r="G398" i="1"/>
  <c r="G406" i="1" s="1"/>
  <c r="P90" i="4" s="1"/>
  <c r="H398" i="1"/>
  <c r="H406" i="1" s="1"/>
  <c r="S90" i="4" s="1"/>
  <c r="I398" i="1"/>
  <c r="C399" i="1"/>
  <c r="E399" i="1"/>
  <c r="I399" i="1"/>
  <c r="I402" i="1" s="1"/>
  <c r="I403" i="1" s="1"/>
  <c r="C400" i="1"/>
  <c r="D400" i="1"/>
  <c r="D405" i="1" s="1"/>
  <c r="E400" i="1"/>
  <c r="E405" i="1" s="1"/>
  <c r="K90" i="4" s="1"/>
  <c r="I400" i="1"/>
  <c r="E402" i="1"/>
  <c r="E403" i="1" s="1"/>
  <c r="G402" i="1"/>
  <c r="G403" i="1" s="1"/>
  <c r="H405" i="1"/>
  <c r="C406" i="1"/>
  <c r="D90" i="4" s="1"/>
  <c r="D406" i="1"/>
  <c r="D407" i="1" s="1"/>
  <c r="E406" i="1"/>
  <c r="F406" i="1"/>
  <c r="M90" i="4" s="1"/>
  <c r="I406" i="1"/>
  <c r="V90" i="4" s="1"/>
  <c r="C416" i="1"/>
  <c r="D416" i="1"/>
  <c r="E416" i="1"/>
  <c r="E422" i="1" s="1"/>
  <c r="F416" i="1"/>
  <c r="F422" i="1" s="1"/>
  <c r="G416" i="1"/>
  <c r="G422" i="1" s="1"/>
  <c r="G427" i="1" s="1"/>
  <c r="H416" i="1"/>
  <c r="H422" i="1" s="1"/>
  <c r="I416" i="1"/>
  <c r="I422" i="1" s="1"/>
  <c r="C419" i="1"/>
  <c r="C421" i="1" s="1"/>
  <c r="D419" i="1"/>
  <c r="E419" i="1"/>
  <c r="F419" i="1"/>
  <c r="F421" i="1" s="1"/>
  <c r="F424" i="1" s="1"/>
  <c r="G419" i="1"/>
  <c r="H419" i="1"/>
  <c r="H421" i="1" s="1"/>
  <c r="H424" i="1" s="1"/>
  <c r="I419" i="1"/>
  <c r="C420" i="1"/>
  <c r="C428" i="1" s="1"/>
  <c r="D94" i="4" s="1"/>
  <c r="D420" i="1"/>
  <c r="D428" i="1" s="1"/>
  <c r="G94" i="4" s="1"/>
  <c r="E420" i="1"/>
  <c r="F420" i="1"/>
  <c r="G420" i="1"/>
  <c r="G428" i="1" s="1"/>
  <c r="P94" i="4" s="1"/>
  <c r="H420" i="1"/>
  <c r="I420" i="1"/>
  <c r="E421" i="1"/>
  <c r="I421" i="1"/>
  <c r="I424" i="1" s="1"/>
  <c r="I425" i="1" s="1"/>
  <c r="C422" i="1"/>
  <c r="D422" i="1"/>
  <c r="D427" i="1" s="1"/>
  <c r="C424" i="1"/>
  <c r="C425" i="1" s="1"/>
  <c r="F425" i="1"/>
  <c r="H425" i="1"/>
  <c r="H427" i="1"/>
  <c r="I427" i="1"/>
  <c r="E428" i="1"/>
  <c r="J94" i="4" s="1"/>
  <c r="F428" i="1"/>
  <c r="M94" i="4" s="1"/>
  <c r="H428" i="1"/>
  <c r="S94" i="4" s="1"/>
  <c r="I428" i="1"/>
  <c r="V94" i="4" s="1"/>
  <c r="C436" i="1"/>
  <c r="D436" i="1"/>
  <c r="D442" i="1" s="1"/>
  <c r="E436" i="1"/>
  <c r="F436" i="1"/>
  <c r="F442" i="1" s="1"/>
  <c r="F447" i="1" s="1"/>
  <c r="G436" i="1"/>
  <c r="G442" i="1" s="1"/>
  <c r="H436" i="1"/>
  <c r="I436" i="1"/>
  <c r="I442" i="1" s="1"/>
  <c r="C439" i="1"/>
  <c r="D439" i="1"/>
  <c r="E439" i="1"/>
  <c r="E441" i="1" s="1"/>
  <c r="F439" i="1"/>
  <c r="G439" i="1"/>
  <c r="H439" i="1"/>
  <c r="I439" i="1"/>
  <c r="I447" i="1" s="1"/>
  <c r="W95" i="4" s="1"/>
  <c r="C440" i="1"/>
  <c r="C441" i="1" s="1"/>
  <c r="D440" i="1"/>
  <c r="D448" i="1" s="1"/>
  <c r="G95" i="4" s="1"/>
  <c r="E440" i="1"/>
  <c r="E448" i="1" s="1"/>
  <c r="J95" i="4" s="1"/>
  <c r="F440" i="1"/>
  <c r="F448" i="1" s="1"/>
  <c r="M95" i="4" s="1"/>
  <c r="G440" i="1"/>
  <c r="H440" i="1"/>
  <c r="H448" i="1" s="1"/>
  <c r="S95" i="4" s="1"/>
  <c r="I440" i="1"/>
  <c r="F441" i="1"/>
  <c r="I441" i="1"/>
  <c r="I444" i="1" s="1"/>
  <c r="I445" i="1" s="1"/>
  <c r="C442" i="1"/>
  <c r="E442" i="1"/>
  <c r="H442" i="1"/>
  <c r="C444" i="1"/>
  <c r="C445" i="1" s="1"/>
  <c r="E444" i="1"/>
  <c r="E445" i="1" s="1"/>
  <c r="H447" i="1"/>
  <c r="G448" i="1"/>
  <c r="P95" i="4" s="1"/>
  <c r="I448" i="1"/>
  <c r="V95" i="4" s="1"/>
  <c r="I449" i="1"/>
  <c r="C456" i="1"/>
  <c r="C462" i="1" s="1"/>
  <c r="D456" i="1"/>
  <c r="D462" i="1" s="1"/>
  <c r="E456" i="1"/>
  <c r="E462" i="1" s="1"/>
  <c r="F456" i="1"/>
  <c r="G456" i="1"/>
  <c r="H456" i="1"/>
  <c r="I456" i="1"/>
  <c r="C459" i="1"/>
  <c r="D459" i="1"/>
  <c r="E459" i="1"/>
  <c r="F459" i="1"/>
  <c r="F467" i="1" s="1"/>
  <c r="G459" i="1"/>
  <c r="H459" i="1"/>
  <c r="I459" i="1"/>
  <c r="I461" i="1" s="1"/>
  <c r="C460" i="1"/>
  <c r="D460" i="1"/>
  <c r="D468" i="1" s="1"/>
  <c r="G99" i="4" s="1"/>
  <c r="E460" i="1"/>
  <c r="E468" i="1" s="1"/>
  <c r="J99" i="4" s="1"/>
  <c r="F460" i="1"/>
  <c r="F468" i="1" s="1"/>
  <c r="M99" i="4" s="1"/>
  <c r="M102" i="4" s="1"/>
  <c r="G460" i="1"/>
  <c r="G468" i="1" s="1"/>
  <c r="H460" i="1"/>
  <c r="H468" i="1" s="1"/>
  <c r="S99" i="4" s="1"/>
  <c r="I460" i="1"/>
  <c r="F461" i="1"/>
  <c r="F464" i="1" s="1"/>
  <c r="F465" i="1" s="1"/>
  <c r="G461" i="1"/>
  <c r="G464" i="1" s="1"/>
  <c r="G465" i="1" s="1"/>
  <c r="H461" i="1"/>
  <c r="F462" i="1"/>
  <c r="G462" i="1"/>
  <c r="H462" i="1"/>
  <c r="I462" i="1"/>
  <c r="H464" i="1"/>
  <c r="H465" i="1" s="1"/>
  <c r="I464" i="1"/>
  <c r="I465" i="1" s="1"/>
  <c r="H467" i="1"/>
  <c r="C468" i="1"/>
  <c r="D99" i="4" s="1"/>
  <c r="I468" i="1"/>
  <c r="V99" i="4" s="1"/>
  <c r="C476" i="1"/>
  <c r="C482" i="1" s="1"/>
  <c r="C487" i="1" s="1"/>
  <c r="D476" i="1"/>
  <c r="D482" i="1" s="1"/>
  <c r="D487" i="1" s="1"/>
  <c r="E476" i="1"/>
  <c r="F476" i="1"/>
  <c r="F482" i="1" s="1"/>
  <c r="G476" i="1"/>
  <c r="H476" i="1"/>
  <c r="I476" i="1"/>
  <c r="C479" i="1"/>
  <c r="D479" i="1"/>
  <c r="E479" i="1"/>
  <c r="F479" i="1"/>
  <c r="G479" i="1"/>
  <c r="H479" i="1"/>
  <c r="I479" i="1"/>
  <c r="C480" i="1"/>
  <c r="C481" i="1" s="1"/>
  <c r="D480" i="1"/>
  <c r="E480" i="1"/>
  <c r="F480" i="1"/>
  <c r="F488" i="1" s="1"/>
  <c r="M30" i="4" s="1"/>
  <c r="G480" i="1"/>
  <c r="G488" i="1" s="1"/>
  <c r="P30" i="4" s="1"/>
  <c r="P32" i="4" s="1"/>
  <c r="H480" i="1"/>
  <c r="H481" i="1" s="1"/>
  <c r="I480" i="1"/>
  <c r="I488" i="1" s="1"/>
  <c r="V30" i="4" s="1"/>
  <c r="D481" i="1"/>
  <c r="D484" i="1" s="1"/>
  <c r="F481" i="1"/>
  <c r="I481" i="1"/>
  <c r="E482" i="1"/>
  <c r="G482" i="1"/>
  <c r="H482" i="1"/>
  <c r="I482" i="1"/>
  <c r="C484" i="1"/>
  <c r="C485" i="1" s="1"/>
  <c r="D485" i="1"/>
  <c r="D488" i="1"/>
  <c r="G30" i="4" s="1"/>
  <c r="E488" i="1"/>
  <c r="J30" i="4" s="1"/>
  <c r="H488" i="1"/>
  <c r="S30" i="4" s="1"/>
  <c r="S32" i="4" s="1"/>
  <c r="C496" i="1"/>
  <c r="D496" i="1"/>
  <c r="D502" i="1" s="1"/>
  <c r="E496" i="1"/>
  <c r="E502" i="1" s="1"/>
  <c r="F496" i="1"/>
  <c r="G496" i="1"/>
  <c r="G502" i="1" s="1"/>
  <c r="H496" i="1"/>
  <c r="I496" i="1"/>
  <c r="C499" i="1"/>
  <c r="D499" i="1"/>
  <c r="E499" i="1"/>
  <c r="E501" i="1" s="1"/>
  <c r="F499" i="1"/>
  <c r="G499" i="1"/>
  <c r="H499" i="1"/>
  <c r="I499" i="1"/>
  <c r="I507" i="1" s="1"/>
  <c r="C500" i="1"/>
  <c r="D500" i="1"/>
  <c r="E500" i="1"/>
  <c r="F500" i="1"/>
  <c r="F508" i="1" s="1"/>
  <c r="M34" i="4" s="1"/>
  <c r="G500" i="1"/>
  <c r="G508" i="1" s="1"/>
  <c r="P34" i="4" s="1"/>
  <c r="P36" i="4" s="1"/>
  <c r="H500" i="1"/>
  <c r="H508" i="1" s="1"/>
  <c r="S34" i="4" s="1"/>
  <c r="S36" i="4" s="1"/>
  <c r="I500" i="1"/>
  <c r="I508" i="1" s="1"/>
  <c r="V34" i="4" s="1"/>
  <c r="H501" i="1"/>
  <c r="H504" i="1" s="1"/>
  <c r="H505" i="1" s="1"/>
  <c r="I501" i="1"/>
  <c r="C502" i="1"/>
  <c r="F502" i="1"/>
  <c r="H502" i="1"/>
  <c r="I502" i="1"/>
  <c r="I504" i="1"/>
  <c r="I505" i="1" s="1"/>
  <c r="D507" i="1"/>
  <c r="H34" i="4" s="1"/>
  <c r="H36" i="4" s="1"/>
  <c r="H507" i="1"/>
  <c r="C508" i="1"/>
  <c r="D34" i="4" s="1"/>
  <c r="E508" i="1"/>
  <c r="J34" i="4" s="1"/>
  <c r="C516" i="1"/>
  <c r="D516" i="1"/>
  <c r="E516" i="1"/>
  <c r="E522" i="1" s="1"/>
  <c r="F516" i="1"/>
  <c r="F522" i="1" s="1"/>
  <c r="G516" i="1"/>
  <c r="G522" i="1" s="1"/>
  <c r="H516" i="1"/>
  <c r="H522" i="1" s="1"/>
  <c r="I516" i="1"/>
  <c r="C519" i="1"/>
  <c r="D519" i="1"/>
  <c r="D521" i="1" s="1"/>
  <c r="E519" i="1"/>
  <c r="F519" i="1"/>
  <c r="F527" i="1" s="1"/>
  <c r="N25" i="4" s="1"/>
  <c r="G519" i="1"/>
  <c r="H519" i="1"/>
  <c r="I519" i="1"/>
  <c r="C520" i="1"/>
  <c r="C528" i="1" s="1"/>
  <c r="D25" i="4" s="1"/>
  <c r="D520" i="1"/>
  <c r="E520" i="1"/>
  <c r="E521" i="1" s="1"/>
  <c r="F520" i="1"/>
  <c r="G520" i="1"/>
  <c r="G528" i="1" s="1"/>
  <c r="P25" i="4" s="1"/>
  <c r="H520" i="1"/>
  <c r="H528" i="1" s="1"/>
  <c r="S25" i="4" s="1"/>
  <c r="I520" i="1"/>
  <c r="I528" i="1" s="1"/>
  <c r="V25" i="4" s="1"/>
  <c r="C521" i="1"/>
  <c r="C524" i="1" s="1"/>
  <c r="C525" i="1" s="1"/>
  <c r="F521" i="1"/>
  <c r="F524" i="1" s="1"/>
  <c r="C522" i="1"/>
  <c r="C527" i="1" s="1"/>
  <c r="D522" i="1"/>
  <c r="D527" i="1" s="1"/>
  <c r="I522" i="1"/>
  <c r="D524" i="1"/>
  <c r="D525" i="1" s="1"/>
  <c r="E524" i="1"/>
  <c r="E525" i="1"/>
  <c r="F525" i="1"/>
  <c r="E527" i="1"/>
  <c r="K25" i="4" s="1"/>
  <c r="D528" i="1"/>
  <c r="G25" i="4" s="1"/>
  <c r="E528" i="1"/>
  <c r="F528" i="1"/>
  <c r="M25" i="4" s="1"/>
  <c r="C536" i="1"/>
  <c r="D536" i="1"/>
  <c r="D542" i="1" s="1"/>
  <c r="E536" i="1"/>
  <c r="F536" i="1"/>
  <c r="F542" i="1" s="1"/>
  <c r="G536" i="1"/>
  <c r="H536" i="1"/>
  <c r="H542" i="1" s="1"/>
  <c r="I536" i="1"/>
  <c r="I542" i="1" s="1"/>
  <c r="I547" i="1" s="1"/>
  <c r="C539" i="1"/>
  <c r="C547" i="1" s="1"/>
  <c r="E23" i="4" s="1"/>
  <c r="D539" i="1"/>
  <c r="E539" i="1"/>
  <c r="E541" i="1" s="1"/>
  <c r="F539" i="1"/>
  <c r="G539" i="1"/>
  <c r="H539" i="1"/>
  <c r="I539" i="1"/>
  <c r="I541" i="1" s="1"/>
  <c r="C540" i="1"/>
  <c r="C548" i="1" s="1"/>
  <c r="D23" i="4" s="1"/>
  <c r="D540" i="1"/>
  <c r="D548" i="1" s="1"/>
  <c r="G23" i="4" s="1"/>
  <c r="E540" i="1"/>
  <c r="F540" i="1"/>
  <c r="G540" i="1"/>
  <c r="H540" i="1"/>
  <c r="I540" i="1"/>
  <c r="I548" i="1" s="1"/>
  <c r="V23" i="4" s="1"/>
  <c r="D541" i="1"/>
  <c r="F541" i="1"/>
  <c r="F544" i="1" s="1"/>
  <c r="G541" i="1"/>
  <c r="C542" i="1"/>
  <c r="E542" i="1"/>
  <c r="G542" i="1"/>
  <c r="G547" i="1" s="1"/>
  <c r="I544" i="1"/>
  <c r="I545" i="1" s="1"/>
  <c r="F545" i="1"/>
  <c r="F547" i="1"/>
  <c r="E548" i="1"/>
  <c r="J23" i="4" s="1"/>
  <c r="F548" i="1"/>
  <c r="M23" i="4" s="1"/>
  <c r="G548" i="1"/>
  <c r="P23" i="4" s="1"/>
  <c r="H548" i="1"/>
  <c r="S23" i="4" s="1"/>
  <c r="S28" i="4" s="1"/>
  <c r="C549" i="1"/>
  <c r="C556" i="1"/>
  <c r="D556" i="1"/>
  <c r="D562" i="1" s="1"/>
  <c r="E556" i="1"/>
  <c r="F556" i="1"/>
  <c r="G556" i="1"/>
  <c r="G562" i="1" s="1"/>
  <c r="H556" i="1"/>
  <c r="I556" i="1"/>
  <c r="C559" i="1"/>
  <c r="C561" i="1" s="1"/>
  <c r="D559" i="1"/>
  <c r="E559" i="1"/>
  <c r="E561" i="1" s="1"/>
  <c r="F559" i="1"/>
  <c r="G559" i="1"/>
  <c r="H559" i="1"/>
  <c r="I559" i="1"/>
  <c r="C560" i="1"/>
  <c r="C568" i="1" s="1"/>
  <c r="D26" i="4" s="1"/>
  <c r="D560" i="1"/>
  <c r="D561" i="1" s="1"/>
  <c r="E560" i="1"/>
  <c r="E568" i="1" s="1"/>
  <c r="J26" i="4" s="1"/>
  <c r="F560" i="1"/>
  <c r="G560" i="1"/>
  <c r="G561" i="1" s="1"/>
  <c r="H560" i="1"/>
  <c r="I560" i="1"/>
  <c r="I568" i="1" s="1"/>
  <c r="V26" i="4" s="1"/>
  <c r="C562" i="1"/>
  <c r="C567" i="1" s="1"/>
  <c r="E562" i="1"/>
  <c r="F562" i="1"/>
  <c r="H562" i="1"/>
  <c r="I562" i="1"/>
  <c r="E564" i="1"/>
  <c r="E565" i="1" s="1"/>
  <c r="E567" i="1"/>
  <c r="D568" i="1"/>
  <c r="G26" i="4" s="1"/>
  <c r="F568" i="1"/>
  <c r="M26" i="4" s="1"/>
  <c r="G568" i="1"/>
  <c r="P26" i="4" s="1"/>
  <c r="H568" i="1"/>
  <c r="S26" i="4" s="1"/>
  <c r="C576" i="1"/>
  <c r="C582" i="1" s="1"/>
  <c r="D576" i="1"/>
  <c r="E576" i="1"/>
  <c r="F576" i="1"/>
  <c r="F582" i="1" s="1"/>
  <c r="G576" i="1"/>
  <c r="H576" i="1"/>
  <c r="H582" i="1" s="1"/>
  <c r="I576" i="1"/>
  <c r="I582" i="1" s="1"/>
  <c r="I587" i="1" s="1"/>
  <c r="C579" i="1"/>
  <c r="D579" i="1"/>
  <c r="D587" i="1" s="1"/>
  <c r="E579" i="1"/>
  <c r="E587" i="1" s="1"/>
  <c r="F579" i="1"/>
  <c r="F587" i="1" s="1"/>
  <c r="G579" i="1"/>
  <c r="G581" i="1" s="1"/>
  <c r="H579" i="1"/>
  <c r="I579" i="1"/>
  <c r="C580" i="1"/>
  <c r="C588" i="1" s="1"/>
  <c r="D38" i="4" s="1"/>
  <c r="D580" i="1"/>
  <c r="D581" i="1" s="1"/>
  <c r="D584" i="1" s="1"/>
  <c r="D585" i="1" s="1"/>
  <c r="E580" i="1"/>
  <c r="E588" i="1" s="1"/>
  <c r="J38" i="4" s="1"/>
  <c r="F580" i="1"/>
  <c r="F588" i="1" s="1"/>
  <c r="M38" i="4" s="1"/>
  <c r="G580" i="1"/>
  <c r="H580" i="1"/>
  <c r="I580" i="1"/>
  <c r="E581" i="1"/>
  <c r="F581" i="1"/>
  <c r="H581" i="1"/>
  <c r="H584" i="1" s="1"/>
  <c r="I581" i="1"/>
  <c r="D582" i="1"/>
  <c r="E582" i="1"/>
  <c r="G582" i="1"/>
  <c r="G584" i="1" s="1"/>
  <c r="G585" i="1" s="1"/>
  <c r="E584" i="1"/>
  <c r="E585" i="1" s="1"/>
  <c r="H585" i="1"/>
  <c r="G587" i="1"/>
  <c r="H587" i="1"/>
  <c r="T38" i="4" s="1"/>
  <c r="D588" i="1"/>
  <c r="G38" i="4" s="1"/>
  <c r="G588" i="1"/>
  <c r="P38" i="4" s="1"/>
  <c r="H588" i="1"/>
  <c r="S38" i="4" s="1"/>
  <c r="I588" i="1"/>
  <c r="V38" i="4" s="1"/>
  <c r="H589" i="1"/>
  <c r="C596" i="1"/>
  <c r="D596" i="1"/>
  <c r="D602" i="1" s="1"/>
  <c r="E596" i="1"/>
  <c r="F596" i="1"/>
  <c r="F602" i="1" s="1"/>
  <c r="G596" i="1"/>
  <c r="G602" i="1" s="1"/>
  <c r="H596" i="1"/>
  <c r="I596" i="1"/>
  <c r="I602" i="1" s="1"/>
  <c r="C599" i="1"/>
  <c r="D599" i="1"/>
  <c r="D607" i="1" s="1"/>
  <c r="H44" i="4" s="1"/>
  <c r="E599" i="1"/>
  <c r="F599" i="1"/>
  <c r="G599" i="1"/>
  <c r="H599" i="1"/>
  <c r="I599" i="1"/>
  <c r="C600" i="1"/>
  <c r="D600" i="1"/>
  <c r="E600" i="1"/>
  <c r="F600" i="1"/>
  <c r="F601" i="1" s="1"/>
  <c r="G600" i="1"/>
  <c r="G608" i="1" s="1"/>
  <c r="P44" i="4" s="1"/>
  <c r="H600" i="1"/>
  <c r="H608" i="1" s="1"/>
  <c r="S44" i="4" s="1"/>
  <c r="S47" i="4" s="1"/>
  <c r="I600" i="1"/>
  <c r="D601" i="1"/>
  <c r="D604" i="1" s="1"/>
  <c r="D605" i="1" s="1"/>
  <c r="E601" i="1"/>
  <c r="C602" i="1"/>
  <c r="E602" i="1"/>
  <c r="H602" i="1"/>
  <c r="F604" i="1"/>
  <c r="F605" i="1" s="1"/>
  <c r="C607" i="1"/>
  <c r="I607" i="1"/>
  <c r="C608" i="1"/>
  <c r="D44" i="4" s="1"/>
  <c r="D608" i="1"/>
  <c r="G44" i="4" s="1"/>
  <c r="E608" i="1"/>
  <c r="J44" i="4" s="1"/>
  <c r="D609" i="1"/>
  <c r="C617" i="1"/>
  <c r="C623" i="1" s="1"/>
  <c r="D617" i="1"/>
  <c r="E617" i="1"/>
  <c r="F617" i="1"/>
  <c r="F623" i="1" s="1"/>
  <c r="G617" i="1"/>
  <c r="G623" i="1" s="1"/>
  <c r="H617" i="1"/>
  <c r="H623" i="1" s="1"/>
  <c r="I617" i="1"/>
  <c r="N617" i="1"/>
  <c r="O617" i="1"/>
  <c r="C620" i="1"/>
  <c r="C622" i="1" s="1"/>
  <c r="C625" i="1" s="1"/>
  <c r="C626" i="1" s="1"/>
  <c r="D620" i="1"/>
  <c r="E620" i="1"/>
  <c r="F620" i="1"/>
  <c r="F622" i="1" s="1"/>
  <c r="G620" i="1"/>
  <c r="H620" i="1"/>
  <c r="I620" i="1"/>
  <c r="C621" i="1"/>
  <c r="C629" i="1" s="1"/>
  <c r="D621" i="1"/>
  <c r="D622" i="1" s="1"/>
  <c r="D625" i="1" s="1"/>
  <c r="D626" i="1" s="1"/>
  <c r="E621" i="1"/>
  <c r="F621" i="1"/>
  <c r="F629" i="1" s="1"/>
  <c r="M53" i="4" s="1"/>
  <c r="G621" i="1"/>
  <c r="G629" i="1" s="1"/>
  <c r="P53" i="4" s="1"/>
  <c r="H621" i="1"/>
  <c r="I621" i="1"/>
  <c r="G622" i="1"/>
  <c r="G625" i="1" s="1"/>
  <c r="G626" i="1" s="1"/>
  <c r="H622" i="1"/>
  <c r="H625" i="1" s="1"/>
  <c r="H626" i="1" s="1"/>
  <c r="I622" i="1"/>
  <c r="I625" i="1" s="1"/>
  <c r="I626" i="1" s="1"/>
  <c r="D623" i="1"/>
  <c r="D628" i="1" s="1"/>
  <c r="H53" i="4" s="1"/>
  <c r="E623" i="1"/>
  <c r="I623" i="1"/>
  <c r="F625" i="1"/>
  <c r="F626" i="1" s="1"/>
  <c r="C628" i="1"/>
  <c r="E53" i="4" s="1"/>
  <c r="G628" i="1"/>
  <c r="H628" i="1"/>
  <c r="I628" i="1"/>
  <c r="E629" i="1"/>
  <c r="J53" i="4" s="1"/>
  <c r="H629" i="1"/>
  <c r="S53" i="4" s="1"/>
  <c r="I629" i="1"/>
  <c r="V53" i="4" s="1"/>
  <c r="C637" i="1"/>
  <c r="D637" i="1"/>
  <c r="D643" i="1" s="1"/>
  <c r="E637" i="1"/>
  <c r="E643" i="1" s="1"/>
  <c r="F637" i="1"/>
  <c r="F643" i="1" s="1"/>
  <c r="G637" i="1"/>
  <c r="H637" i="1"/>
  <c r="I637" i="1"/>
  <c r="C640" i="1"/>
  <c r="D640" i="1"/>
  <c r="E640" i="1"/>
  <c r="F640" i="1"/>
  <c r="G640" i="1"/>
  <c r="H640" i="1"/>
  <c r="I640" i="1"/>
  <c r="C641" i="1"/>
  <c r="C649" i="1" s="1"/>
  <c r="D74" i="4" s="1"/>
  <c r="D641" i="1"/>
  <c r="E641" i="1"/>
  <c r="E649" i="1" s="1"/>
  <c r="J74" i="4" s="1"/>
  <c r="F641" i="1"/>
  <c r="F649" i="1" s="1"/>
  <c r="M74" i="4" s="1"/>
  <c r="G641" i="1"/>
  <c r="G649" i="1" s="1"/>
  <c r="P74" i="4" s="1"/>
  <c r="P76" i="4" s="1"/>
  <c r="H641" i="1"/>
  <c r="H642" i="1" s="1"/>
  <c r="H645" i="1" s="1"/>
  <c r="H646" i="1" s="1"/>
  <c r="I641" i="1"/>
  <c r="I642" i="1"/>
  <c r="C643" i="1"/>
  <c r="C648" i="1" s="1"/>
  <c r="E74" i="4" s="1"/>
  <c r="G643" i="1"/>
  <c r="H643" i="1"/>
  <c r="I643" i="1"/>
  <c r="I648" i="1" s="1"/>
  <c r="H648" i="1"/>
  <c r="D649" i="1"/>
  <c r="G74" i="4" s="1"/>
  <c r="H649" i="1"/>
  <c r="S74" i="4" s="1"/>
  <c r="S76" i="4" s="1"/>
  <c r="I649" i="1"/>
  <c r="V74" i="4" s="1"/>
  <c r="C650" i="1"/>
  <c r="C657" i="1"/>
  <c r="D657" i="1"/>
  <c r="D663" i="1" s="1"/>
  <c r="E657" i="1"/>
  <c r="E663" i="1" s="1"/>
  <c r="F657" i="1"/>
  <c r="F663" i="1" s="1"/>
  <c r="G657" i="1"/>
  <c r="H657" i="1"/>
  <c r="H663" i="1" s="1"/>
  <c r="H668" i="1" s="1"/>
  <c r="I657" i="1"/>
  <c r="C660" i="1"/>
  <c r="D660" i="1"/>
  <c r="E660" i="1"/>
  <c r="E662" i="1" s="1"/>
  <c r="F660" i="1"/>
  <c r="F662" i="1" s="1"/>
  <c r="F665" i="1" s="1"/>
  <c r="F666" i="1" s="1"/>
  <c r="G660" i="1"/>
  <c r="G668" i="1" s="1"/>
  <c r="H660" i="1"/>
  <c r="I660" i="1"/>
  <c r="C661" i="1"/>
  <c r="D661" i="1"/>
  <c r="E661" i="1"/>
  <c r="E669" i="1" s="1"/>
  <c r="J58" i="4" s="1"/>
  <c r="F661" i="1"/>
  <c r="F669" i="1" s="1"/>
  <c r="M58" i="4" s="1"/>
  <c r="G661" i="1"/>
  <c r="G669" i="1" s="1"/>
  <c r="P58" i="4" s="1"/>
  <c r="H661" i="1"/>
  <c r="H669" i="1" s="1"/>
  <c r="S58" i="4" s="1"/>
  <c r="I661" i="1"/>
  <c r="C662" i="1"/>
  <c r="G662" i="1"/>
  <c r="G665" i="1" s="1"/>
  <c r="G666" i="1" s="1"/>
  <c r="H662" i="1"/>
  <c r="I662" i="1"/>
  <c r="I665" i="1" s="1"/>
  <c r="I666" i="1" s="1"/>
  <c r="C663" i="1"/>
  <c r="C668" i="1" s="1"/>
  <c r="E58" i="4" s="1"/>
  <c r="G663" i="1"/>
  <c r="I663" i="1"/>
  <c r="C665" i="1"/>
  <c r="C666" i="1" s="1"/>
  <c r="E665" i="1"/>
  <c r="E666" i="1" s="1"/>
  <c r="F668" i="1"/>
  <c r="I668" i="1"/>
  <c r="C669" i="1"/>
  <c r="D58" i="4" s="1"/>
  <c r="D669" i="1"/>
  <c r="G58" i="4" s="1"/>
  <c r="I669" i="1"/>
  <c r="V58" i="4" s="1"/>
  <c r="C679" i="1"/>
  <c r="D679" i="1"/>
  <c r="D685" i="1" s="1"/>
  <c r="E679" i="1"/>
  <c r="E685" i="1" s="1"/>
  <c r="F679" i="1"/>
  <c r="F685" i="1" s="1"/>
  <c r="G679" i="1"/>
  <c r="H679" i="1"/>
  <c r="H685" i="1" s="1"/>
  <c r="I679" i="1"/>
  <c r="C682" i="1"/>
  <c r="D682" i="1"/>
  <c r="E682" i="1"/>
  <c r="E690" i="1" s="1"/>
  <c r="F682" i="1"/>
  <c r="G682" i="1"/>
  <c r="H682" i="1"/>
  <c r="I682" i="1"/>
  <c r="C683" i="1"/>
  <c r="C691" i="1" s="1"/>
  <c r="D7" i="4" s="1"/>
  <c r="D683" i="1"/>
  <c r="E683" i="1"/>
  <c r="E691" i="1" s="1"/>
  <c r="J7" i="4" s="1"/>
  <c r="F683" i="1"/>
  <c r="F691" i="1" s="1"/>
  <c r="M7" i="4" s="1"/>
  <c r="G683" i="1"/>
  <c r="G684" i="1" s="1"/>
  <c r="G687" i="1" s="1"/>
  <c r="H683" i="1"/>
  <c r="H684" i="1" s="1"/>
  <c r="H687" i="1" s="1"/>
  <c r="H688" i="1" s="1"/>
  <c r="I683" i="1"/>
  <c r="I691" i="1" s="1"/>
  <c r="V7" i="4" s="1"/>
  <c r="I684" i="1"/>
  <c r="I687" i="1" s="1"/>
  <c r="I688" i="1" s="1"/>
  <c r="C685" i="1"/>
  <c r="C690" i="1" s="1"/>
  <c r="G685" i="1"/>
  <c r="I685" i="1"/>
  <c r="I690" i="1" s="1"/>
  <c r="G688" i="1"/>
  <c r="G690" i="1"/>
  <c r="D691" i="1"/>
  <c r="G7" i="4" s="1"/>
  <c r="G691" i="1"/>
  <c r="P7" i="4" s="1"/>
  <c r="H691" i="1"/>
  <c r="S7" i="4" s="1"/>
  <c r="C699" i="1"/>
  <c r="D699" i="1"/>
  <c r="D705" i="1" s="1"/>
  <c r="D710" i="1" s="1"/>
  <c r="E699" i="1"/>
  <c r="E705" i="1" s="1"/>
  <c r="F699" i="1"/>
  <c r="F705" i="1" s="1"/>
  <c r="F710" i="1" s="1"/>
  <c r="G699" i="1"/>
  <c r="G705" i="1" s="1"/>
  <c r="H699" i="1"/>
  <c r="I699" i="1"/>
  <c r="C702" i="1"/>
  <c r="D702" i="1"/>
  <c r="E702" i="1"/>
  <c r="F702" i="1"/>
  <c r="G702" i="1"/>
  <c r="H702" i="1"/>
  <c r="H710" i="1" s="1"/>
  <c r="I702" i="1"/>
  <c r="C703" i="1"/>
  <c r="D703" i="1"/>
  <c r="E703" i="1"/>
  <c r="F703" i="1"/>
  <c r="F711" i="1" s="1"/>
  <c r="M10" i="4" s="1"/>
  <c r="G703" i="1"/>
  <c r="H703" i="1"/>
  <c r="I703" i="1"/>
  <c r="E704" i="1"/>
  <c r="E707" i="1" s="1"/>
  <c r="E708" i="1" s="1"/>
  <c r="G704" i="1"/>
  <c r="G707" i="1" s="1"/>
  <c r="G708" i="1" s="1"/>
  <c r="H704" i="1"/>
  <c r="H707" i="1" s="1"/>
  <c r="H708" i="1" s="1"/>
  <c r="I704" i="1"/>
  <c r="C705" i="1"/>
  <c r="H705" i="1"/>
  <c r="I705" i="1"/>
  <c r="E710" i="1"/>
  <c r="G710" i="1"/>
  <c r="C711" i="1"/>
  <c r="D10" i="4" s="1"/>
  <c r="E711" i="1"/>
  <c r="J10" i="4" s="1"/>
  <c r="G711" i="1"/>
  <c r="P10" i="4" s="1"/>
  <c r="H711" i="1"/>
  <c r="S10" i="4" s="1"/>
  <c r="I711" i="1"/>
  <c r="V10" i="4" s="1"/>
  <c r="C719" i="1"/>
  <c r="C725" i="1" s="1"/>
  <c r="D719" i="1"/>
  <c r="E719" i="1"/>
  <c r="E725" i="1" s="1"/>
  <c r="E730" i="1" s="1"/>
  <c r="F719" i="1"/>
  <c r="G719" i="1"/>
  <c r="H719" i="1"/>
  <c r="H725" i="1" s="1"/>
  <c r="I719" i="1"/>
  <c r="I725" i="1" s="1"/>
  <c r="I730" i="1" s="1"/>
  <c r="C722" i="1"/>
  <c r="D722" i="1"/>
  <c r="D730" i="1" s="1"/>
  <c r="E722" i="1"/>
  <c r="F722" i="1"/>
  <c r="G722" i="1"/>
  <c r="G724" i="1" s="1"/>
  <c r="H722" i="1"/>
  <c r="H730" i="1" s="1"/>
  <c r="T12" i="4" s="1"/>
  <c r="I722" i="1"/>
  <c r="C723" i="1"/>
  <c r="C731" i="1" s="1"/>
  <c r="D12" i="4" s="1"/>
  <c r="D723" i="1"/>
  <c r="D731" i="1" s="1"/>
  <c r="G12" i="4" s="1"/>
  <c r="E723" i="1"/>
  <c r="F723" i="1"/>
  <c r="G723" i="1"/>
  <c r="H723" i="1"/>
  <c r="I723" i="1"/>
  <c r="I724" i="1" s="1"/>
  <c r="E724" i="1"/>
  <c r="E727" i="1" s="1"/>
  <c r="E728" i="1" s="1"/>
  <c r="F724" i="1"/>
  <c r="F727" i="1" s="1"/>
  <c r="F728" i="1" s="1"/>
  <c r="H724" i="1"/>
  <c r="D725" i="1"/>
  <c r="F725" i="1"/>
  <c r="G725" i="1"/>
  <c r="H727" i="1"/>
  <c r="H728" i="1" s="1"/>
  <c r="F730" i="1"/>
  <c r="E731" i="1"/>
  <c r="J12" i="4" s="1"/>
  <c r="F731" i="1"/>
  <c r="M12" i="4" s="1"/>
  <c r="G731" i="1"/>
  <c r="P12" i="4" s="1"/>
  <c r="H731" i="1"/>
  <c r="S12" i="4" s="1"/>
  <c r="H732" i="1"/>
  <c r="C739" i="1"/>
  <c r="C745" i="1" s="1"/>
  <c r="D739" i="1"/>
  <c r="D745" i="1" s="1"/>
  <c r="E739" i="1"/>
  <c r="F739" i="1"/>
  <c r="G739" i="1"/>
  <c r="H739" i="1"/>
  <c r="H745" i="1" s="1"/>
  <c r="H750" i="1" s="1"/>
  <c r="I739" i="1"/>
  <c r="I745" i="1" s="1"/>
  <c r="C742" i="1"/>
  <c r="D742" i="1"/>
  <c r="D744" i="1" s="1"/>
  <c r="E742" i="1"/>
  <c r="F742" i="1"/>
  <c r="G742" i="1"/>
  <c r="G744" i="1" s="1"/>
  <c r="G747" i="1" s="1"/>
  <c r="G748" i="1" s="1"/>
  <c r="H742" i="1"/>
  <c r="I742" i="1"/>
  <c r="C743" i="1"/>
  <c r="C744" i="1" s="1"/>
  <c r="D743" i="1"/>
  <c r="D751" i="1" s="1"/>
  <c r="G100" i="4" s="1"/>
  <c r="E743" i="1"/>
  <c r="F743" i="1"/>
  <c r="G743" i="1"/>
  <c r="H743" i="1"/>
  <c r="H751" i="1" s="1"/>
  <c r="S100" i="4" s="1"/>
  <c r="I743" i="1"/>
  <c r="F744" i="1"/>
  <c r="F747" i="1" s="1"/>
  <c r="F748" i="1" s="1"/>
  <c r="E745" i="1"/>
  <c r="E750" i="1" s="1"/>
  <c r="F745" i="1"/>
  <c r="F750" i="1" s="1"/>
  <c r="N100" i="4" s="1"/>
  <c r="G745" i="1"/>
  <c r="D750" i="1"/>
  <c r="F751" i="1"/>
  <c r="M100" i="4" s="1"/>
  <c r="G751" i="1"/>
  <c r="P100" i="4" s="1"/>
  <c r="I751" i="1"/>
  <c r="V100" i="4" s="1"/>
  <c r="F752" i="1"/>
  <c r="C760" i="1"/>
  <c r="C766" i="1" s="1"/>
  <c r="D760" i="1"/>
  <c r="E760" i="1"/>
  <c r="F760" i="1"/>
  <c r="G760" i="1"/>
  <c r="H760" i="1"/>
  <c r="H766" i="1" s="1"/>
  <c r="I760" i="1"/>
  <c r="I766" i="1" s="1"/>
  <c r="C763" i="1"/>
  <c r="D763" i="1"/>
  <c r="E763" i="1"/>
  <c r="F763" i="1"/>
  <c r="F765" i="1" s="1"/>
  <c r="G763" i="1"/>
  <c r="H763" i="1"/>
  <c r="I763" i="1"/>
  <c r="C764" i="1"/>
  <c r="D764" i="1"/>
  <c r="D765" i="1" s="1"/>
  <c r="D768" i="1" s="1"/>
  <c r="D769" i="1" s="1"/>
  <c r="E764" i="1"/>
  <c r="E772" i="1" s="1"/>
  <c r="J24" i="4" s="1"/>
  <c r="F764" i="1"/>
  <c r="G764" i="1"/>
  <c r="G772" i="1" s="1"/>
  <c r="P24" i="4" s="1"/>
  <c r="H764" i="1"/>
  <c r="I764" i="1"/>
  <c r="I772" i="1" s="1"/>
  <c r="V24" i="4" s="1"/>
  <c r="C765" i="1"/>
  <c r="C768" i="1" s="1"/>
  <c r="C769" i="1" s="1"/>
  <c r="E765" i="1"/>
  <c r="E768" i="1" s="1"/>
  <c r="E769" i="1" s="1"/>
  <c r="D766" i="1"/>
  <c r="E766" i="1"/>
  <c r="F766" i="1"/>
  <c r="G766" i="1"/>
  <c r="G771" i="1" s="1"/>
  <c r="F768" i="1"/>
  <c r="F769" i="1" s="1"/>
  <c r="C771" i="1"/>
  <c r="I771" i="1"/>
  <c r="C772" i="1"/>
  <c r="D24" i="4" s="1"/>
  <c r="F772" i="1"/>
  <c r="M24" i="4" s="1"/>
  <c r="H772" i="1"/>
  <c r="S24" i="4" s="1"/>
  <c r="C781" i="1"/>
  <c r="C787" i="1" s="1"/>
  <c r="C792" i="1" s="1"/>
  <c r="D781" i="1"/>
  <c r="E781" i="1"/>
  <c r="F781" i="1"/>
  <c r="F787" i="1" s="1"/>
  <c r="F792" i="1" s="1"/>
  <c r="N65" i="4" s="1"/>
  <c r="G781" i="1"/>
  <c r="H781" i="1"/>
  <c r="H787" i="1" s="1"/>
  <c r="H792" i="1" s="1"/>
  <c r="I781" i="1"/>
  <c r="I787" i="1" s="1"/>
  <c r="C784" i="1"/>
  <c r="D784" i="1"/>
  <c r="E784" i="1"/>
  <c r="F784" i="1"/>
  <c r="G784" i="1"/>
  <c r="H784" i="1"/>
  <c r="I784" i="1"/>
  <c r="C785" i="1"/>
  <c r="D785" i="1"/>
  <c r="E785" i="1"/>
  <c r="E793" i="1" s="1"/>
  <c r="J65" i="4" s="1"/>
  <c r="F785" i="1"/>
  <c r="F793" i="1" s="1"/>
  <c r="M65" i="4" s="1"/>
  <c r="G785" i="1"/>
  <c r="H785" i="1"/>
  <c r="I785" i="1"/>
  <c r="C786" i="1"/>
  <c r="C789" i="1" s="1"/>
  <c r="C790" i="1" s="1"/>
  <c r="D786" i="1"/>
  <c r="D787" i="1"/>
  <c r="D792" i="1" s="1"/>
  <c r="E787" i="1"/>
  <c r="G787" i="1"/>
  <c r="C793" i="1"/>
  <c r="D65" i="4" s="1"/>
  <c r="D793" i="1"/>
  <c r="G65" i="4" s="1"/>
  <c r="G793" i="1"/>
  <c r="P65" i="4" s="1"/>
  <c r="I793" i="1"/>
  <c r="V65" i="4" s="1"/>
  <c r="F794" i="1"/>
  <c r="C802" i="1"/>
  <c r="D802" i="1"/>
  <c r="D808" i="1" s="1"/>
  <c r="E802" i="1"/>
  <c r="F802" i="1"/>
  <c r="G802" i="1"/>
  <c r="G808" i="1" s="1"/>
  <c r="H802" i="1"/>
  <c r="I802" i="1"/>
  <c r="C805" i="1"/>
  <c r="C807" i="1" s="1"/>
  <c r="C810" i="1" s="1"/>
  <c r="C811" i="1" s="1"/>
  <c r="D805" i="1"/>
  <c r="D813" i="1" s="1"/>
  <c r="E805" i="1"/>
  <c r="F805" i="1"/>
  <c r="G805" i="1"/>
  <c r="H805" i="1"/>
  <c r="H807" i="1" s="1"/>
  <c r="I805" i="1"/>
  <c r="C806" i="1"/>
  <c r="D806" i="1"/>
  <c r="E806" i="1"/>
  <c r="E807" i="1" s="1"/>
  <c r="E810" i="1" s="1"/>
  <c r="E811" i="1" s="1"/>
  <c r="F806" i="1"/>
  <c r="G806" i="1"/>
  <c r="G814" i="1" s="1"/>
  <c r="P19" i="4" s="1"/>
  <c r="H806" i="1"/>
  <c r="H814" i="1" s="1"/>
  <c r="S19" i="4" s="1"/>
  <c r="I806" i="1"/>
  <c r="I814" i="1" s="1"/>
  <c r="V19" i="4" s="1"/>
  <c r="D807" i="1"/>
  <c r="D810" i="1" s="1"/>
  <c r="D811" i="1" s="1"/>
  <c r="C808" i="1"/>
  <c r="E808" i="1"/>
  <c r="E813" i="1" s="1"/>
  <c r="F808" i="1"/>
  <c r="H808" i="1"/>
  <c r="I808" i="1"/>
  <c r="H810" i="1"/>
  <c r="H811" i="1" s="1"/>
  <c r="H813" i="1"/>
  <c r="I813" i="1"/>
  <c r="C814" i="1"/>
  <c r="D19" i="4" s="1"/>
  <c r="D814" i="1"/>
  <c r="G19" i="4" s="1"/>
  <c r="F814" i="1"/>
  <c r="M19" i="4" s="1"/>
  <c r="C823" i="1"/>
  <c r="D823" i="1"/>
  <c r="E823" i="1"/>
  <c r="E829" i="1" s="1"/>
  <c r="E834" i="1" s="1"/>
  <c r="K39" i="4" s="1"/>
  <c r="F823" i="1"/>
  <c r="F829" i="1" s="1"/>
  <c r="G823" i="1"/>
  <c r="G829" i="1" s="1"/>
  <c r="H823" i="1"/>
  <c r="H829" i="1" s="1"/>
  <c r="I823" i="1"/>
  <c r="C826" i="1"/>
  <c r="D826" i="1"/>
  <c r="D828" i="1" s="1"/>
  <c r="E826" i="1"/>
  <c r="F826" i="1"/>
  <c r="G826" i="1"/>
  <c r="H826" i="1"/>
  <c r="I826" i="1"/>
  <c r="I828" i="1" s="1"/>
  <c r="I831" i="1" s="1"/>
  <c r="I832" i="1" s="1"/>
  <c r="C827" i="1"/>
  <c r="D827" i="1"/>
  <c r="E827" i="1"/>
  <c r="E828" i="1" s="1"/>
  <c r="F827" i="1"/>
  <c r="G827" i="1"/>
  <c r="G835" i="1" s="1"/>
  <c r="P39" i="4" s="1"/>
  <c r="H827" i="1"/>
  <c r="H835" i="1" s="1"/>
  <c r="S39" i="4" s="1"/>
  <c r="I827" i="1"/>
  <c r="I835" i="1" s="1"/>
  <c r="V39" i="4" s="1"/>
  <c r="C828" i="1"/>
  <c r="C831" i="1" s="1"/>
  <c r="C832" i="1" s="1"/>
  <c r="C829" i="1"/>
  <c r="D829" i="1"/>
  <c r="I829" i="1"/>
  <c r="D831" i="1"/>
  <c r="D832" i="1" s="1"/>
  <c r="E831" i="1"/>
  <c r="E832" i="1" s="1"/>
  <c r="H834" i="1"/>
  <c r="I834" i="1"/>
  <c r="C835" i="1"/>
  <c r="D39" i="4" s="1"/>
  <c r="D835" i="1"/>
  <c r="G39" i="4" s="1"/>
  <c r="F835" i="1"/>
  <c r="M39" i="4" s="1"/>
  <c r="C843" i="1"/>
  <c r="D843" i="1"/>
  <c r="E843" i="1"/>
  <c r="F843" i="1"/>
  <c r="F849" i="1" s="1"/>
  <c r="G843" i="1"/>
  <c r="G849" i="1" s="1"/>
  <c r="G854" i="1" s="1"/>
  <c r="H843" i="1"/>
  <c r="H849" i="1" s="1"/>
  <c r="I843" i="1"/>
  <c r="C846" i="1"/>
  <c r="D846" i="1"/>
  <c r="D848" i="1" s="1"/>
  <c r="E846" i="1"/>
  <c r="F846" i="1"/>
  <c r="G846" i="1"/>
  <c r="G848" i="1" s="1"/>
  <c r="H846" i="1"/>
  <c r="I846" i="1"/>
  <c r="C847" i="1"/>
  <c r="D847" i="1"/>
  <c r="E847" i="1"/>
  <c r="E855" i="1" s="1"/>
  <c r="J45" i="4" s="1"/>
  <c r="F847" i="1"/>
  <c r="G847" i="1"/>
  <c r="G855" i="1" s="1"/>
  <c r="P45" i="4" s="1"/>
  <c r="H847" i="1"/>
  <c r="H855" i="1" s="1"/>
  <c r="S45" i="4" s="1"/>
  <c r="I847" i="1"/>
  <c r="I855" i="1" s="1"/>
  <c r="V45" i="4" s="1"/>
  <c r="C848" i="1"/>
  <c r="I848" i="1"/>
  <c r="I851" i="1" s="1"/>
  <c r="C849" i="1"/>
  <c r="C854" i="1" s="1"/>
  <c r="E45" i="4" s="1"/>
  <c r="D849" i="1"/>
  <c r="E849" i="1"/>
  <c r="E854" i="1" s="1"/>
  <c r="I849" i="1"/>
  <c r="I852" i="1"/>
  <c r="I854" i="1"/>
  <c r="C855" i="1"/>
  <c r="D45" i="4" s="1"/>
  <c r="D855" i="1"/>
  <c r="G45" i="4" s="1"/>
  <c r="F855" i="1"/>
  <c r="M45" i="4" s="1"/>
  <c r="C864" i="1"/>
  <c r="D864" i="1"/>
  <c r="E864" i="1"/>
  <c r="E870" i="1" s="1"/>
  <c r="F864" i="1"/>
  <c r="F870" i="1" s="1"/>
  <c r="G864" i="1"/>
  <c r="G870" i="1" s="1"/>
  <c r="H864" i="1"/>
  <c r="I864" i="1"/>
  <c r="I870" i="1" s="1"/>
  <c r="C867" i="1"/>
  <c r="C869" i="1" s="1"/>
  <c r="D867" i="1"/>
  <c r="E867" i="1"/>
  <c r="F867" i="1"/>
  <c r="F869" i="1" s="1"/>
  <c r="G867" i="1"/>
  <c r="G875" i="1" s="1"/>
  <c r="H867" i="1"/>
  <c r="I867" i="1"/>
  <c r="C868" i="1"/>
  <c r="D868" i="1"/>
  <c r="D876" i="1" s="1"/>
  <c r="G54" i="4" s="1"/>
  <c r="E868" i="1"/>
  <c r="F868" i="1"/>
  <c r="F876" i="1" s="1"/>
  <c r="M54" i="4" s="1"/>
  <c r="G868" i="1"/>
  <c r="G876" i="1" s="1"/>
  <c r="P54" i="4" s="1"/>
  <c r="H868" i="1"/>
  <c r="H876" i="1" s="1"/>
  <c r="S54" i="4" s="1"/>
  <c r="I868" i="1"/>
  <c r="H869" i="1"/>
  <c r="H872" i="1" s="1"/>
  <c r="H873" i="1" s="1"/>
  <c r="C870" i="1"/>
  <c r="D870" i="1"/>
  <c r="D875" i="1" s="1"/>
  <c r="H54" i="4" s="1"/>
  <c r="H870" i="1"/>
  <c r="C872" i="1"/>
  <c r="C873" i="1" s="1"/>
  <c r="F872" i="1"/>
  <c r="F873" i="1" s="1"/>
  <c r="F875" i="1"/>
  <c r="H875" i="1"/>
  <c r="C876" i="1"/>
  <c r="D54" i="4" s="1"/>
  <c r="E876" i="1"/>
  <c r="J54" i="4" s="1"/>
  <c r="C886" i="1"/>
  <c r="D886" i="1"/>
  <c r="E886" i="1"/>
  <c r="E892" i="1" s="1"/>
  <c r="E897" i="1" s="1"/>
  <c r="F886" i="1"/>
  <c r="F892" i="1" s="1"/>
  <c r="G886" i="1"/>
  <c r="G892" i="1" s="1"/>
  <c r="H886" i="1"/>
  <c r="H892" i="1" s="1"/>
  <c r="I886" i="1"/>
  <c r="C889" i="1"/>
  <c r="D889" i="1"/>
  <c r="E889" i="1"/>
  <c r="F889" i="1"/>
  <c r="G889" i="1"/>
  <c r="H889" i="1"/>
  <c r="I889" i="1"/>
  <c r="C890" i="1"/>
  <c r="C898" i="1" s="1"/>
  <c r="D59" i="4" s="1"/>
  <c r="D890" i="1"/>
  <c r="E890" i="1"/>
  <c r="F890" i="1"/>
  <c r="G890" i="1"/>
  <c r="G898" i="1" s="1"/>
  <c r="P59" i="4" s="1"/>
  <c r="H890" i="1"/>
  <c r="H891" i="1" s="1"/>
  <c r="H894" i="1" s="1"/>
  <c r="H895" i="1" s="1"/>
  <c r="I890" i="1"/>
  <c r="I891" i="1"/>
  <c r="I894" i="1" s="1"/>
  <c r="I895" i="1" s="1"/>
  <c r="C892" i="1"/>
  <c r="C897" i="1" s="1"/>
  <c r="D892" i="1"/>
  <c r="I892" i="1"/>
  <c r="G897" i="1"/>
  <c r="H897" i="1"/>
  <c r="D898" i="1"/>
  <c r="G59" i="4" s="1"/>
  <c r="F898" i="1"/>
  <c r="M59" i="4" s="1"/>
  <c r="H898" i="1"/>
  <c r="S59" i="4" s="1"/>
  <c r="I898" i="1"/>
  <c r="V59" i="4" s="1"/>
  <c r="C9" i="2"/>
  <c r="C15" i="2" s="1"/>
  <c r="D9" i="2"/>
  <c r="E9" i="2"/>
  <c r="F9" i="2"/>
  <c r="F15" i="2" s="1"/>
  <c r="G9" i="2"/>
  <c r="G124" i="2" s="1"/>
  <c r="H9" i="2"/>
  <c r="I9" i="2"/>
  <c r="I15" i="2" s="1"/>
  <c r="C12" i="2"/>
  <c r="C14" i="2" s="1"/>
  <c r="D12" i="2"/>
  <c r="D14" i="2" s="1"/>
  <c r="E12" i="2"/>
  <c r="F12" i="2"/>
  <c r="G12" i="2"/>
  <c r="H12" i="2"/>
  <c r="H14" i="2" s="1"/>
  <c r="I12" i="2"/>
  <c r="C13" i="2"/>
  <c r="D13" i="2"/>
  <c r="E13" i="2"/>
  <c r="F13" i="2"/>
  <c r="G13" i="2"/>
  <c r="H13" i="2"/>
  <c r="I13" i="2"/>
  <c r="E14" i="2"/>
  <c r="E17" i="2" s="1"/>
  <c r="E18" i="2" s="1"/>
  <c r="F14" i="2"/>
  <c r="G14" i="2"/>
  <c r="I14" i="2"/>
  <c r="I17" i="2" s="1"/>
  <c r="I18" i="2" s="1"/>
  <c r="E15" i="2"/>
  <c r="G15" i="2"/>
  <c r="H15" i="2"/>
  <c r="C17" i="2"/>
  <c r="C18" i="2" s="1"/>
  <c r="C26" i="2"/>
  <c r="D26" i="2"/>
  <c r="D32" i="2" s="1"/>
  <c r="D34" i="2" s="1"/>
  <c r="D35" i="2" s="1"/>
  <c r="E26" i="2"/>
  <c r="F26" i="2"/>
  <c r="G26" i="2"/>
  <c r="G32" i="2" s="1"/>
  <c r="H26" i="2"/>
  <c r="H32" i="2" s="1"/>
  <c r="I26" i="2"/>
  <c r="C29" i="2"/>
  <c r="D29" i="2"/>
  <c r="E29" i="2"/>
  <c r="E31" i="2" s="1"/>
  <c r="F29" i="2"/>
  <c r="F31" i="2" s="1"/>
  <c r="G29" i="2"/>
  <c r="G31" i="2" s="1"/>
  <c r="G34" i="2" s="1"/>
  <c r="G35" i="2" s="1"/>
  <c r="H29" i="2"/>
  <c r="I29" i="2"/>
  <c r="C30" i="2"/>
  <c r="C31" i="2" s="1"/>
  <c r="D30" i="2"/>
  <c r="E30" i="2"/>
  <c r="F30" i="2"/>
  <c r="G30" i="2"/>
  <c r="H30" i="2"/>
  <c r="H31" i="2" s="1"/>
  <c r="H34" i="2" s="1"/>
  <c r="H35" i="2" s="1"/>
  <c r="I30" i="2"/>
  <c r="D31" i="2"/>
  <c r="I31" i="2"/>
  <c r="C32" i="2"/>
  <c r="C34" i="2" s="1"/>
  <c r="C35" i="2" s="1"/>
  <c r="I32" i="2"/>
  <c r="C43" i="2"/>
  <c r="D43" i="2"/>
  <c r="E43" i="2"/>
  <c r="E49" i="2" s="1"/>
  <c r="F43" i="2"/>
  <c r="G43" i="2"/>
  <c r="G49" i="2" s="1"/>
  <c r="H43" i="2"/>
  <c r="H49" i="2" s="1"/>
  <c r="I43" i="2"/>
  <c r="C46" i="2"/>
  <c r="D46" i="2"/>
  <c r="D48" i="2" s="1"/>
  <c r="E46" i="2"/>
  <c r="F46" i="2"/>
  <c r="F48" i="2" s="1"/>
  <c r="G46" i="2"/>
  <c r="G48" i="2" s="1"/>
  <c r="G51" i="2" s="1"/>
  <c r="G52" i="2" s="1"/>
  <c r="H46" i="2"/>
  <c r="H48" i="2" s="1"/>
  <c r="I46" i="2"/>
  <c r="C47" i="2"/>
  <c r="D47" i="2"/>
  <c r="E47" i="2"/>
  <c r="E48" i="2" s="1"/>
  <c r="E51" i="2" s="1"/>
  <c r="E52" i="2" s="1"/>
  <c r="F47" i="2"/>
  <c r="G47" i="2"/>
  <c r="H47" i="2"/>
  <c r="I47" i="2"/>
  <c r="C48" i="2"/>
  <c r="I48" i="2"/>
  <c r="I51" i="2" s="1"/>
  <c r="C49" i="2"/>
  <c r="D49" i="2"/>
  <c r="D51" i="2" s="1"/>
  <c r="D52" i="2" s="1"/>
  <c r="F49" i="2"/>
  <c r="I49" i="2"/>
  <c r="H51" i="2"/>
  <c r="H52" i="2" s="1"/>
  <c r="I52" i="2"/>
  <c r="C60" i="2"/>
  <c r="C66" i="2" s="1"/>
  <c r="D60" i="2"/>
  <c r="E60" i="2"/>
  <c r="F60" i="2"/>
  <c r="G60" i="2"/>
  <c r="H60" i="2"/>
  <c r="H66" i="2" s="1"/>
  <c r="H68" i="2" s="1"/>
  <c r="H69" i="2" s="1"/>
  <c r="I60" i="2"/>
  <c r="I66" i="2" s="1"/>
  <c r="C63" i="2"/>
  <c r="D63" i="2"/>
  <c r="E63" i="2"/>
  <c r="F63" i="2"/>
  <c r="F65" i="2" s="1"/>
  <c r="G63" i="2"/>
  <c r="H63" i="2"/>
  <c r="I63" i="2"/>
  <c r="I65" i="2" s="1"/>
  <c r="I68" i="2" s="1"/>
  <c r="I69" i="2" s="1"/>
  <c r="C64" i="2"/>
  <c r="D64" i="2"/>
  <c r="E64" i="2"/>
  <c r="F64" i="2"/>
  <c r="G64" i="2"/>
  <c r="G65" i="2" s="1"/>
  <c r="H64" i="2"/>
  <c r="I64" i="2"/>
  <c r="C65" i="2"/>
  <c r="C68" i="2" s="1"/>
  <c r="C69" i="2" s="1"/>
  <c r="J69" i="2" s="1"/>
  <c r="D65" i="2"/>
  <c r="D68" i="2" s="1"/>
  <c r="D69" i="2" s="1"/>
  <c r="E65" i="2"/>
  <c r="E68" i="2" s="1"/>
  <c r="E69" i="2" s="1"/>
  <c r="H65" i="2"/>
  <c r="D66" i="2"/>
  <c r="E66" i="2"/>
  <c r="F66" i="2"/>
  <c r="G66" i="2"/>
  <c r="G68" i="2" s="1"/>
  <c r="G69" i="2" s="1"/>
  <c r="F68" i="2"/>
  <c r="F69" i="2" s="1"/>
  <c r="C77" i="2"/>
  <c r="D77" i="2"/>
  <c r="D83" i="2" s="1"/>
  <c r="E77" i="2"/>
  <c r="F77" i="2"/>
  <c r="G77" i="2"/>
  <c r="H77" i="2"/>
  <c r="H83" i="2" s="1"/>
  <c r="I77" i="2"/>
  <c r="I83" i="2" s="1"/>
  <c r="C80" i="2"/>
  <c r="C82" i="2" s="1"/>
  <c r="D80" i="2"/>
  <c r="D82" i="2" s="1"/>
  <c r="D85" i="2" s="1"/>
  <c r="D86" i="2" s="1"/>
  <c r="E80" i="2"/>
  <c r="F80" i="2"/>
  <c r="G80" i="2"/>
  <c r="G82" i="2" s="1"/>
  <c r="G85" i="2" s="1"/>
  <c r="H80" i="2"/>
  <c r="I80" i="2"/>
  <c r="I82" i="2" s="1"/>
  <c r="C81" i="2"/>
  <c r="D81" i="2"/>
  <c r="E81" i="2"/>
  <c r="E82" i="2" s="1"/>
  <c r="E85" i="2" s="1"/>
  <c r="E86" i="2" s="1"/>
  <c r="F81" i="2"/>
  <c r="G81" i="2"/>
  <c r="H81" i="2"/>
  <c r="I81" i="2"/>
  <c r="F82" i="2"/>
  <c r="E83" i="2"/>
  <c r="F83" i="2"/>
  <c r="G83" i="2"/>
  <c r="I85" i="2"/>
  <c r="I86" i="2" s="1"/>
  <c r="G86" i="2"/>
  <c r="C94" i="2"/>
  <c r="E94" i="2"/>
  <c r="E100" i="2" s="1"/>
  <c r="F94" i="2"/>
  <c r="I94" i="2"/>
  <c r="C97" i="2"/>
  <c r="C99" i="2" s="1"/>
  <c r="D97" i="2"/>
  <c r="E97" i="2"/>
  <c r="F97" i="2"/>
  <c r="F99" i="2" s="1"/>
  <c r="G97" i="2"/>
  <c r="H97" i="2"/>
  <c r="I97" i="2"/>
  <c r="C98" i="2"/>
  <c r="D98" i="2"/>
  <c r="D99" i="2" s="1"/>
  <c r="D102" i="2" s="1"/>
  <c r="D103" i="2" s="1"/>
  <c r="E98" i="2"/>
  <c r="F98" i="2"/>
  <c r="G98" i="2"/>
  <c r="H98" i="2"/>
  <c r="I98" i="2"/>
  <c r="E99" i="2"/>
  <c r="E102" i="2" s="1"/>
  <c r="E103" i="2" s="1"/>
  <c r="G99" i="2"/>
  <c r="G102" i="2" s="1"/>
  <c r="G103" i="2" s="1"/>
  <c r="H99" i="2"/>
  <c r="I99" i="2"/>
  <c r="C100" i="2"/>
  <c r="D100" i="2"/>
  <c r="F100" i="2"/>
  <c r="G100" i="2"/>
  <c r="H100" i="2"/>
  <c r="I100" i="2"/>
  <c r="C102" i="2"/>
  <c r="C103" i="2" s="1"/>
  <c r="C111" i="2"/>
  <c r="C117" i="2" s="1"/>
  <c r="D111" i="2"/>
  <c r="E111" i="2"/>
  <c r="E117" i="2" s="1"/>
  <c r="F111" i="2"/>
  <c r="G111" i="2"/>
  <c r="H111" i="2"/>
  <c r="I111" i="2"/>
  <c r="C114" i="2"/>
  <c r="D114" i="2"/>
  <c r="D116" i="2" s="1"/>
  <c r="D119" i="2" s="1"/>
  <c r="D120" i="2" s="1"/>
  <c r="E114" i="2"/>
  <c r="F114" i="2"/>
  <c r="G114" i="2"/>
  <c r="H114" i="2"/>
  <c r="I114" i="2"/>
  <c r="I116" i="2" s="1"/>
  <c r="C115" i="2"/>
  <c r="D115" i="2"/>
  <c r="E115" i="2"/>
  <c r="F115" i="2"/>
  <c r="G115" i="2"/>
  <c r="H115" i="2"/>
  <c r="I115" i="2"/>
  <c r="C116" i="2"/>
  <c r="E116" i="2"/>
  <c r="E119" i="2" s="1"/>
  <c r="F116" i="2"/>
  <c r="F119" i="2" s="1"/>
  <c r="G116" i="2"/>
  <c r="G119" i="2" s="1"/>
  <c r="G120" i="2" s="1"/>
  <c r="H116" i="2"/>
  <c r="D117" i="2"/>
  <c r="F117" i="2"/>
  <c r="G117" i="2"/>
  <c r="H117" i="2"/>
  <c r="H119" i="2" s="1"/>
  <c r="H120" i="2" s="1"/>
  <c r="I117" i="2"/>
  <c r="E120" i="2"/>
  <c r="F120" i="2"/>
  <c r="I124" i="2"/>
  <c r="C134" i="2"/>
  <c r="D134" i="2"/>
  <c r="D163" i="2" s="1"/>
  <c r="E134" i="2"/>
  <c r="F134" i="2"/>
  <c r="I134" i="2"/>
  <c r="C137" i="2"/>
  <c r="D137" i="2"/>
  <c r="D139" i="2" s="1"/>
  <c r="D142" i="2" s="1"/>
  <c r="D143" i="2" s="1"/>
  <c r="E137" i="2"/>
  <c r="E139" i="2" s="1"/>
  <c r="E142" i="2" s="1"/>
  <c r="E143" i="2" s="1"/>
  <c r="F137" i="2"/>
  <c r="G137" i="2"/>
  <c r="H137" i="2"/>
  <c r="I137" i="2"/>
  <c r="C138" i="2"/>
  <c r="D138" i="2"/>
  <c r="E138" i="2"/>
  <c r="F138" i="2"/>
  <c r="F139" i="2" s="1"/>
  <c r="G138" i="2"/>
  <c r="H138" i="2"/>
  <c r="I138" i="2"/>
  <c r="C139" i="2"/>
  <c r="G139" i="2"/>
  <c r="G142" i="2" s="1"/>
  <c r="H139" i="2"/>
  <c r="H142" i="2" s="1"/>
  <c r="H143" i="2" s="1"/>
  <c r="I139" i="2"/>
  <c r="I142" i="2" s="1"/>
  <c r="D140" i="2"/>
  <c r="E140" i="2"/>
  <c r="G140" i="2"/>
  <c r="H140" i="2"/>
  <c r="I140" i="2"/>
  <c r="G143" i="2"/>
  <c r="I143" i="2"/>
  <c r="C151" i="2"/>
  <c r="D151" i="2"/>
  <c r="D157" i="2" s="1"/>
  <c r="E151" i="2"/>
  <c r="F151" i="2"/>
  <c r="G151" i="2"/>
  <c r="H151" i="2"/>
  <c r="I151" i="2"/>
  <c r="I157" i="2" s="1"/>
  <c r="C154" i="2"/>
  <c r="D154" i="2"/>
  <c r="E154" i="2"/>
  <c r="F154" i="2"/>
  <c r="G154" i="2"/>
  <c r="H154" i="2"/>
  <c r="H156" i="2" s="1"/>
  <c r="I154" i="2"/>
  <c r="C155" i="2"/>
  <c r="D155" i="2"/>
  <c r="D156" i="2" s="1"/>
  <c r="D159" i="2" s="1"/>
  <c r="D160" i="2" s="1"/>
  <c r="E155" i="2"/>
  <c r="F155" i="2"/>
  <c r="G155" i="2"/>
  <c r="H155" i="2"/>
  <c r="I155" i="2"/>
  <c r="I156" i="2" s="1"/>
  <c r="E156" i="2"/>
  <c r="E159" i="2" s="1"/>
  <c r="E160" i="2" s="1"/>
  <c r="F156" i="2"/>
  <c r="F159" i="2" s="1"/>
  <c r="F160" i="2" s="1"/>
  <c r="G156" i="2"/>
  <c r="C157" i="2"/>
  <c r="E157" i="2"/>
  <c r="F157" i="2"/>
  <c r="G157" i="2"/>
  <c r="G159" i="2" s="1"/>
  <c r="H157" i="2"/>
  <c r="I159" i="2"/>
  <c r="I160" i="2" s="1"/>
  <c r="G160" i="2"/>
  <c r="E163" i="2"/>
  <c r="G163" i="2"/>
  <c r="H163" i="2"/>
  <c r="C171" i="2"/>
  <c r="C177" i="2" s="1"/>
  <c r="D171" i="2"/>
  <c r="E171" i="2"/>
  <c r="F171" i="2"/>
  <c r="G171" i="2"/>
  <c r="H171" i="2"/>
  <c r="H177" i="2" s="1"/>
  <c r="I171" i="2"/>
  <c r="I177" i="2" s="1"/>
  <c r="C174" i="2"/>
  <c r="C176" i="2" s="1"/>
  <c r="C179" i="2" s="1"/>
  <c r="C180" i="2" s="1"/>
  <c r="D174" i="2"/>
  <c r="E174" i="2"/>
  <c r="F174" i="2"/>
  <c r="F176" i="2" s="1"/>
  <c r="G174" i="2"/>
  <c r="H174" i="2"/>
  <c r="I174" i="2"/>
  <c r="I176" i="2" s="1"/>
  <c r="C175" i="2"/>
  <c r="D175" i="2"/>
  <c r="D176" i="2" s="1"/>
  <c r="D179" i="2" s="1"/>
  <c r="E175" i="2"/>
  <c r="F175" i="2"/>
  <c r="G175" i="2"/>
  <c r="H175" i="2"/>
  <c r="I175" i="2"/>
  <c r="E176" i="2"/>
  <c r="E179" i="2" s="1"/>
  <c r="E180" i="2" s="1"/>
  <c r="H176" i="2"/>
  <c r="D177" i="2"/>
  <c r="E177" i="2"/>
  <c r="F177" i="2"/>
  <c r="G177" i="2"/>
  <c r="H179" i="2"/>
  <c r="H180" i="2" s="1"/>
  <c r="D180" i="2"/>
  <c r="C188" i="2"/>
  <c r="D188" i="2"/>
  <c r="E188" i="2"/>
  <c r="F188" i="2"/>
  <c r="G188" i="2"/>
  <c r="G194" i="2" s="1"/>
  <c r="H188" i="2"/>
  <c r="I188" i="2"/>
  <c r="I194" i="2" s="1"/>
  <c r="C191" i="2"/>
  <c r="D191" i="2"/>
  <c r="E191" i="2"/>
  <c r="E193" i="2" s="1"/>
  <c r="E196" i="2" s="1"/>
  <c r="E197" i="2" s="1"/>
  <c r="F191" i="2"/>
  <c r="G191" i="2"/>
  <c r="G193" i="2" s="1"/>
  <c r="H191" i="2"/>
  <c r="H193" i="2" s="1"/>
  <c r="I191" i="2"/>
  <c r="C192" i="2"/>
  <c r="C193" i="2" s="1"/>
  <c r="C196" i="2" s="1"/>
  <c r="C197" i="2" s="1"/>
  <c r="D192" i="2"/>
  <c r="E192" i="2"/>
  <c r="F192" i="2"/>
  <c r="F193" i="2" s="1"/>
  <c r="G192" i="2"/>
  <c r="H192" i="2"/>
  <c r="I192" i="2"/>
  <c r="D193" i="2"/>
  <c r="I193" i="2"/>
  <c r="C194" i="2"/>
  <c r="E194" i="2"/>
  <c r="H194" i="2"/>
  <c r="H196" i="2"/>
  <c r="H197" i="2" s="1"/>
  <c r="I196" i="2"/>
  <c r="I197" i="2" s="1"/>
  <c r="C205" i="2"/>
  <c r="D205" i="2"/>
  <c r="D211" i="2" s="1"/>
  <c r="D213" i="2" s="1"/>
  <c r="D214" i="2" s="1"/>
  <c r="E205" i="2"/>
  <c r="F205" i="2"/>
  <c r="G205" i="2"/>
  <c r="G211" i="2" s="1"/>
  <c r="H205" i="2"/>
  <c r="I205" i="2"/>
  <c r="C208" i="2"/>
  <c r="D208" i="2"/>
  <c r="E208" i="2"/>
  <c r="F208" i="2"/>
  <c r="G208" i="2"/>
  <c r="H208" i="2"/>
  <c r="I208" i="2"/>
  <c r="C209" i="2"/>
  <c r="D209" i="2"/>
  <c r="D210" i="2" s="1"/>
  <c r="E209" i="2"/>
  <c r="F209" i="2"/>
  <c r="G209" i="2"/>
  <c r="H209" i="2"/>
  <c r="I209" i="2"/>
  <c r="E210" i="2"/>
  <c r="E213" i="2" s="1"/>
  <c r="E214" i="2" s="1"/>
  <c r="G210" i="2"/>
  <c r="G213" i="2" s="1"/>
  <c r="G214" i="2" s="1"/>
  <c r="H210" i="2"/>
  <c r="H213" i="2" s="1"/>
  <c r="I210" i="2"/>
  <c r="C211" i="2"/>
  <c r="E211" i="2"/>
  <c r="F211" i="2"/>
  <c r="H211" i="2"/>
  <c r="I211" i="2"/>
  <c r="H214" i="2"/>
  <c r="C221" i="2"/>
  <c r="D221" i="2"/>
  <c r="D227" i="2" s="1"/>
  <c r="E221" i="2"/>
  <c r="E227" i="2" s="1"/>
  <c r="F221" i="2"/>
  <c r="G221" i="2"/>
  <c r="G227" i="2" s="1"/>
  <c r="H221" i="2"/>
  <c r="I221" i="2"/>
  <c r="C224" i="2"/>
  <c r="C226" i="2" s="1"/>
  <c r="C229" i="2" s="1"/>
  <c r="C230" i="2" s="1"/>
  <c r="D224" i="2"/>
  <c r="E224" i="2"/>
  <c r="F224" i="2"/>
  <c r="G224" i="2"/>
  <c r="H224" i="2"/>
  <c r="H226" i="2" s="1"/>
  <c r="H229" i="2" s="1"/>
  <c r="H230" i="2" s="1"/>
  <c r="I224" i="2"/>
  <c r="C225" i="2"/>
  <c r="D225" i="2"/>
  <c r="E225" i="2"/>
  <c r="F225" i="2"/>
  <c r="G225" i="2"/>
  <c r="G226" i="2" s="1"/>
  <c r="H225" i="2"/>
  <c r="I225" i="2"/>
  <c r="E226" i="2"/>
  <c r="E229" i="2" s="1"/>
  <c r="F226" i="2"/>
  <c r="F229" i="2" s="1"/>
  <c r="F230" i="2" s="1"/>
  <c r="C227" i="2"/>
  <c r="F227" i="2"/>
  <c r="H227" i="2"/>
  <c r="I227" i="2"/>
  <c r="E230" i="2"/>
  <c r="C238" i="2"/>
  <c r="C244" i="2" s="1"/>
  <c r="D238" i="2"/>
  <c r="E238" i="2"/>
  <c r="E244" i="2" s="1"/>
  <c r="E246" i="2" s="1"/>
  <c r="E247" i="2" s="1"/>
  <c r="F238" i="2"/>
  <c r="F244" i="2" s="1"/>
  <c r="F246" i="2" s="1"/>
  <c r="F247" i="2" s="1"/>
  <c r="G238" i="2"/>
  <c r="H238" i="2"/>
  <c r="H244" i="2" s="1"/>
  <c r="I238" i="2"/>
  <c r="C241" i="2"/>
  <c r="C243" i="2" s="1"/>
  <c r="C246" i="2" s="1"/>
  <c r="C247" i="2" s="1"/>
  <c r="D241" i="2"/>
  <c r="E241" i="2"/>
  <c r="F241" i="2"/>
  <c r="F243" i="2" s="1"/>
  <c r="G241" i="2"/>
  <c r="G243" i="2" s="1"/>
  <c r="H241" i="2"/>
  <c r="I241" i="2"/>
  <c r="C242" i="2"/>
  <c r="D242" i="2"/>
  <c r="D243" i="2" s="1"/>
  <c r="D246" i="2" s="1"/>
  <c r="D247" i="2" s="1"/>
  <c r="E242" i="2"/>
  <c r="F242" i="2"/>
  <c r="G242" i="2"/>
  <c r="H242" i="2"/>
  <c r="I242" i="2"/>
  <c r="E243" i="2"/>
  <c r="H243" i="2"/>
  <c r="H246" i="2" s="1"/>
  <c r="H247" i="2" s="1"/>
  <c r="I243" i="2"/>
  <c r="I246" i="2" s="1"/>
  <c r="I247" i="2" s="1"/>
  <c r="D244" i="2"/>
  <c r="G244" i="2"/>
  <c r="I244" i="2"/>
  <c r="G246" i="2"/>
  <c r="G247" i="2" s="1"/>
  <c r="C255" i="2"/>
  <c r="D255" i="2"/>
  <c r="D261" i="2" s="1"/>
  <c r="E255" i="2"/>
  <c r="F255" i="2"/>
  <c r="F261" i="2" s="1"/>
  <c r="G255" i="2"/>
  <c r="G261" i="2" s="1"/>
  <c r="H255" i="2"/>
  <c r="I255" i="2"/>
  <c r="I261" i="2" s="1"/>
  <c r="C258" i="2"/>
  <c r="D258" i="2"/>
  <c r="E258" i="2"/>
  <c r="E260" i="2" s="1"/>
  <c r="F258" i="2"/>
  <c r="G258" i="2"/>
  <c r="H258" i="2"/>
  <c r="H260" i="2" s="1"/>
  <c r="H263" i="2" s="1"/>
  <c r="H264" i="2" s="1"/>
  <c r="I258" i="2"/>
  <c r="C259" i="2"/>
  <c r="C260" i="2" s="1"/>
  <c r="D259" i="2"/>
  <c r="E259" i="2"/>
  <c r="F259" i="2"/>
  <c r="F260" i="2" s="1"/>
  <c r="F263" i="2" s="1"/>
  <c r="F264" i="2" s="1"/>
  <c r="G259" i="2"/>
  <c r="H259" i="2"/>
  <c r="I259" i="2"/>
  <c r="D260" i="2"/>
  <c r="D263" i="2" s="1"/>
  <c r="D264" i="2" s="1"/>
  <c r="G260" i="2"/>
  <c r="I260" i="2"/>
  <c r="I263" i="2" s="1"/>
  <c r="E261" i="2"/>
  <c r="H261" i="2"/>
  <c r="E263" i="2"/>
  <c r="E264" i="2" s="1"/>
  <c r="I264" i="2"/>
  <c r="C272" i="2"/>
  <c r="D272" i="2"/>
  <c r="D278" i="2" s="1"/>
  <c r="E272" i="2"/>
  <c r="F272" i="2"/>
  <c r="F278" i="2" s="1"/>
  <c r="G272" i="2"/>
  <c r="G278" i="2" s="1"/>
  <c r="H272" i="2"/>
  <c r="I272" i="2"/>
  <c r="C275" i="2"/>
  <c r="D275" i="2"/>
  <c r="E275" i="2"/>
  <c r="F275" i="2"/>
  <c r="G275" i="2"/>
  <c r="G277" i="2" s="1"/>
  <c r="G280" i="2" s="1"/>
  <c r="G281" i="2" s="1"/>
  <c r="H275" i="2"/>
  <c r="I275" i="2"/>
  <c r="C276" i="2"/>
  <c r="D276" i="2"/>
  <c r="E276" i="2"/>
  <c r="F276" i="2"/>
  <c r="G276" i="2"/>
  <c r="H276" i="2"/>
  <c r="I276" i="2"/>
  <c r="I277" i="2" s="1"/>
  <c r="D277" i="2"/>
  <c r="D280" i="2" s="1"/>
  <c r="E277" i="2"/>
  <c r="E280" i="2" s="1"/>
  <c r="C278" i="2"/>
  <c r="E278" i="2"/>
  <c r="H278" i="2"/>
  <c r="I278" i="2"/>
  <c r="I280" i="2" s="1"/>
  <c r="I281" i="2" s="1"/>
  <c r="D281" i="2"/>
  <c r="E281" i="2"/>
  <c r="C289" i="2"/>
  <c r="D289" i="2"/>
  <c r="E289" i="2"/>
  <c r="E295" i="2" s="1"/>
  <c r="F289" i="2"/>
  <c r="G289" i="2"/>
  <c r="G295" i="2" s="1"/>
  <c r="H289" i="2"/>
  <c r="I289" i="2"/>
  <c r="C292" i="2"/>
  <c r="C294" i="2" s="1"/>
  <c r="C297" i="2" s="1"/>
  <c r="C298" i="2" s="1"/>
  <c r="D292" i="2"/>
  <c r="E292" i="2"/>
  <c r="E294" i="2" s="1"/>
  <c r="F292" i="2"/>
  <c r="F294" i="2" s="1"/>
  <c r="F297" i="2" s="1"/>
  <c r="F298" i="2" s="1"/>
  <c r="G292" i="2"/>
  <c r="H292" i="2"/>
  <c r="H294" i="2" s="1"/>
  <c r="H297" i="2" s="1"/>
  <c r="H298" i="2" s="1"/>
  <c r="I292" i="2"/>
  <c r="C293" i="2"/>
  <c r="D293" i="2"/>
  <c r="E293" i="2"/>
  <c r="F293" i="2"/>
  <c r="G293" i="2"/>
  <c r="G294" i="2" s="1"/>
  <c r="G297" i="2" s="1"/>
  <c r="G298" i="2" s="1"/>
  <c r="H293" i="2"/>
  <c r="I293" i="2"/>
  <c r="C295" i="2"/>
  <c r="D295" i="2"/>
  <c r="F295" i="2"/>
  <c r="H295" i="2"/>
  <c r="I295" i="2"/>
  <c r="E297" i="2"/>
  <c r="E298" i="2" s="1"/>
  <c r="C306" i="2"/>
  <c r="C312" i="2" s="1"/>
  <c r="D306" i="2"/>
  <c r="E306" i="2"/>
  <c r="F306" i="2"/>
  <c r="F312" i="2" s="1"/>
  <c r="G306" i="2"/>
  <c r="H306" i="2"/>
  <c r="H312" i="2" s="1"/>
  <c r="I306" i="2"/>
  <c r="I312" i="2" s="1"/>
  <c r="C309" i="2"/>
  <c r="D309" i="2"/>
  <c r="D311" i="2" s="1"/>
  <c r="D314" i="2" s="1"/>
  <c r="D315" i="2" s="1"/>
  <c r="E309" i="2"/>
  <c r="F309" i="2"/>
  <c r="G309" i="2"/>
  <c r="G311" i="2" s="1"/>
  <c r="H309" i="2"/>
  <c r="I309" i="2"/>
  <c r="C310" i="2"/>
  <c r="D310" i="2"/>
  <c r="E310" i="2"/>
  <c r="F310" i="2"/>
  <c r="G310" i="2"/>
  <c r="H310" i="2"/>
  <c r="I310" i="2"/>
  <c r="E311" i="2"/>
  <c r="E314" i="2" s="1"/>
  <c r="E315" i="2" s="1"/>
  <c r="F311" i="2"/>
  <c r="H311" i="2"/>
  <c r="H314" i="2" s="1"/>
  <c r="H315" i="2" s="1"/>
  <c r="I311" i="2"/>
  <c r="D312" i="2"/>
  <c r="E312" i="2"/>
  <c r="G312" i="2"/>
  <c r="G314" i="2" s="1"/>
  <c r="G315" i="2"/>
  <c r="H318" i="2"/>
  <c r="I318" i="2"/>
  <c r="C326" i="2"/>
  <c r="D326" i="2"/>
  <c r="E326" i="2"/>
  <c r="E332" i="2" s="1"/>
  <c r="F326" i="2"/>
  <c r="G326" i="2"/>
  <c r="G332" i="2" s="1"/>
  <c r="H326" i="2"/>
  <c r="I326" i="2"/>
  <c r="C329" i="2"/>
  <c r="C331" i="2" s="1"/>
  <c r="C334" i="2" s="1"/>
  <c r="C335" i="2" s="1"/>
  <c r="D329" i="2"/>
  <c r="E329" i="2"/>
  <c r="F329" i="2"/>
  <c r="F331" i="2" s="1"/>
  <c r="G329" i="2"/>
  <c r="H329" i="2"/>
  <c r="I329" i="2"/>
  <c r="I331" i="2" s="1"/>
  <c r="C330" i="2"/>
  <c r="D330" i="2"/>
  <c r="D331" i="2" s="1"/>
  <c r="D334" i="2" s="1"/>
  <c r="D335" i="2" s="1"/>
  <c r="E330" i="2"/>
  <c r="F330" i="2"/>
  <c r="G330" i="2"/>
  <c r="H330" i="2"/>
  <c r="I330" i="2"/>
  <c r="E331" i="2"/>
  <c r="G331" i="2"/>
  <c r="G334" i="2" s="1"/>
  <c r="H331" i="2"/>
  <c r="C332" i="2"/>
  <c r="D332" i="2"/>
  <c r="F332" i="2"/>
  <c r="F334" i="2" s="1"/>
  <c r="H332" i="2"/>
  <c r="I332" i="2"/>
  <c r="F335" i="2"/>
  <c r="G335" i="2"/>
  <c r="C343" i="2"/>
  <c r="D343" i="2"/>
  <c r="E343" i="2"/>
  <c r="E349" i="2" s="1"/>
  <c r="F343" i="2"/>
  <c r="G343" i="2"/>
  <c r="H343" i="2"/>
  <c r="H349" i="2" s="1"/>
  <c r="I343" i="2"/>
  <c r="C346" i="2"/>
  <c r="D346" i="2"/>
  <c r="D348" i="2" s="1"/>
  <c r="E346" i="2"/>
  <c r="F346" i="2"/>
  <c r="F348" i="2" s="1"/>
  <c r="G346" i="2"/>
  <c r="G348" i="2" s="1"/>
  <c r="G351" i="2" s="1"/>
  <c r="G352" i="2" s="1"/>
  <c r="H346" i="2"/>
  <c r="I346" i="2"/>
  <c r="I348" i="2" s="1"/>
  <c r="I351" i="2" s="1"/>
  <c r="I352" i="2" s="1"/>
  <c r="C347" i="2"/>
  <c r="D347" i="2"/>
  <c r="E347" i="2"/>
  <c r="E348" i="2" s="1"/>
  <c r="F347" i="2"/>
  <c r="G347" i="2"/>
  <c r="H347" i="2"/>
  <c r="I347" i="2"/>
  <c r="C348" i="2"/>
  <c r="C349" i="2"/>
  <c r="D349" i="2"/>
  <c r="D351" i="2" s="1"/>
  <c r="G349" i="2"/>
  <c r="I349" i="2"/>
  <c r="D352" i="2"/>
  <c r="C360" i="2"/>
  <c r="D360" i="2"/>
  <c r="E360" i="2"/>
  <c r="E366" i="2" s="1"/>
  <c r="F360" i="2"/>
  <c r="F366" i="2" s="1"/>
  <c r="G360" i="2"/>
  <c r="H360" i="2"/>
  <c r="I360" i="2"/>
  <c r="I366" i="2" s="1"/>
  <c r="C363" i="2"/>
  <c r="D363" i="2"/>
  <c r="D365" i="2" s="1"/>
  <c r="E363" i="2"/>
  <c r="F363" i="2"/>
  <c r="G363" i="2"/>
  <c r="G365" i="2" s="1"/>
  <c r="G368" i="2" s="1"/>
  <c r="G369" i="2" s="1"/>
  <c r="H363" i="2"/>
  <c r="I363" i="2"/>
  <c r="C364" i="2"/>
  <c r="C365" i="2" s="1"/>
  <c r="D364" i="2"/>
  <c r="E364" i="2"/>
  <c r="F364" i="2"/>
  <c r="G364" i="2"/>
  <c r="H364" i="2"/>
  <c r="I364" i="2"/>
  <c r="H365" i="2"/>
  <c r="I365" i="2"/>
  <c r="I368" i="2" s="1"/>
  <c r="I369" i="2" s="1"/>
  <c r="D366" i="2"/>
  <c r="G366" i="2"/>
  <c r="H366" i="2"/>
  <c r="H368" i="2"/>
  <c r="H369" i="2" s="1"/>
  <c r="C377" i="2"/>
  <c r="C383" i="2" s="1"/>
  <c r="D377" i="2"/>
  <c r="D383" i="2" s="1"/>
  <c r="E377" i="2"/>
  <c r="F377" i="2"/>
  <c r="F383" i="2" s="1"/>
  <c r="G377" i="2"/>
  <c r="H377" i="2"/>
  <c r="I377" i="2"/>
  <c r="I383" i="2" s="1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D382" i="2"/>
  <c r="E382" i="2"/>
  <c r="E385" i="2" s="1"/>
  <c r="E386" i="2" s="1"/>
  <c r="F382" i="2"/>
  <c r="F385" i="2" s="1"/>
  <c r="F386" i="2" s="1"/>
  <c r="G382" i="2"/>
  <c r="G385" i="2" s="1"/>
  <c r="I382" i="2"/>
  <c r="E383" i="2"/>
  <c r="G383" i="2"/>
  <c r="H383" i="2"/>
  <c r="D385" i="2"/>
  <c r="D386" i="2" s="1"/>
  <c r="G386" i="2"/>
  <c r="C394" i="2"/>
  <c r="D394" i="2"/>
  <c r="E394" i="2"/>
  <c r="E400" i="2" s="1"/>
  <c r="E402" i="2" s="1"/>
  <c r="E403" i="2" s="1"/>
  <c r="F394" i="2"/>
  <c r="G394" i="2"/>
  <c r="G400" i="2" s="1"/>
  <c r="H394" i="2"/>
  <c r="H400" i="2" s="1"/>
  <c r="I394" i="2"/>
  <c r="I400" i="2" s="1"/>
  <c r="C397" i="2"/>
  <c r="D397" i="2"/>
  <c r="E397" i="2"/>
  <c r="F397" i="2"/>
  <c r="F399" i="2" s="1"/>
  <c r="F402" i="2" s="1"/>
  <c r="F403" i="2" s="1"/>
  <c r="G397" i="2"/>
  <c r="H397" i="2"/>
  <c r="I397" i="2"/>
  <c r="C398" i="2"/>
  <c r="D398" i="2"/>
  <c r="D399" i="2" s="1"/>
  <c r="E398" i="2"/>
  <c r="E399" i="2" s="1"/>
  <c r="F398" i="2"/>
  <c r="G398" i="2"/>
  <c r="G399" i="2" s="1"/>
  <c r="G402" i="2" s="1"/>
  <c r="G403" i="2" s="1"/>
  <c r="H398" i="2"/>
  <c r="I398" i="2"/>
  <c r="C399" i="2"/>
  <c r="H399" i="2"/>
  <c r="H402" i="2" s="1"/>
  <c r="C400" i="2"/>
  <c r="D400" i="2"/>
  <c r="F400" i="2"/>
  <c r="D402" i="2"/>
  <c r="D403" i="2" s="1"/>
  <c r="H403" i="2"/>
  <c r="C411" i="2"/>
  <c r="D411" i="2"/>
  <c r="E411" i="2"/>
  <c r="F411" i="2"/>
  <c r="F417" i="2" s="1"/>
  <c r="G411" i="2"/>
  <c r="G417" i="2" s="1"/>
  <c r="H411" i="2"/>
  <c r="H417" i="2" s="1"/>
  <c r="I411" i="2"/>
  <c r="I417" i="2" s="1"/>
  <c r="N411" i="2"/>
  <c r="O411" i="2"/>
  <c r="C414" i="2"/>
  <c r="D414" i="2"/>
  <c r="E414" i="2"/>
  <c r="E416" i="2" s="1"/>
  <c r="F414" i="2"/>
  <c r="F416" i="2" s="1"/>
  <c r="G414" i="2"/>
  <c r="H414" i="2"/>
  <c r="I414" i="2"/>
  <c r="C415" i="2"/>
  <c r="C416" i="2" s="1"/>
  <c r="C419" i="2" s="1"/>
  <c r="C420" i="2" s="1"/>
  <c r="D415" i="2"/>
  <c r="E415" i="2"/>
  <c r="F415" i="2"/>
  <c r="G415" i="2"/>
  <c r="H415" i="2"/>
  <c r="I415" i="2"/>
  <c r="I416" i="2" s="1"/>
  <c r="I419" i="2" s="1"/>
  <c r="I420" i="2" s="1"/>
  <c r="D416" i="2"/>
  <c r="H416" i="2"/>
  <c r="H419" i="2" s="1"/>
  <c r="H420" i="2" s="1"/>
  <c r="C417" i="2"/>
  <c r="D417" i="2"/>
  <c r="E417" i="2"/>
  <c r="D419" i="2"/>
  <c r="D420" i="2" s="1"/>
  <c r="E419" i="2"/>
  <c r="E420" i="2" s="1"/>
  <c r="F419" i="2"/>
  <c r="F420" i="2" s="1"/>
  <c r="C427" i="2"/>
  <c r="D427" i="2"/>
  <c r="D433" i="2" s="1"/>
  <c r="E427" i="2"/>
  <c r="F427" i="2"/>
  <c r="F433" i="2" s="1"/>
  <c r="G427" i="2"/>
  <c r="H427" i="2"/>
  <c r="I427" i="2"/>
  <c r="I433" i="2" s="1"/>
  <c r="C430" i="2"/>
  <c r="D430" i="2"/>
  <c r="E430" i="2"/>
  <c r="F430" i="2"/>
  <c r="G430" i="2"/>
  <c r="G432" i="2" s="1"/>
  <c r="H430" i="2"/>
  <c r="I430" i="2"/>
  <c r="C431" i="2"/>
  <c r="D431" i="2"/>
  <c r="E431" i="2"/>
  <c r="F431" i="2"/>
  <c r="F432" i="2" s="1"/>
  <c r="F435" i="2" s="1"/>
  <c r="F436" i="2" s="1"/>
  <c r="G431" i="2"/>
  <c r="H431" i="2"/>
  <c r="I431" i="2"/>
  <c r="I432" i="2" s="1"/>
  <c r="D432" i="2"/>
  <c r="D435" i="2" s="1"/>
  <c r="D436" i="2" s="1"/>
  <c r="E432" i="2"/>
  <c r="E435" i="2" s="1"/>
  <c r="E436" i="2" s="1"/>
  <c r="C433" i="2"/>
  <c r="E433" i="2"/>
  <c r="G433" i="2"/>
  <c r="H433" i="2"/>
  <c r="I435" i="2"/>
  <c r="I436" i="2" s="1"/>
  <c r="C443" i="2"/>
  <c r="C449" i="2" s="1"/>
  <c r="D443" i="2"/>
  <c r="D449" i="2" s="1"/>
  <c r="E443" i="2"/>
  <c r="F443" i="2"/>
  <c r="G443" i="2"/>
  <c r="H443" i="2"/>
  <c r="I443" i="2"/>
  <c r="I449" i="2" s="1"/>
  <c r="C446" i="2"/>
  <c r="C448" i="2" s="1"/>
  <c r="D446" i="2"/>
  <c r="D448" i="2" s="1"/>
  <c r="D451" i="2" s="1"/>
  <c r="D452" i="2" s="1"/>
  <c r="E446" i="2"/>
  <c r="F446" i="2"/>
  <c r="G446" i="2"/>
  <c r="H446" i="2"/>
  <c r="I446" i="2"/>
  <c r="I448" i="2" s="1"/>
  <c r="C447" i="2"/>
  <c r="D447" i="2"/>
  <c r="E447" i="2"/>
  <c r="E448" i="2" s="1"/>
  <c r="E451" i="2" s="1"/>
  <c r="E452" i="2" s="1"/>
  <c r="F447" i="2"/>
  <c r="G447" i="2"/>
  <c r="G448" i="2" s="1"/>
  <c r="H447" i="2"/>
  <c r="I447" i="2"/>
  <c r="F448" i="2"/>
  <c r="F451" i="2" s="1"/>
  <c r="F452" i="2" s="1"/>
  <c r="H448" i="2"/>
  <c r="E449" i="2"/>
  <c r="F449" i="2"/>
  <c r="G449" i="2"/>
  <c r="G451" i="2" s="1"/>
  <c r="G452" i="2" s="1"/>
  <c r="H449" i="2"/>
  <c r="H451" i="2"/>
  <c r="H452" i="2" s="1"/>
  <c r="I451" i="2"/>
  <c r="I452" i="2" s="1"/>
  <c r="C463" i="2"/>
  <c r="C492" i="2" s="1"/>
  <c r="D463" i="2"/>
  <c r="E463" i="2"/>
  <c r="F463" i="2"/>
  <c r="F469" i="2" s="1"/>
  <c r="G463" i="2"/>
  <c r="G469" i="2" s="1"/>
  <c r="H463" i="2"/>
  <c r="I463" i="2"/>
  <c r="I469" i="2" s="1"/>
  <c r="C466" i="2"/>
  <c r="D466" i="2"/>
  <c r="D468" i="2" s="1"/>
  <c r="E466" i="2"/>
  <c r="E468" i="2" s="1"/>
  <c r="E471" i="2" s="1"/>
  <c r="E472" i="2" s="1"/>
  <c r="F466" i="2"/>
  <c r="G466" i="2"/>
  <c r="H466" i="2"/>
  <c r="I466" i="2"/>
  <c r="C467" i="2"/>
  <c r="C468" i="2" s="1"/>
  <c r="C471" i="2" s="1"/>
  <c r="C472" i="2" s="1"/>
  <c r="D467" i="2"/>
  <c r="E467" i="2"/>
  <c r="F467" i="2"/>
  <c r="F468" i="2" s="1"/>
  <c r="F471" i="2" s="1"/>
  <c r="F472" i="2" s="1"/>
  <c r="G467" i="2"/>
  <c r="H467" i="2"/>
  <c r="I467" i="2"/>
  <c r="G468" i="2"/>
  <c r="G471" i="2" s="1"/>
  <c r="I468" i="2"/>
  <c r="I471" i="2" s="1"/>
  <c r="I472" i="2" s="1"/>
  <c r="C469" i="2"/>
  <c r="E469" i="2"/>
  <c r="H469" i="2"/>
  <c r="G472" i="2"/>
  <c r="C480" i="2"/>
  <c r="D480" i="2"/>
  <c r="E480" i="2"/>
  <c r="F480" i="2"/>
  <c r="I480" i="2"/>
  <c r="I486" i="2" s="1"/>
  <c r="C483" i="2"/>
  <c r="D483" i="2"/>
  <c r="E483" i="2"/>
  <c r="E485" i="2" s="1"/>
  <c r="E488" i="2" s="1"/>
  <c r="E489" i="2" s="1"/>
  <c r="F483" i="2"/>
  <c r="G483" i="2"/>
  <c r="G485" i="2" s="1"/>
  <c r="H483" i="2"/>
  <c r="I483" i="2"/>
  <c r="I485" i="2" s="1"/>
  <c r="C484" i="2"/>
  <c r="C485" i="2" s="1"/>
  <c r="C488" i="2" s="1"/>
  <c r="C489" i="2" s="1"/>
  <c r="D484" i="2"/>
  <c r="E484" i="2"/>
  <c r="F484" i="2"/>
  <c r="F485" i="2" s="1"/>
  <c r="F488" i="2" s="1"/>
  <c r="F489" i="2" s="1"/>
  <c r="G484" i="2"/>
  <c r="H484" i="2"/>
  <c r="I484" i="2"/>
  <c r="D485" i="2"/>
  <c r="D488" i="2" s="1"/>
  <c r="D489" i="2" s="1"/>
  <c r="C486" i="2"/>
  <c r="D486" i="2"/>
  <c r="E486" i="2"/>
  <c r="F486" i="2"/>
  <c r="G486" i="2"/>
  <c r="H486" i="2"/>
  <c r="G488" i="2"/>
  <c r="G489" i="2" s="1"/>
  <c r="E492" i="2"/>
  <c r="F492" i="2"/>
  <c r="G492" i="2"/>
  <c r="H492" i="2"/>
  <c r="C500" i="2"/>
  <c r="D500" i="2"/>
  <c r="E500" i="2"/>
  <c r="F500" i="2"/>
  <c r="F506" i="2" s="1"/>
  <c r="G500" i="2"/>
  <c r="H500" i="2"/>
  <c r="H506" i="2" s="1"/>
  <c r="I500" i="2"/>
  <c r="I506" i="2" s="1"/>
  <c r="C503" i="2"/>
  <c r="D503" i="2"/>
  <c r="E503" i="2"/>
  <c r="E505" i="2" s="1"/>
  <c r="E508" i="2" s="1"/>
  <c r="E509" i="2" s="1"/>
  <c r="F503" i="2"/>
  <c r="G503" i="2"/>
  <c r="H503" i="2"/>
  <c r="H505" i="2" s="1"/>
  <c r="I503" i="2"/>
  <c r="C504" i="2"/>
  <c r="D504" i="2"/>
  <c r="E504" i="2"/>
  <c r="F504" i="2"/>
  <c r="F505" i="2" s="1"/>
  <c r="G504" i="2"/>
  <c r="H504" i="2"/>
  <c r="I504" i="2"/>
  <c r="C505" i="2"/>
  <c r="D505" i="2"/>
  <c r="G505" i="2"/>
  <c r="I505" i="2"/>
  <c r="C506" i="2"/>
  <c r="C508" i="2" s="1"/>
  <c r="C509" i="2" s="1"/>
  <c r="D506" i="2"/>
  <c r="D508" i="2" s="1"/>
  <c r="D509" i="2" s="1"/>
  <c r="E506" i="2"/>
  <c r="F508" i="2"/>
  <c r="F509" i="2" s="1"/>
  <c r="I508" i="2"/>
  <c r="I509" i="2" s="1"/>
  <c r="C517" i="2"/>
  <c r="D517" i="2"/>
  <c r="D523" i="2" s="1"/>
  <c r="D525" i="2" s="1"/>
  <c r="D526" i="2" s="1"/>
  <c r="E517" i="2"/>
  <c r="F517" i="2"/>
  <c r="G517" i="2"/>
  <c r="G523" i="2" s="1"/>
  <c r="H517" i="2"/>
  <c r="I517" i="2"/>
  <c r="C520" i="2"/>
  <c r="C522" i="2" s="1"/>
  <c r="D520" i="2"/>
  <c r="E520" i="2"/>
  <c r="E522" i="2" s="1"/>
  <c r="F520" i="2"/>
  <c r="G520" i="2"/>
  <c r="H520" i="2"/>
  <c r="H522" i="2" s="1"/>
  <c r="H525" i="2" s="1"/>
  <c r="H526" i="2" s="1"/>
  <c r="I520" i="2"/>
  <c r="C521" i="2"/>
  <c r="D521" i="2"/>
  <c r="D522" i="2" s="1"/>
  <c r="E521" i="2"/>
  <c r="F521" i="2"/>
  <c r="G521" i="2"/>
  <c r="G522" i="2" s="1"/>
  <c r="G525" i="2" s="1"/>
  <c r="G526" i="2" s="1"/>
  <c r="H521" i="2"/>
  <c r="I521" i="2"/>
  <c r="I522" i="2"/>
  <c r="C523" i="2"/>
  <c r="C525" i="2" s="1"/>
  <c r="C526" i="2" s="1"/>
  <c r="F523" i="2"/>
  <c r="H523" i="2"/>
  <c r="I523" i="2"/>
  <c r="I525" i="2"/>
  <c r="I526" i="2" s="1"/>
  <c r="C533" i="2"/>
  <c r="C539" i="2" s="1"/>
  <c r="D533" i="2"/>
  <c r="E533" i="2"/>
  <c r="E539" i="2" s="1"/>
  <c r="F533" i="2"/>
  <c r="G533" i="2"/>
  <c r="H533" i="2"/>
  <c r="I533" i="2"/>
  <c r="C536" i="2"/>
  <c r="C538" i="2" s="1"/>
  <c r="C541" i="2" s="1"/>
  <c r="C542" i="2" s="1"/>
  <c r="D536" i="2"/>
  <c r="D538" i="2" s="1"/>
  <c r="D541" i="2" s="1"/>
  <c r="D542" i="2" s="1"/>
  <c r="E536" i="2"/>
  <c r="F536" i="2"/>
  <c r="F538" i="2" s="1"/>
  <c r="F541" i="2" s="1"/>
  <c r="F542" i="2" s="1"/>
  <c r="G536" i="2"/>
  <c r="H536" i="2"/>
  <c r="I536" i="2"/>
  <c r="I538" i="2" s="1"/>
  <c r="C537" i="2"/>
  <c r="D537" i="2"/>
  <c r="E537" i="2"/>
  <c r="E538" i="2" s="1"/>
  <c r="E541" i="2" s="1"/>
  <c r="E542" i="2" s="1"/>
  <c r="F537" i="2"/>
  <c r="G537" i="2"/>
  <c r="H537" i="2"/>
  <c r="I537" i="2"/>
  <c r="G538" i="2"/>
  <c r="H538" i="2"/>
  <c r="D539" i="2"/>
  <c r="F539" i="2"/>
  <c r="G539" i="2"/>
  <c r="G541" i="2" s="1"/>
  <c r="G542" i="2" s="1"/>
  <c r="H539" i="2"/>
  <c r="H541" i="2" s="1"/>
  <c r="H542" i="2" s="1"/>
  <c r="I539" i="2"/>
  <c r="I541" i="2"/>
  <c r="I542" i="2" s="1"/>
  <c r="C545" i="2"/>
  <c r="I545" i="2"/>
  <c r="C553" i="2"/>
  <c r="D553" i="2"/>
  <c r="E553" i="2"/>
  <c r="F553" i="2"/>
  <c r="F565" i="2" s="1"/>
  <c r="G553" i="2"/>
  <c r="G565" i="2" s="1"/>
  <c r="H553" i="2"/>
  <c r="I553" i="2"/>
  <c r="I559" i="2" s="1"/>
  <c r="C556" i="2"/>
  <c r="C558" i="2" s="1"/>
  <c r="D556" i="2"/>
  <c r="E556" i="2"/>
  <c r="F556" i="2"/>
  <c r="G556" i="2"/>
  <c r="H556" i="2"/>
  <c r="H558" i="2" s="1"/>
  <c r="H561" i="2" s="1"/>
  <c r="H562" i="2" s="1"/>
  <c r="I556" i="2"/>
  <c r="C557" i="2"/>
  <c r="D557" i="2"/>
  <c r="E557" i="2"/>
  <c r="E558" i="2" s="1"/>
  <c r="E561" i="2" s="1"/>
  <c r="E562" i="2" s="1"/>
  <c r="F557" i="2"/>
  <c r="G557" i="2"/>
  <c r="H557" i="2"/>
  <c r="I557" i="2"/>
  <c r="I558" i="2" s="1"/>
  <c r="I561" i="2" s="1"/>
  <c r="I562" i="2" s="1"/>
  <c r="F558" i="2"/>
  <c r="G558" i="2"/>
  <c r="E559" i="2"/>
  <c r="F559" i="2"/>
  <c r="G559" i="2"/>
  <c r="H559" i="2"/>
  <c r="F561" i="2"/>
  <c r="F562" i="2" s="1"/>
  <c r="G561" i="2"/>
  <c r="G562" i="2" s="1"/>
  <c r="E565" i="2"/>
  <c r="H565" i="2"/>
  <c r="C574" i="2"/>
  <c r="D574" i="2"/>
  <c r="E574" i="2"/>
  <c r="F574" i="2"/>
  <c r="F603" i="2" s="1"/>
  <c r="G574" i="2"/>
  <c r="H574" i="2"/>
  <c r="I574" i="2"/>
  <c r="C577" i="2"/>
  <c r="C579" i="2" s="1"/>
  <c r="D577" i="2"/>
  <c r="D579" i="2" s="1"/>
  <c r="D582" i="2" s="1"/>
  <c r="E577" i="2"/>
  <c r="F577" i="2"/>
  <c r="G577" i="2"/>
  <c r="G579" i="2" s="1"/>
  <c r="G582" i="2" s="1"/>
  <c r="G583" i="2" s="1"/>
  <c r="H577" i="2"/>
  <c r="I577" i="2"/>
  <c r="I579" i="2" s="1"/>
  <c r="C578" i="2"/>
  <c r="D578" i="2"/>
  <c r="E578" i="2"/>
  <c r="E579" i="2" s="1"/>
  <c r="F578" i="2"/>
  <c r="G578" i="2"/>
  <c r="H578" i="2"/>
  <c r="H579" i="2" s="1"/>
  <c r="I578" i="2"/>
  <c r="F579" i="2"/>
  <c r="D580" i="2"/>
  <c r="E580" i="2"/>
  <c r="G580" i="2"/>
  <c r="D583" i="2"/>
  <c r="C591" i="2"/>
  <c r="D591" i="2"/>
  <c r="E591" i="2"/>
  <c r="F591" i="2"/>
  <c r="F597" i="2" s="1"/>
  <c r="F599" i="2" s="1"/>
  <c r="G591" i="2"/>
  <c r="H591" i="2"/>
  <c r="I591" i="2"/>
  <c r="I597" i="2" s="1"/>
  <c r="C594" i="2"/>
  <c r="D594" i="2"/>
  <c r="E594" i="2"/>
  <c r="E596" i="2" s="1"/>
  <c r="F594" i="2"/>
  <c r="G594" i="2"/>
  <c r="G596" i="2" s="1"/>
  <c r="H594" i="2"/>
  <c r="I594" i="2"/>
  <c r="C595" i="2"/>
  <c r="D595" i="2"/>
  <c r="E595" i="2"/>
  <c r="F595" i="2"/>
  <c r="F596" i="2" s="1"/>
  <c r="G595" i="2"/>
  <c r="H595" i="2"/>
  <c r="I595" i="2"/>
  <c r="I596" i="2" s="1"/>
  <c r="I599" i="2" s="1"/>
  <c r="I600" i="2" s="1"/>
  <c r="C596" i="2"/>
  <c r="D596" i="2"/>
  <c r="C597" i="2"/>
  <c r="D597" i="2"/>
  <c r="D599" i="2" s="1"/>
  <c r="D600" i="2" s="1"/>
  <c r="E597" i="2"/>
  <c r="E599" i="2" s="1"/>
  <c r="H597" i="2"/>
  <c r="C599" i="2"/>
  <c r="C600" i="2" s="1"/>
  <c r="E600" i="2"/>
  <c r="F600" i="2"/>
  <c r="D603" i="2"/>
  <c r="E603" i="2"/>
  <c r="C611" i="2"/>
  <c r="C639" i="2" s="1"/>
  <c r="D611" i="2"/>
  <c r="E611" i="2"/>
  <c r="F611" i="2"/>
  <c r="F617" i="2" s="1"/>
  <c r="G611" i="2"/>
  <c r="G617" i="2" s="1"/>
  <c r="H611" i="2"/>
  <c r="I611" i="2"/>
  <c r="C614" i="2"/>
  <c r="D614" i="2"/>
  <c r="D616" i="2" s="1"/>
  <c r="D619" i="2" s="1"/>
  <c r="D620" i="2" s="1"/>
  <c r="E614" i="2"/>
  <c r="F614" i="2"/>
  <c r="F616" i="2" s="1"/>
  <c r="F619" i="2" s="1"/>
  <c r="F620" i="2" s="1"/>
  <c r="G614" i="2"/>
  <c r="H614" i="2"/>
  <c r="I614" i="2"/>
  <c r="C615" i="2"/>
  <c r="D615" i="2"/>
  <c r="E615" i="2"/>
  <c r="E616" i="2" s="1"/>
  <c r="F615" i="2"/>
  <c r="G615" i="2"/>
  <c r="H615" i="2"/>
  <c r="I615" i="2"/>
  <c r="C616" i="2"/>
  <c r="H616" i="2"/>
  <c r="I616" i="2"/>
  <c r="I619" i="2" s="1"/>
  <c r="I620" i="2" s="1"/>
  <c r="C617" i="2"/>
  <c r="C619" i="2" s="1"/>
  <c r="C620" i="2" s="1"/>
  <c r="D617" i="2"/>
  <c r="I617" i="2"/>
  <c r="C627" i="2"/>
  <c r="C633" i="2" s="1"/>
  <c r="D627" i="2"/>
  <c r="D633" i="2" s="1"/>
  <c r="E627" i="2"/>
  <c r="E633" i="2" s="1"/>
  <c r="F627" i="2"/>
  <c r="G627" i="2"/>
  <c r="H627" i="2"/>
  <c r="I627" i="2"/>
  <c r="C630" i="2"/>
  <c r="D630" i="2"/>
  <c r="E630" i="2"/>
  <c r="E632" i="2" s="1"/>
  <c r="F630" i="2"/>
  <c r="F632" i="2" s="1"/>
  <c r="G630" i="2"/>
  <c r="H630" i="2"/>
  <c r="I630" i="2"/>
  <c r="C631" i="2"/>
  <c r="C632" i="2" s="1"/>
  <c r="C635" i="2" s="1"/>
  <c r="C636" i="2" s="1"/>
  <c r="D631" i="2"/>
  <c r="E631" i="2"/>
  <c r="F631" i="2"/>
  <c r="G631" i="2"/>
  <c r="H631" i="2"/>
  <c r="H632" i="2" s="1"/>
  <c r="I631" i="2"/>
  <c r="D632" i="2"/>
  <c r="I632" i="2"/>
  <c r="I635" i="2" s="1"/>
  <c r="I636" i="2" s="1"/>
  <c r="G633" i="2"/>
  <c r="H633" i="2"/>
  <c r="I633" i="2"/>
  <c r="H635" i="2"/>
  <c r="H636" i="2" s="1"/>
  <c r="D639" i="2"/>
  <c r="I639" i="2"/>
  <c r="C647" i="2"/>
  <c r="C653" i="2" s="1"/>
  <c r="D647" i="2"/>
  <c r="E647" i="2"/>
  <c r="E653" i="2" s="1"/>
  <c r="F647" i="2"/>
  <c r="G647" i="2"/>
  <c r="H647" i="2"/>
  <c r="H653" i="2" s="1"/>
  <c r="I647" i="2"/>
  <c r="C650" i="2"/>
  <c r="C652" i="2" s="1"/>
  <c r="D650" i="2"/>
  <c r="D652" i="2" s="1"/>
  <c r="E650" i="2"/>
  <c r="F650" i="2"/>
  <c r="F652" i="2" s="1"/>
  <c r="F655" i="2" s="1"/>
  <c r="F656" i="2" s="1"/>
  <c r="G650" i="2"/>
  <c r="H650" i="2"/>
  <c r="H652" i="2" s="1"/>
  <c r="I650" i="2"/>
  <c r="C651" i="2"/>
  <c r="D651" i="2"/>
  <c r="E651" i="2"/>
  <c r="E652" i="2" s="1"/>
  <c r="E655" i="2" s="1"/>
  <c r="E656" i="2" s="1"/>
  <c r="F651" i="2"/>
  <c r="G651" i="2"/>
  <c r="H651" i="2"/>
  <c r="I651" i="2"/>
  <c r="G652" i="2"/>
  <c r="D653" i="2"/>
  <c r="D655" i="2" s="1"/>
  <c r="D656" i="2" s="1"/>
  <c r="F653" i="2"/>
  <c r="I653" i="2"/>
  <c r="H655" i="2"/>
  <c r="H656" i="2" s="1"/>
  <c r="C664" i="2"/>
  <c r="C670" i="2" s="1"/>
  <c r="D664" i="2"/>
  <c r="E664" i="2"/>
  <c r="F664" i="2"/>
  <c r="G664" i="2"/>
  <c r="H664" i="2"/>
  <c r="H670" i="2" s="1"/>
  <c r="I664" i="2"/>
  <c r="C667" i="2"/>
  <c r="D667" i="2"/>
  <c r="D669" i="2" s="1"/>
  <c r="D672" i="2" s="1"/>
  <c r="D673" i="2" s="1"/>
  <c r="E667" i="2"/>
  <c r="F667" i="2"/>
  <c r="G667" i="2"/>
  <c r="H667" i="2"/>
  <c r="I667" i="2"/>
  <c r="I669" i="2" s="1"/>
  <c r="I672" i="2" s="1"/>
  <c r="I673" i="2" s="1"/>
  <c r="C668" i="2"/>
  <c r="D668" i="2"/>
  <c r="E668" i="2"/>
  <c r="E669" i="2" s="1"/>
  <c r="F668" i="2"/>
  <c r="G668" i="2"/>
  <c r="H668" i="2"/>
  <c r="I668" i="2"/>
  <c r="C669" i="2"/>
  <c r="F669" i="2"/>
  <c r="F672" i="2" s="1"/>
  <c r="F673" i="2" s="1"/>
  <c r="H669" i="2"/>
  <c r="H672" i="2" s="1"/>
  <c r="H673" i="2" s="1"/>
  <c r="D670" i="2"/>
  <c r="E670" i="2"/>
  <c r="F670" i="2"/>
  <c r="G670" i="2"/>
  <c r="I670" i="2"/>
  <c r="C672" i="2"/>
  <c r="C673" i="2" s="1"/>
  <c r="E672" i="2"/>
  <c r="E673" i="2" s="1"/>
  <c r="C681" i="2"/>
  <c r="D681" i="2"/>
  <c r="D687" i="2" s="1"/>
  <c r="E681" i="2"/>
  <c r="F681" i="2"/>
  <c r="F687" i="2" s="1"/>
  <c r="G681" i="2"/>
  <c r="H681" i="2"/>
  <c r="H687" i="2" s="1"/>
  <c r="I681" i="2"/>
  <c r="I687" i="2" s="1"/>
  <c r="C684" i="2"/>
  <c r="D684" i="2"/>
  <c r="E684" i="2"/>
  <c r="E686" i="2" s="1"/>
  <c r="E689" i="2" s="1"/>
  <c r="F684" i="2"/>
  <c r="G684" i="2"/>
  <c r="H684" i="2"/>
  <c r="H686" i="2" s="1"/>
  <c r="I684" i="2"/>
  <c r="I686" i="2" s="1"/>
  <c r="C685" i="2"/>
  <c r="C686" i="2" s="1"/>
  <c r="C689" i="2" s="1"/>
  <c r="C690" i="2" s="1"/>
  <c r="D685" i="2"/>
  <c r="E685" i="2"/>
  <c r="F685" i="2"/>
  <c r="F686" i="2" s="1"/>
  <c r="F689" i="2" s="1"/>
  <c r="F690" i="2" s="1"/>
  <c r="G685" i="2"/>
  <c r="H685" i="2"/>
  <c r="I685" i="2"/>
  <c r="D686" i="2"/>
  <c r="D689" i="2" s="1"/>
  <c r="D690" i="2" s="1"/>
  <c r="G686" i="2"/>
  <c r="C687" i="2"/>
  <c r="E687" i="2"/>
  <c r="G687" i="2"/>
  <c r="E690" i="2"/>
  <c r="C698" i="2"/>
  <c r="D698" i="2"/>
  <c r="D704" i="2" s="1"/>
  <c r="E698" i="2"/>
  <c r="F698" i="2"/>
  <c r="F704" i="2" s="1"/>
  <c r="G698" i="2"/>
  <c r="G704" i="2" s="1"/>
  <c r="H698" i="2"/>
  <c r="I698" i="2"/>
  <c r="C701" i="2"/>
  <c r="C703" i="2" s="1"/>
  <c r="D701" i="2"/>
  <c r="E701" i="2"/>
  <c r="E703" i="2" s="1"/>
  <c r="F701" i="2"/>
  <c r="F703" i="2" s="1"/>
  <c r="G701" i="2"/>
  <c r="G703" i="2" s="1"/>
  <c r="G706" i="2" s="1"/>
  <c r="G707" i="2" s="1"/>
  <c r="H701" i="2"/>
  <c r="H703" i="2" s="1"/>
  <c r="H706" i="2" s="1"/>
  <c r="H707" i="2" s="1"/>
  <c r="I701" i="2"/>
  <c r="C702" i="2"/>
  <c r="D702" i="2"/>
  <c r="D703" i="2" s="1"/>
  <c r="D706" i="2" s="1"/>
  <c r="D707" i="2" s="1"/>
  <c r="E702" i="2"/>
  <c r="F702" i="2"/>
  <c r="G702" i="2"/>
  <c r="H702" i="2"/>
  <c r="I702" i="2"/>
  <c r="I703" i="2"/>
  <c r="C704" i="2"/>
  <c r="C706" i="2" s="1"/>
  <c r="C707" i="2" s="1"/>
  <c r="E704" i="2"/>
  <c r="H704" i="2"/>
  <c r="I704" i="2"/>
  <c r="I706" i="2"/>
  <c r="I707" i="2" s="1"/>
  <c r="C710" i="2"/>
  <c r="D710" i="2"/>
  <c r="J542" i="2" l="1"/>
  <c r="E525" i="2"/>
  <c r="E526" i="2" s="1"/>
  <c r="J526" i="2" s="1"/>
  <c r="J103" i="2"/>
  <c r="I521" i="1"/>
  <c r="I524" i="1" s="1"/>
  <c r="I525" i="1" s="1"/>
  <c r="I527" i="1"/>
  <c r="F469" i="1"/>
  <c r="N99" i="4"/>
  <c r="N102" i="4" s="1"/>
  <c r="N95" i="4"/>
  <c r="F449" i="1"/>
  <c r="E635" i="2"/>
  <c r="E636" i="2" s="1"/>
  <c r="F32" i="2"/>
  <c r="F34" i="2" s="1"/>
  <c r="F35" i="2" s="1"/>
  <c r="F124" i="2"/>
  <c r="E7" i="4"/>
  <c r="C692" i="1"/>
  <c r="Q38" i="4"/>
  <c r="G589" i="1"/>
  <c r="D469" i="2"/>
  <c r="D492" i="2"/>
  <c r="C451" i="2"/>
  <c r="C452" i="2" s="1"/>
  <c r="J452" i="2" s="1"/>
  <c r="J335" i="2"/>
  <c r="E59" i="4"/>
  <c r="C899" i="1"/>
  <c r="H19" i="4"/>
  <c r="D815" i="1"/>
  <c r="H100" i="4"/>
  <c r="I100" i="4" s="1"/>
  <c r="D752" i="1"/>
  <c r="F648" i="1"/>
  <c r="F642" i="1"/>
  <c r="F645" i="1" s="1"/>
  <c r="F646" i="1" s="1"/>
  <c r="Q53" i="4"/>
  <c r="G630" i="1"/>
  <c r="E544" i="1"/>
  <c r="E545" i="1" s="1"/>
  <c r="E547" i="1"/>
  <c r="V102" i="4"/>
  <c r="W18" i="4"/>
  <c r="C655" i="2"/>
  <c r="C656" i="2" s="1"/>
  <c r="H596" i="2"/>
  <c r="H599" i="2" s="1"/>
  <c r="H600" i="2" s="1"/>
  <c r="G597" i="2"/>
  <c r="G603" i="2"/>
  <c r="F580" i="2"/>
  <c r="E582" i="2"/>
  <c r="E583" i="2" s="1"/>
  <c r="D558" i="2"/>
  <c r="C565" i="2"/>
  <c r="C559" i="2"/>
  <c r="C561" i="2" s="1"/>
  <c r="C562" i="2" s="1"/>
  <c r="D471" i="2"/>
  <c r="D472" i="2" s="1"/>
  <c r="G435" i="2"/>
  <c r="G436" i="2" s="1"/>
  <c r="I163" i="2"/>
  <c r="K19" i="4"/>
  <c r="Q24" i="4"/>
  <c r="G773" i="1"/>
  <c r="K12" i="4"/>
  <c r="L12" i="4" s="1"/>
  <c r="E732" i="1"/>
  <c r="W74" i="4"/>
  <c r="W76" i="4" s="1"/>
  <c r="I650" i="1"/>
  <c r="M76" i="4"/>
  <c r="E642" i="1"/>
  <c r="E645" i="1" s="1"/>
  <c r="E646" i="1" s="1"/>
  <c r="E648" i="1"/>
  <c r="I30" i="4"/>
  <c r="I32" i="4" s="1"/>
  <c r="G32" i="4"/>
  <c r="J382" i="1"/>
  <c r="D67" i="4"/>
  <c r="I189" i="1"/>
  <c r="I186" i="1"/>
  <c r="I187" i="1" s="1"/>
  <c r="H582" i="2"/>
  <c r="H583" i="2" s="1"/>
  <c r="J626" i="1"/>
  <c r="I689" i="2"/>
  <c r="I690" i="2" s="1"/>
  <c r="J247" i="2"/>
  <c r="V36" i="4"/>
  <c r="V41" i="4" s="1"/>
  <c r="X34" i="4"/>
  <c r="X36" i="4" s="1"/>
  <c r="X41" i="4" s="1"/>
  <c r="J420" i="2"/>
  <c r="T10" i="4"/>
  <c r="H712" i="1"/>
  <c r="D47" i="4"/>
  <c r="F44" i="4"/>
  <c r="Y44" i="4"/>
  <c r="E9" i="4"/>
  <c r="Z9" i="4" s="1"/>
  <c r="C65" i="1"/>
  <c r="H689" i="2"/>
  <c r="H690" i="2" s="1"/>
  <c r="G599" i="2"/>
  <c r="G600" i="2" s="1"/>
  <c r="C582" i="2"/>
  <c r="C583" i="2" s="1"/>
  <c r="G567" i="1"/>
  <c r="G564" i="1"/>
  <c r="G565" i="1" s="1"/>
  <c r="F706" i="2"/>
  <c r="F707" i="2" s="1"/>
  <c r="G653" i="2"/>
  <c r="G655" i="2" s="1"/>
  <c r="G656" i="2" s="1"/>
  <c r="G710" i="2"/>
  <c r="F582" i="2"/>
  <c r="F583" i="2" s="1"/>
  <c r="D545" i="2"/>
  <c r="K59" i="4"/>
  <c r="E899" i="1"/>
  <c r="I786" i="1"/>
  <c r="I789" i="1" s="1"/>
  <c r="I790" i="1" s="1"/>
  <c r="I792" i="1"/>
  <c r="H794" i="1"/>
  <c r="T65" i="4"/>
  <c r="T100" i="4"/>
  <c r="H752" i="1"/>
  <c r="N10" i="4"/>
  <c r="F712" i="1"/>
  <c r="K7" i="4"/>
  <c r="E692" i="1"/>
  <c r="V76" i="4"/>
  <c r="W44" i="4"/>
  <c r="W47" i="4" s="1"/>
  <c r="K38" i="4"/>
  <c r="E589" i="1"/>
  <c r="K16" i="4"/>
  <c r="E108" i="1"/>
  <c r="G441" i="1"/>
  <c r="G444" i="1" s="1"/>
  <c r="G445" i="1" s="1"/>
  <c r="G447" i="1"/>
  <c r="W17" i="4"/>
  <c r="I129" i="1"/>
  <c r="Q23" i="4"/>
  <c r="G549" i="1"/>
  <c r="J600" i="2"/>
  <c r="Q54" i="4"/>
  <c r="G877" i="1"/>
  <c r="H567" i="1"/>
  <c r="H561" i="1"/>
  <c r="H564" i="1" s="1"/>
  <c r="H565" i="1" s="1"/>
  <c r="E706" i="2"/>
  <c r="E707" i="2" s="1"/>
  <c r="J707" i="2" s="1"/>
  <c r="G632" i="2"/>
  <c r="G635" i="2" s="1"/>
  <c r="G636" i="2" s="1"/>
  <c r="F633" i="2"/>
  <c r="F635" i="2" s="1"/>
  <c r="F636" i="2" s="1"/>
  <c r="J636" i="2" s="1"/>
  <c r="F639" i="2"/>
  <c r="F522" i="2"/>
  <c r="F525" i="2" s="1"/>
  <c r="F526" i="2" s="1"/>
  <c r="E523" i="2"/>
  <c r="E545" i="2"/>
  <c r="D368" i="2"/>
  <c r="D369" i="2" s="1"/>
  <c r="C366" i="2"/>
  <c r="C368" i="2" s="1"/>
  <c r="C369" i="2" s="1"/>
  <c r="J369" i="2" s="1"/>
  <c r="C455" i="2"/>
  <c r="C156" i="2"/>
  <c r="C159" i="2" s="1"/>
  <c r="C160" i="2" s="1"/>
  <c r="C83" i="2"/>
  <c r="C85" i="2" s="1"/>
  <c r="C86" i="2" s="1"/>
  <c r="J86" i="2" s="1"/>
  <c r="C124" i="2"/>
  <c r="F828" i="1"/>
  <c r="F831" i="1" s="1"/>
  <c r="F832" i="1" s="1"/>
  <c r="J832" i="1" s="1"/>
  <c r="F834" i="1"/>
  <c r="Y65" i="4"/>
  <c r="O12" i="4"/>
  <c r="T58" i="4"/>
  <c r="H670" i="1"/>
  <c r="E78" i="4"/>
  <c r="C320" i="1"/>
  <c r="E17" i="4"/>
  <c r="C129" i="1"/>
  <c r="E16" i="4"/>
  <c r="C108" i="1"/>
  <c r="F78" i="1"/>
  <c r="F81" i="1" s="1"/>
  <c r="F82" i="1" s="1"/>
  <c r="F85" i="1"/>
  <c r="M11" i="4" s="1"/>
  <c r="E84" i="1"/>
  <c r="E78" i="1"/>
  <c r="E81" i="1" s="1"/>
  <c r="E82" i="1" s="1"/>
  <c r="H545" i="2"/>
  <c r="C351" i="2"/>
  <c r="C352" i="2" s="1"/>
  <c r="E32" i="2"/>
  <c r="E34" i="2" s="1"/>
  <c r="E35" i="2" s="1"/>
  <c r="J35" i="2" s="1"/>
  <c r="E124" i="2"/>
  <c r="T54" i="4"/>
  <c r="H877" i="1"/>
  <c r="Q45" i="4"/>
  <c r="G856" i="1"/>
  <c r="J76" i="4"/>
  <c r="D642" i="1"/>
  <c r="D645" i="1" s="1"/>
  <c r="D646" i="1" s="1"/>
  <c r="D648" i="1"/>
  <c r="D53" i="4"/>
  <c r="C630" i="1"/>
  <c r="E44" i="4"/>
  <c r="C609" i="1"/>
  <c r="D547" i="1"/>
  <c r="H527" i="1"/>
  <c r="V32" i="4"/>
  <c r="H487" i="1"/>
  <c r="T99" i="4"/>
  <c r="H469" i="1"/>
  <c r="J102" i="4"/>
  <c r="W89" i="4"/>
  <c r="X89" i="4" s="1"/>
  <c r="X92" i="4" s="1"/>
  <c r="I386" i="1"/>
  <c r="V92" i="4"/>
  <c r="H384" i="1"/>
  <c r="H378" i="1"/>
  <c r="H381" i="1" s="1"/>
  <c r="H382" i="1" s="1"/>
  <c r="I710" i="2"/>
  <c r="F545" i="2"/>
  <c r="E455" i="2"/>
  <c r="G416" i="2"/>
  <c r="G419" i="2" s="1"/>
  <c r="G420" i="2" s="1"/>
  <c r="H348" i="2"/>
  <c r="H351" i="2" s="1"/>
  <c r="H352" i="2" s="1"/>
  <c r="G455" i="2"/>
  <c r="F314" i="2"/>
  <c r="F315" i="2" s="1"/>
  <c r="C311" i="2"/>
  <c r="C314" i="2" s="1"/>
  <c r="C315" i="2" s="1"/>
  <c r="J315" i="2" s="1"/>
  <c r="I226" i="2"/>
  <c r="I229" i="2" s="1"/>
  <c r="I230" i="2" s="1"/>
  <c r="G196" i="2"/>
  <c r="G197" i="2" s="1"/>
  <c r="F194" i="2"/>
  <c r="F196" i="2" s="1"/>
  <c r="F197" i="2" s="1"/>
  <c r="F318" i="2"/>
  <c r="I179" i="2"/>
  <c r="I180" i="2" s="1"/>
  <c r="H159" i="2"/>
  <c r="H160" i="2" s="1"/>
  <c r="C140" i="2"/>
  <c r="C142" i="2" s="1"/>
  <c r="C143" i="2" s="1"/>
  <c r="C163" i="2"/>
  <c r="F85" i="2"/>
  <c r="F86" i="2" s="1"/>
  <c r="C856" i="1"/>
  <c r="N12" i="4"/>
  <c r="F732" i="1"/>
  <c r="H12" i="4"/>
  <c r="D732" i="1"/>
  <c r="Q10" i="4"/>
  <c r="G712" i="1"/>
  <c r="O10" i="4"/>
  <c r="H10" i="4"/>
  <c r="Y58" i="4"/>
  <c r="W38" i="4"/>
  <c r="I589" i="1"/>
  <c r="N23" i="4"/>
  <c r="F549" i="1"/>
  <c r="I484" i="1"/>
  <c r="I485" i="1" s="1"/>
  <c r="I487" i="1"/>
  <c r="H484" i="1"/>
  <c r="H485" i="1" s="1"/>
  <c r="G481" i="1"/>
  <c r="G484" i="1" s="1"/>
  <c r="G485" i="1" s="1"/>
  <c r="G487" i="1"/>
  <c r="G102" i="4"/>
  <c r="C461" i="1"/>
  <c r="C464" i="1" s="1"/>
  <c r="C465" i="1" s="1"/>
  <c r="C467" i="1"/>
  <c r="E89" i="4"/>
  <c r="F89" i="4" s="1"/>
  <c r="C386" i="1"/>
  <c r="D87" i="4"/>
  <c r="H69" i="4"/>
  <c r="H72" i="4" s="1"/>
  <c r="D225" i="1"/>
  <c r="D228" i="1" s="1"/>
  <c r="D229" i="1" s="1"/>
  <c r="D232" i="1"/>
  <c r="G69" i="4" s="1"/>
  <c r="C231" i="1"/>
  <c r="C225" i="1"/>
  <c r="C228" i="1" s="1"/>
  <c r="C229" i="1" s="1"/>
  <c r="C580" i="2"/>
  <c r="C603" i="2"/>
  <c r="W39" i="4"/>
  <c r="I836" i="1"/>
  <c r="I65" i="4"/>
  <c r="W23" i="4"/>
  <c r="I549" i="1"/>
  <c r="W84" i="4"/>
  <c r="D635" i="2"/>
  <c r="D636" i="2" s="1"/>
  <c r="I565" i="2"/>
  <c r="I385" i="2"/>
  <c r="I386" i="2" s="1"/>
  <c r="I455" i="2"/>
  <c r="C261" i="2"/>
  <c r="C263" i="2" s="1"/>
  <c r="C264" i="2" s="1"/>
  <c r="C318" i="2"/>
  <c r="I213" i="2"/>
  <c r="I214" i="2" s="1"/>
  <c r="D318" i="2"/>
  <c r="H124" i="2"/>
  <c r="C119" i="2"/>
  <c r="C120" i="2" s="1"/>
  <c r="J120" i="2" s="1"/>
  <c r="I119" i="2"/>
  <c r="I120" i="2" s="1"/>
  <c r="I869" i="1"/>
  <c r="I872" i="1" s="1"/>
  <c r="I873" i="1" s="1"/>
  <c r="I876" i="1"/>
  <c r="V54" i="4" s="1"/>
  <c r="K45" i="4"/>
  <c r="L45" i="4" s="1"/>
  <c r="E856" i="1"/>
  <c r="T39" i="4"/>
  <c r="H836" i="1"/>
  <c r="H65" i="4"/>
  <c r="D794" i="1"/>
  <c r="E65" i="4"/>
  <c r="C794" i="1"/>
  <c r="E24" i="4"/>
  <c r="C773" i="1"/>
  <c r="E751" i="1"/>
  <c r="J100" i="4" s="1"/>
  <c r="E744" i="1"/>
  <c r="E747" i="1" s="1"/>
  <c r="E748" i="1" s="1"/>
  <c r="D747" i="1"/>
  <c r="D748" i="1" s="1"/>
  <c r="W12" i="4"/>
  <c r="K10" i="4"/>
  <c r="E712" i="1"/>
  <c r="F684" i="1"/>
  <c r="F687" i="1" s="1"/>
  <c r="F688" i="1" s="1"/>
  <c r="F690" i="1"/>
  <c r="G601" i="1"/>
  <c r="G604" i="1" s="1"/>
  <c r="G605" i="1" s="1"/>
  <c r="G607" i="1"/>
  <c r="I25" i="4"/>
  <c r="D501" i="1"/>
  <c r="D504" i="1" s="1"/>
  <c r="D505" i="1" s="1"/>
  <c r="D508" i="1"/>
  <c r="C501" i="1"/>
  <c r="C504" i="1" s="1"/>
  <c r="C505" i="1" s="1"/>
  <c r="C507" i="1"/>
  <c r="H94" i="4"/>
  <c r="D429" i="1"/>
  <c r="F249" i="1"/>
  <c r="F250" i="1" s="1"/>
  <c r="K70" i="4"/>
  <c r="L70" i="4" s="1"/>
  <c r="E254" i="1"/>
  <c r="J51" i="4"/>
  <c r="J56" i="4" s="1"/>
  <c r="L49" i="4"/>
  <c r="L51" i="4" s="1"/>
  <c r="K9" i="4"/>
  <c r="E65" i="1"/>
  <c r="H617" i="2"/>
  <c r="H619" i="2" s="1"/>
  <c r="H620" i="2" s="1"/>
  <c r="H639" i="2"/>
  <c r="E334" i="2"/>
  <c r="E335" i="2" s="1"/>
  <c r="F897" i="1"/>
  <c r="F891" i="1"/>
  <c r="F894" i="1" s="1"/>
  <c r="F895" i="1" s="1"/>
  <c r="C724" i="1"/>
  <c r="C727" i="1" s="1"/>
  <c r="C728" i="1" s="1"/>
  <c r="C730" i="1"/>
  <c r="I608" i="1"/>
  <c r="V44" i="4" s="1"/>
  <c r="I601" i="1"/>
  <c r="I604" i="1" s="1"/>
  <c r="I605" i="1" s="1"/>
  <c r="J25" i="4"/>
  <c r="L25" i="4" s="1"/>
  <c r="E529" i="1"/>
  <c r="E90" i="4"/>
  <c r="F90" i="4" s="1"/>
  <c r="R90" i="4" s="1"/>
  <c r="U90" i="4" s="1"/>
  <c r="C407" i="1"/>
  <c r="H710" i="2"/>
  <c r="H508" i="2"/>
  <c r="H509" i="2" s="1"/>
  <c r="G506" i="2"/>
  <c r="G508" i="2" s="1"/>
  <c r="G509" i="2" s="1"/>
  <c r="J509" i="2" s="1"/>
  <c r="G545" i="2"/>
  <c r="I488" i="2"/>
  <c r="I489" i="2" s="1"/>
  <c r="G689" i="2"/>
  <c r="G690" i="2" s="1"/>
  <c r="J690" i="2" s="1"/>
  <c r="G669" i="2"/>
  <c r="G672" i="2" s="1"/>
  <c r="G673" i="2" s="1"/>
  <c r="J673" i="2" s="1"/>
  <c r="F710" i="2"/>
  <c r="G639" i="2"/>
  <c r="G616" i="2"/>
  <c r="G619" i="2" s="1"/>
  <c r="G620" i="2" s="1"/>
  <c r="I580" i="2"/>
  <c r="I582" i="2" s="1"/>
  <c r="I583" i="2" s="1"/>
  <c r="I603" i="2"/>
  <c r="H485" i="2"/>
  <c r="H488" i="2" s="1"/>
  <c r="H489" i="2" s="1"/>
  <c r="J489" i="2" s="1"/>
  <c r="C402" i="2"/>
  <c r="C403" i="2" s="1"/>
  <c r="I399" i="2"/>
  <c r="I402" i="2" s="1"/>
  <c r="I403" i="2" s="1"/>
  <c r="F365" i="2"/>
  <c r="F368" i="2" s="1"/>
  <c r="F369" i="2" s="1"/>
  <c r="I334" i="2"/>
  <c r="I335" i="2" s="1"/>
  <c r="H455" i="2"/>
  <c r="G318" i="2"/>
  <c r="G263" i="2"/>
  <c r="G264" i="2" s="1"/>
  <c r="G229" i="2"/>
  <c r="G230" i="2" s="1"/>
  <c r="C210" i="2"/>
  <c r="C213" i="2" s="1"/>
  <c r="C214" i="2" s="1"/>
  <c r="D194" i="2"/>
  <c r="D196" i="2" s="1"/>
  <c r="D197" i="2" s="1"/>
  <c r="J197" i="2" s="1"/>
  <c r="F179" i="2"/>
  <c r="F180" i="2" s="1"/>
  <c r="J180" i="2" s="1"/>
  <c r="I102" i="2"/>
  <c r="I103" i="2" s="1"/>
  <c r="I34" i="2"/>
  <c r="I35" i="2" s="1"/>
  <c r="H17" i="2"/>
  <c r="H18" i="2" s="1"/>
  <c r="E898" i="1"/>
  <c r="J59" i="4" s="1"/>
  <c r="E891" i="1"/>
  <c r="E894" i="1" s="1"/>
  <c r="E895" i="1" s="1"/>
  <c r="D891" i="1"/>
  <c r="D894" i="1" s="1"/>
  <c r="D895" i="1" s="1"/>
  <c r="D897" i="1"/>
  <c r="G869" i="1"/>
  <c r="G872" i="1" s="1"/>
  <c r="G873" i="1" s="1"/>
  <c r="D851" i="1"/>
  <c r="D852" i="1" s="1"/>
  <c r="X39" i="4"/>
  <c r="H828" i="1"/>
  <c r="H831" i="1" s="1"/>
  <c r="H832" i="1" s="1"/>
  <c r="I19" i="4"/>
  <c r="F813" i="1"/>
  <c r="F807" i="1"/>
  <c r="F810" i="1" s="1"/>
  <c r="F811" i="1" s="1"/>
  <c r="J811" i="1" s="1"/>
  <c r="I765" i="1"/>
  <c r="I768" i="1" s="1"/>
  <c r="I769" i="1" s="1"/>
  <c r="D724" i="1"/>
  <c r="D727" i="1" s="1"/>
  <c r="D728" i="1" s="1"/>
  <c r="E684" i="1"/>
  <c r="E687" i="1" s="1"/>
  <c r="E688" i="1" s="1"/>
  <c r="N58" i="4"/>
  <c r="O58" i="4" s="1"/>
  <c r="F670" i="1"/>
  <c r="W53" i="4"/>
  <c r="I630" i="1"/>
  <c r="K26" i="4"/>
  <c r="E569" i="1"/>
  <c r="E26" i="4"/>
  <c r="C569" i="1"/>
  <c r="F26" i="4"/>
  <c r="R26" i="4" s="1"/>
  <c r="U26" i="4" s="1"/>
  <c r="Y26" i="4"/>
  <c r="T95" i="4"/>
  <c r="H449" i="1"/>
  <c r="I94" i="4"/>
  <c r="G97" i="4"/>
  <c r="Y94" i="4"/>
  <c r="N85" i="4"/>
  <c r="F363" i="1"/>
  <c r="F358" i="1"/>
  <c r="F359" i="1" s="1"/>
  <c r="K85" i="4"/>
  <c r="L85" i="4" s="1"/>
  <c r="E363" i="1"/>
  <c r="J67" i="4"/>
  <c r="S109" i="4"/>
  <c r="L9" i="4"/>
  <c r="F455" i="2"/>
  <c r="N54" i="4"/>
  <c r="F877" i="1"/>
  <c r="W24" i="4"/>
  <c r="I773" i="1"/>
  <c r="I12" i="4"/>
  <c r="W58" i="4"/>
  <c r="X58" i="4" s="1"/>
  <c r="I670" i="1"/>
  <c r="E76" i="4"/>
  <c r="H601" i="1"/>
  <c r="H604" i="1" s="1"/>
  <c r="H605" i="1" s="1"/>
  <c r="H607" i="1"/>
  <c r="T90" i="4"/>
  <c r="H407" i="1"/>
  <c r="E18" i="4"/>
  <c r="C149" i="1"/>
  <c r="E710" i="2"/>
  <c r="I652" i="2"/>
  <c r="I655" i="2" s="1"/>
  <c r="I656" i="2" s="1"/>
  <c r="E617" i="2"/>
  <c r="E619" i="2" s="1"/>
  <c r="E620" i="2" s="1"/>
  <c r="J620" i="2" s="1"/>
  <c r="E639" i="2"/>
  <c r="H580" i="2"/>
  <c r="H603" i="2"/>
  <c r="D565" i="2"/>
  <c r="D559" i="2"/>
  <c r="H432" i="2"/>
  <c r="H435" i="2" s="1"/>
  <c r="H436" i="2" s="1"/>
  <c r="C382" i="2"/>
  <c r="C385" i="2" s="1"/>
  <c r="C386" i="2" s="1"/>
  <c r="E365" i="2"/>
  <c r="E368" i="2" s="1"/>
  <c r="E369" i="2" s="1"/>
  <c r="F349" i="2"/>
  <c r="F351" i="2" s="1"/>
  <c r="F352" i="2" s="1"/>
  <c r="E351" i="2"/>
  <c r="E352" i="2" s="1"/>
  <c r="H277" i="2"/>
  <c r="H280" i="2" s="1"/>
  <c r="H281" i="2" s="1"/>
  <c r="H102" i="2"/>
  <c r="H103" i="2" s="1"/>
  <c r="G834" i="1"/>
  <c r="G828" i="1"/>
  <c r="G831" i="1" s="1"/>
  <c r="G832" i="1" s="1"/>
  <c r="D789" i="1"/>
  <c r="D790" i="1" s="1"/>
  <c r="J790" i="1" s="1"/>
  <c r="X24" i="4"/>
  <c r="H765" i="1"/>
  <c r="H768" i="1" s="1"/>
  <c r="H769" i="1" s="1"/>
  <c r="H771" i="1"/>
  <c r="K100" i="4"/>
  <c r="E752" i="1"/>
  <c r="C747" i="1"/>
  <c r="C748" i="1" s="1"/>
  <c r="J748" i="1" s="1"/>
  <c r="W7" i="4"/>
  <c r="I692" i="1"/>
  <c r="L7" i="4"/>
  <c r="D684" i="1"/>
  <c r="D687" i="1" s="1"/>
  <c r="D688" i="1" s="1"/>
  <c r="D690" i="1"/>
  <c r="H665" i="1"/>
  <c r="H666" i="1" s="1"/>
  <c r="G648" i="1"/>
  <c r="G642" i="1"/>
  <c r="G645" i="1" s="1"/>
  <c r="G646" i="1" s="1"/>
  <c r="T53" i="4"/>
  <c r="H630" i="1"/>
  <c r="N38" i="4"/>
  <c r="O38" i="4" s="1"/>
  <c r="F589" i="1"/>
  <c r="H521" i="1"/>
  <c r="H524" i="1" s="1"/>
  <c r="H525" i="1" s="1"/>
  <c r="J32" i="4"/>
  <c r="F315" i="1"/>
  <c r="F316" i="1" s="1"/>
  <c r="J79" i="4"/>
  <c r="L79" i="4" s="1"/>
  <c r="E280" i="1"/>
  <c r="G67" i="4"/>
  <c r="C189" i="1"/>
  <c r="C183" i="1"/>
  <c r="C186" i="1" s="1"/>
  <c r="C187" i="1" s="1"/>
  <c r="J187" i="1" s="1"/>
  <c r="H106" i="1"/>
  <c r="H103" i="1"/>
  <c r="H104" i="1" s="1"/>
  <c r="H9" i="4"/>
  <c r="D65" i="1"/>
  <c r="C402" i="1"/>
  <c r="C403" i="1" s="1"/>
  <c r="W90" i="4"/>
  <c r="I407" i="1"/>
  <c r="G378" i="1"/>
  <c r="G381" i="1" s="1"/>
  <c r="G382" i="1" s="1"/>
  <c r="G384" i="1"/>
  <c r="D358" i="1"/>
  <c r="D359" i="1" s="1"/>
  <c r="E84" i="4"/>
  <c r="F84" i="4" s="1"/>
  <c r="C342" i="1"/>
  <c r="H79" i="4"/>
  <c r="I79" i="4" s="1"/>
  <c r="D280" i="1"/>
  <c r="E70" i="4"/>
  <c r="F70" i="4" s="1"/>
  <c r="R70" i="4" s="1"/>
  <c r="U70" i="4" s="1"/>
  <c r="C254" i="1"/>
  <c r="P64" i="4"/>
  <c r="G212" i="1"/>
  <c r="O63" i="4"/>
  <c r="M67" i="4"/>
  <c r="N49" i="4"/>
  <c r="N51" i="4" s="1"/>
  <c r="F170" i="1"/>
  <c r="F165" i="1"/>
  <c r="F166" i="1" s="1"/>
  <c r="I148" i="1"/>
  <c r="V18" i="4" s="1"/>
  <c r="X18" i="4" s="1"/>
  <c r="I141" i="1"/>
  <c r="I144" i="1" s="1"/>
  <c r="I145" i="1" s="1"/>
  <c r="H141" i="1"/>
  <c r="H144" i="1" s="1"/>
  <c r="H145" i="1" s="1"/>
  <c r="H147" i="1"/>
  <c r="H127" i="1"/>
  <c r="H124" i="1"/>
  <c r="H125" i="1" s="1"/>
  <c r="I100" i="1"/>
  <c r="I103" i="1" s="1"/>
  <c r="I104" i="1" s="1"/>
  <c r="I106" i="1"/>
  <c r="P109" i="4"/>
  <c r="N11" i="4"/>
  <c r="D84" i="1"/>
  <c r="D78" i="1"/>
  <c r="D81" i="1" s="1"/>
  <c r="D82" i="1" s="1"/>
  <c r="P102" i="4"/>
  <c r="H382" i="2"/>
  <c r="H385" i="2" s="1"/>
  <c r="H386" i="2" s="1"/>
  <c r="D294" i="2"/>
  <c r="D297" i="2" s="1"/>
  <c r="D298" i="2" s="1"/>
  <c r="J298" i="2" s="1"/>
  <c r="F277" i="2"/>
  <c r="F280" i="2" s="1"/>
  <c r="F281" i="2" s="1"/>
  <c r="G176" i="2"/>
  <c r="G179" i="2" s="1"/>
  <c r="G180" i="2" s="1"/>
  <c r="C51" i="2"/>
  <c r="C52" i="2" s="1"/>
  <c r="D124" i="2"/>
  <c r="D15" i="2"/>
  <c r="D17" i="2" s="1"/>
  <c r="D18" i="2" s="1"/>
  <c r="J18" i="2" s="1"/>
  <c r="D877" i="1"/>
  <c r="O54" i="4"/>
  <c r="E869" i="1"/>
  <c r="E872" i="1" s="1"/>
  <c r="E873" i="1" s="1"/>
  <c r="E875" i="1"/>
  <c r="F45" i="4"/>
  <c r="R45" i="4" s="1"/>
  <c r="U45" i="4" s="1"/>
  <c r="Y45" i="4"/>
  <c r="C851" i="1"/>
  <c r="C852" i="1" s="1"/>
  <c r="Y19" i="4"/>
  <c r="I807" i="1"/>
  <c r="I810" i="1" s="1"/>
  <c r="I811" i="1" s="1"/>
  <c r="E771" i="1"/>
  <c r="O100" i="4"/>
  <c r="C750" i="1"/>
  <c r="I727" i="1"/>
  <c r="I728" i="1" s="1"/>
  <c r="F704" i="1"/>
  <c r="F707" i="1" s="1"/>
  <c r="F708" i="1" s="1"/>
  <c r="F7" i="4"/>
  <c r="R7" i="4" s="1"/>
  <c r="U7" i="4" s="1"/>
  <c r="Y7" i="4"/>
  <c r="C670" i="1"/>
  <c r="E668" i="1"/>
  <c r="Q58" i="4"/>
  <c r="G670" i="1"/>
  <c r="I645" i="1"/>
  <c r="I646" i="1" s="1"/>
  <c r="D630" i="1"/>
  <c r="F628" i="1"/>
  <c r="E607" i="1"/>
  <c r="L38" i="4"/>
  <c r="H38" i="4"/>
  <c r="D589" i="1"/>
  <c r="F561" i="1"/>
  <c r="F564" i="1" s="1"/>
  <c r="F565" i="1" s="1"/>
  <c r="F567" i="1"/>
  <c r="G501" i="1"/>
  <c r="G504" i="1" s="1"/>
  <c r="G505" i="1" s="1"/>
  <c r="C488" i="1"/>
  <c r="D30" i="4" s="1"/>
  <c r="H30" i="4"/>
  <c r="H32" i="4" s="1"/>
  <c r="D489" i="1"/>
  <c r="F427" i="1"/>
  <c r="E85" i="4"/>
  <c r="C363" i="1"/>
  <c r="V82" i="4"/>
  <c r="J80" i="4"/>
  <c r="L80" i="4" s="1"/>
  <c r="E300" i="1"/>
  <c r="W70" i="4"/>
  <c r="O64" i="4"/>
  <c r="N64" i="4"/>
  <c r="F212" i="1"/>
  <c r="D165" i="1"/>
  <c r="D166" i="1" s="1"/>
  <c r="G141" i="1"/>
  <c r="G144" i="1" s="1"/>
  <c r="G145" i="1" s="1"/>
  <c r="G147" i="1"/>
  <c r="C84" i="1"/>
  <c r="C78" i="1"/>
  <c r="C81" i="1" s="1"/>
  <c r="C82" i="1" s="1"/>
  <c r="I65" i="1"/>
  <c r="O99" i="4"/>
  <c r="O102" i="4" s="1"/>
  <c r="G56" i="4"/>
  <c r="G61" i="4" s="1"/>
  <c r="E318" i="2"/>
  <c r="F140" i="2"/>
  <c r="F142" i="2" s="1"/>
  <c r="F143" i="2" s="1"/>
  <c r="F163" i="2"/>
  <c r="T59" i="4"/>
  <c r="H899" i="1"/>
  <c r="I897" i="1"/>
  <c r="W45" i="4"/>
  <c r="I856" i="1"/>
  <c r="X45" i="4"/>
  <c r="H854" i="1"/>
  <c r="H848" i="1"/>
  <c r="H851" i="1" s="1"/>
  <c r="H852" i="1" s="1"/>
  <c r="W19" i="4"/>
  <c r="X19" i="4" s="1"/>
  <c r="I815" i="1"/>
  <c r="H793" i="1"/>
  <c r="S65" i="4" s="1"/>
  <c r="H786" i="1"/>
  <c r="H789" i="1" s="1"/>
  <c r="H790" i="1" s="1"/>
  <c r="G786" i="1"/>
  <c r="G789" i="1" s="1"/>
  <c r="G790" i="1" s="1"/>
  <c r="G792" i="1"/>
  <c r="G727" i="1"/>
  <c r="G728" i="1" s="1"/>
  <c r="Y74" i="4"/>
  <c r="D76" i="4"/>
  <c r="F74" i="4"/>
  <c r="I38" i="4"/>
  <c r="F584" i="1"/>
  <c r="F585" i="1" s="1"/>
  <c r="C587" i="1"/>
  <c r="C581" i="1"/>
  <c r="C584" i="1" s="1"/>
  <c r="C585" i="1" s="1"/>
  <c r="D544" i="1"/>
  <c r="D545" i="1" s="1"/>
  <c r="D28" i="4"/>
  <c r="F23" i="4"/>
  <c r="Y23" i="4"/>
  <c r="D36" i="4"/>
  <c r="D41" i="4" s="1"/>
  <c r="P41" i="4"/>
  <c r="F507" i="1"/>
  <c r="F501" i="1"/>
  <c r="F504" i="1" s="1"/>
  <c r="F505" i="1" s="1"/>
  <c r="E30" i="4"/>
  <c r="C489" i="1"/>
  <c r="Q94" i="4"/>
  <c r="G429" i="1"/>
  <c r="I341" i="1"/>
  <c r="V84" i="4" s="1"/>
  <c r="I334" i="1"/>
  <c r="I337" i="1" s="1"/>
  <c r="I338" i="1" s="1"/>
  <c r="H334" i="1"/>
  <c r="H337" i="1" s="1"/>
  <c r="H338" i="1" s="1"/>
  <c r="H340" i="1"/>
  <c r="I312" i="1"/>
  <c r="I315" i="1" s="1"/>
  <c r="I316" i="1" s="1"/>
  <c r="I318" i="1"/>
  <c r="D298" i="1"/>
  <c r="J72" i="4"/>
  <c r="N63" i="4"/>
  <c r="F191" i="1"/>
  <c r="E170" i="1"/>
  <c r="E49" i="4"/>
  <c r="C170" i="1"/>
  <c r="Q17" i="4"/>
  <c r="G129" i="1"/>
  <c r="X9" i="4"/>
  <c r="Q9" i="4"/>
  <c r="G65" i="1"/>
  <c r="P8" i="4"/>
  <c r="G44" i="1"/>
  <c r="P14" i="4"/>
  <c r="P105" i="4" s="1"/>
  <c r="P110" i="4" s="1"/>
  <c r="P113" i="4" s="1"/>
  <c r="P108" i="4"/>
  <c r="F102" i="2"/>
  <c r="F103" i="2" s="1"/>
  <c r="G17" i="2"/>
  <c r="G18" i="2" s="1"/>
  <c r="Q59" i="4"/>
  <c r="G899" i="1"/>
  <c r="I54" i="4"/>
  <c r="G851" i="1"/>
  <c r="G852" i="1" s="1"/>
  <c r="C834" i="1"/>
  <c r="T19" i="4"/>
  <c r="H815" i="1"/>
  <c r="C751" i="1"/>
  <c r="D100" i="4" s="1"/>
  <c r="I744" i="1"/>
  <c r="I747" i="1" s="1"/>
  <c r="I748" i="1" s="1"/>
  <c r="I750" i="1"/>
  <c r="I707" i="1"/>
  <c r="I708" i="1" s="1"/>
  <c r="Q7" i="4"/>
  <c r="G692" i="1"/>
  <c r="T74" i="4"/>
  <c r="T76" i="4" s="1"/>
  <c r="H650" i="1"/>
  <c r="X53" i="4"/>
  <c r="E628" i="1"/>
  <c r="E622" i="1"/>
  <c r="E625" i="1" s="1"/>
  <c r="E626" i="1" s="1"/>
  <c r="J47" i="4"/>
  <c r="Y38" i="4"/>
  <c r="C541" i="1"/>
  <c r="C544" i="1" s="1"/>
  <c r="C545" i="1" s="1"/>
  <c r="F529" i="1"/>
  <c r="H25" i="4"/>
  <c r="D529" i="1"/>
  <c r="T34" i="4"/>
  <c r="T36" i="4" s="1"/>
  <c r="H509" i="1"/>
  <c r="M36" i="4"/>
  <c r="M41" i="4" s="1"/>
  <c r="E504" i="1"/>
  <c r="E505" i="1" s="1"/>
  <c r="E467" i="1"/>
  <c r="E461" i="1"/>
  <c r="E464" i="1" s="1"/>
  <c r="E465" i="1" s="1"/>
  <c r="V97" i="4"/>
  <c r="G334" i="1"/>
  <c r="G337" i="1" s="1"/>
  <c r="G338" i="1" s="1"/>
  <c r="G340" i="1"/>
  <c r="T78" i="4"/>
  <c r="T82" i="4" s="1"/>
  <c r="H320" i="1"/>
  <c r="E80" i="4"/>
  <c r="C300" i="1"/>
  <c r="K64" i="4"/>
  <c r="L64" i="4" s="1"/>
  <c r="E212" i="1"/>
  <c r="D210" i="1"/>
  <c r="D204" i="1"/>
  <c r="D207" i="1" s="1"/>
  <c r="D208" i="1" s="1"/>
  <c r="K63" i="4"/>
  <c r="L63" i="4" s="1"/>
  <c r="E191" i="1"/>
  <c r="G103" i="1"/>
  <c r="G104" i="1" s="1"/>
  <c r="N16" i="4"/>
  <c r="F108" i="1"/>
  <c r="M8" i="4"/>
  <c r="O8" i="4" s="1"/>
  <c r="F44" i="1"/>
  <c r="M14" i="4"/>
  <c r="O6" i="4"/>
  <c r="J14" i="4"/>
  <c r="J108" i="4"/>
  <c r="D56" i="4"/>
  <c r="D61" i="4" s="1"/>
  <c r="I492" i="2"/>
  <c r="H468" i="2"/>
  <c r="H471" i="2" s="1"/>
  <c r="H472" i="2" s="1"/>
  <c r="J472" i="2" s="1"/>
  <c r="C432" i="2"/>
  <c r="C435" i="2" s="1"/>
  <c r="C436" i="2" s="1"/>
  <c r="J436" i="2" s="1"/>
  <c r="H334" i="2"/>
  <c r="H335" i="2" s="1"/>
  <c r="D455" i="2"/>
  <c r="I314" i="2"/>
  <c r="I315" i="2" s="1"/>
  <c r="I294" i="2"/>
  <c r="I297" i="2" s="1"/>
  <c r="I298" i="2" s="1"/>
  <c r="C277" i="2"/>
  <c r="C280" i="2" s="1"/>
  <c r="C281" i="2" s="1"/>
  <c r="J281" i="2" s="1"/>
  <c r="D226" i="2"/>
  <c r="D229" i="2" s="1"/>
  <c r="D230" i="2" s="1"/>
  <c r="J230" i="2" s="1"/>
  <c r="F210" i="2"/>
  <c r="F213" i="2" s="1"/>
  <c r="F214" i="2" s="1"/>
  <c r="F51" i="2"/>
  <c r="F52" i="2" s="1"/>
  <c r="F17" i="2"/>
  <c r="F18" i="2" s="1"/>
  <c r="G891" i="1"/>
  <c r="G894" i="1" s="1"/>
  <c r="G895" i="1" s="1"/>
  <c r="F848" i="1"/>
  <c r="F851" i="1" s="1"/>
  <c r="F852" i="1" s="1"/>
  <c r="F854" i="1"/>
  <c r="G807" i="1"/>
  <c r="G810" i="1" s="1"/>
  <c r="G811" i="1" s="1"/>
  <c r="G813" i="1"/>
  <c r="D772" i="1"/>
  <c r="G24" i="4" s="1"/>
  <c r="D711" i="1"/>
  <c r="G10" i="4" s="1"/>
  <c r="Y10" i="4" s="1"/>
  <c r="D704" i="1"/>
  <c r="D707" i="1" s="1"/>
  <c r="D708" i="1" s="1"/>
  <c r="C704" i="1"/>
  <c r="C707" i="1" s="1"/>
  <c r="C708" i="1" s="1"/>
  <c r="C710" i="1"/>
  <c r="D662" i="1"/>
  <c r="D665" i="1" s="1"/>
  <c r="D666" i="1" s="1"/>
  <c r="J666" i="1" s="1"/>
  <c r="D668" i="1"/>
  <c r="I44" i="4"/>
  <c r="G47" i="4"/>
  <c r="E604" i="1"/>
  <c r="E605" i="1" s="1"/>
  <c r="D564" i="1"/>
  <c r="D565" i="1" s="1"/>
  <c r="C564" i="1"/>
  <c r="C565" i="1" s="1"/>
  <c r="V28" i="4"/>
  <c r="X23" i="4"/>
  <c r="H547" i="1"/>
  <c r="H541" i="1"/>
  <c r="H544" i="1" s="1"/>
  <c r="H545" i="1" s="1"/>
  <c r="E25" i="4"/>
  <c r="F25" i="4" s="1"/>
  <c r="R25" i="4" s="1"/>
  <c r="U25" i="4" s="1"/>
  <c r="C529" i="1"/>
  <c r="E507" i="1"/>
  <c r="F484" i="1"/>
  <c r="F485" i="1" s="1"/>
  <c r="D467" i="1"/>
  <c r="D461" i="1"/>
  <c r="D464" i="1" s="1"/>
  <c r="D465" i="1" s="1"/>
  <c r="F444" i="1"/>
  <c r="F445" i="1" s="1"/>
  <c r="S97" i="4"/>
  <c r="P97" i="4"/>
  <c r="E427" i="1"/>
  <c r="E424" i="1"/>
  <c r="E425" i="1" s="1"/>
  <c r="Y90" i="4"/>
  <c r="D92" i="4"/>
  <c r="Q78" i="4"/>
  <c r="G320" i="1"/>
  <c r="C299" i="1"/>
  <c r="D80" i="4" s="1"/>
  <c r="D82" i="4" s="1"/>
  <c r="C292" i="1"/>
  <c r="C295" i="1" s="1"/>
  <c r="C296" i="1" s="1"/>
  <c r="W80" i="4"/>
  <c r="X80" i="4" s="1"/>
  <c r="I300" i="1"/>
  <c r="C278" i="1"/>
  <c r="C272" i="1"/>
  <c r="C275" i="1" s="1"/>
  <c r="C276" i="1" s="1"/>
  <c r="J276" i="1" s="1"/>
  <c r="G246" i="1"/>
  <c r="G249" i="1" s="1"/>
  <c r="G250" i="1" s="1"/>
  <c r="G252" i="1"/>
  <c r="C210" i="1"/>
  <c r="C204" i="1"/>
  <c r="C207" i="1" s="1"/>
  <c r="C208" i="1" s="1"/>
  <c r="H63" i="4"/>
  <c r="I63" i="4" s="1"/>
  <c r="D191" i="1"/>
  <c r="G18" i="4"/>
  <c r="I18" i="4" s="1"/>
  <c r="D149" i="1"/>
  <c r="N9" i="4"/>
  <c r="F65" i="1"/>
  <c r="H82" i="2"/>
  <c r="H85" i="2" s="1"/>
  <c r="H86" i="2" s="1"/>
  <c r="E848" i="1"/>
  <c r="E851" i="1" s="1"/>
  <c r="E852" i="1" s="1"/>
  <c r="H744" i="1"/>
  <c r="H747" i="1" s="1"/>
  <c r="H748" i="1" s="1"/>
  <c r="L10" i="4"/>
  <c r="C642" i="1"/>
  <c r="C645" i="1" s="1"/>
  <c r="C646" i="1" s="1"/>
  <c r="P47" i="4"/>
  <c r="F607" i="1"/>
  <c r="X38" i="4"/>
  <c r="L26" i="4"/>
  <c r="D567" i="1"/>
  <c r="P28" i="4"/>
  <c r="G527" i="1"/>
  <c r="G521" i="1"/>
  <c r="G524" i="1" s="1"/>
  <c r="G525" i="1" s="1"/>
  <c r="J525" i="1" s="1"/>
  <c r="F487" i="1"/>
  <c r="E447" i="1"/>
  <c r="J97" i="4"/>
  <c r="E407" i="1"/>
  <c r="G405" i="1"/>
  <c r="H399" i="1"/>
  <c r="H402" i="1" s="1"/>
  <c r="H403" i="1" s="1"/>
  <c r="D384" i="1"/>
  <c r="C358" i="1"/>
  <c r="C359" i="1" s="1"/>
  <c r="I355" i="1"/>
  <c r="I358" i="1" s="1"/>
  <c r="I359" i="1" s="1"/>
  <c r="E340" i="1"/>
  <c r="J82" i="4"/>
  <c r="F295" i="1"/>
  <c r="F296" i="1" s="1"/>
  <c r="I292" i="1"/>
  <c r="I295" i="1" s="1"/>
  <c r="I296" i="1" s="1"/>
  <c r="F280" i="1"/>
  <c r="I278" i="1"/>
  <c r="I272" i="1"/>
  <c r="I275" i="1" s="1"/>
  <c r="I276" i="1" s="1"/>
  <c r="H233" i="1"/>
  <c r="D72" i="4"/>
  <c r="H212" i="1"/>
  <c r="Y64" i="4"/>
  <c r="P21" i="4"/>
  <c r="D109" i="4"/>
  <c r="H65" i="1"/>
  <c r="I8" i="4"/>
  <c r="E16" i="1"/>
  <c r="E19" i="1" s="1"/>
  <c r="E20" i="1" s="1"/>
  <c r="E22" i="1"/>
  <c r="F59" i="4"/>
  <c r="R59" i="4" s="1"/>
  <c r="U59" i="4" s="1"/>
  <c r="O65" i="4"/>
  <c r="E792" i="1"/>
  <c r="I710" i="1"/>
  <c r="M28" i="4"/>
  <c r="O23" i="4"/>
  <c r="W34" i="4"/>
  <c r="W36" i="4" s="1"/>
  <c r="I509" i="1"/>
  <c r="M32" i="4"/>
  <c r="E487" i="1"/>
  <c r="E481" i="1"/>
  <c r="E484" i="1" s="1"/>
  <c r="E485" i="1" s="1"/>
  <c r="J485" i="1" s="1"/>
  <c r="O95" i="4"/>
  <c r="I429" i="1"/>
  <c r="W85" i="4"/>
  <c r="X85" i="4" s="1"/>
  <c r="I363" i="1"/>
  <c r="H355" i="1"/>
  <c r="H358" i="1" s="1"/>
  <c r="H359" i="1" s="1"/>
  <c r="H361" i="1"/>
  <c r="I78" i="4"/>
  <c r="G82" i="4"/>
  <c r="I70" i="4"/>
  <c r="E249" i="1"/>
  <c r="E250" i="1" s="1"/>
  <c r="W69" i="4"/>
  <c r="I233" i="1"/>
  <c r="I204" i="1"/>
  <c r="I207" i="1" s="1"/>
  <c r="I208" i="1" s="1"/>
  <c r="I210" i="1"/>
  <c r="C165" i="1"/>
  <c r="C166" i="1" s="1"/>
  <c r="E147" i="1"/>
  <c r="M21" i="4"/>
  <c r="O16" i="4"/>
  <c r="F103" i="1"/>
  <c r="F104" i="1" s="1"/>
  <c r="H16" i="4"/>
  <c r="D108" i="1"/>
  <c r="I9" i="4"/>
  <c r="C57" i="1"/>
  <c r="C60" i="1" s="1"/>
  <c r="C61" i="1" s="1"/>
  <c r="D22" i="1"/>
  <c r="D16" i="1"/>
  <c r="D19" i="1" s="1"/>
  <c r="D20" i="1" s="1"/>
  <c r="E6" i="4"/>
  <c r="C891" i="1"/>
  <c r="C894" i="1" s="1"/>
  <c r="C895" i="1" s="1"/>
  <c r="C875" i="1"/>
  <c r="D869" i="1"/>
  <c r="D872" i="1" s="1"/>
  <c r="D873" i="1" s="1"/>
  <c r="J873" i="1" s="1"/>
  <c r="D854" i="1"/>
  <c r="D834" i="1"/>
  <c r="F786" i="1"/>
  <c r="F789" i="1" s="1"/>
  <c r="F790" i="1" s="1"/>
  <c r="F771" i="1"/>
  <c r="G765" i="1"/>
  <c r="G768" i="1" s="1"/>
  <c r="G769" i="1" s="1"/>
  <c r="J769" i="1" s="1"/>
  <c r="G750" i="1"/>
  <c r="C684" i="1"/>
  <c r="C687" i="1" s="1"/>
  <c r="C688" i="1" s="1"/>
  <c r="J688" i="1" s="1"/>
  <c r="G76" i="4"/>
  <c r="D629" i="1"/>
  <c r="G53" i="4" s="1"/>
  <c r="I53" i="4" s="1"/>
  <c r="J36" i="4"/>
  <c r="D102" i="4"/>
  <c r="Y99" i="4"/>
  <c r="X95" i="4"/>
  <c r="D441" i="1"/>
  <c r="D444" i="1" s="1"/>
  <c r="D445" i="1" s="1"/>
  <c r="J445" i="1" s="1"/>
  <c r="D447" i="1"/>
  <c r="T94" i="4"/>
  <c r="T97" i="4" s="1"/>
  <c r="H429" i="1"/>
  <c r="X90" i="4"/>
  <c r="F399" i="1"/>
  <c r="F402" i="1" s="1"/>
  <c r="F403" i="1" s="1"/>
  <c r="F405" i="1"/>
  <c r="J92" i="4"/>
  <c r="G361" i="1"/>
  <c r="G355" i="1"/>
  <c r="G358" i="1" s="1"/>
  <c r="G359" i="1" s="1"/>
  <c r="J87" i="4"/>
  <c r="Y78" i="4"/>
  <c r="E315" i="1"/>
  <c r="E316" i="1" s="1"/>
  <c r="G292" i="1"/>
  <c r="G295" i="1" s="1"/>
  <c r="G296" i="1" s="1"/>
  <c r="G298" i="1"/>
  <c r="Q69" i="4"/>
  <c r="G233" i="1"/>
  <c r="S67" i="4"/>
  <c r="W49" i="4"/>
  <c r="W51" i="4" s="1"/>
  <c r="I170" i="1"/>
  <c r="X49" i="4"/>
  <c r="X51" i="4" s="1"/>
  <c r="V51" i="4"/>
  <c r="V56" i="4" s="1"/>
  <c r="V61" i="4" s="1"/>
  <c r="H162" i="1"/>
  <c r="H165" i="1" s="1"/>
  <c r="H166" i="1" s="1"/>
  <c r="H168" i="1"/>
  <c r="E124" i="1"/>
  <c r="E125" i="1" s="1"/>
  <c r="I16" i="4"/>
  <c r="E100" i="1"/>
  <c r="E103" i="1" s="1"/>
  <c r="E104" i="1" s="1"/>
  <c r="Y9" i="4"/>
  <c r="K8" i="4"/>
  <c r="L8" i="4" s="1"/>
  <c r="E44" i="1"/>
  <c r="I875" i="1"/>
  <c r="E835" i="1"/>
  <c r="E814" i="1"/>
  <c r="J19" i="4" s="1"/>
  <c r="L19" i="4" s="1"/>
  <c r="C813" i="1"/>
  <c r="E786" i="1"/>
  <c r="E789" i="1" s="1"/>
  <c r="E790" i="1" s="1"/>
  <c r="D771" i="1"/>
  <c r="I731" i="1"/>
  <c r="V12" i="4" s="1"/>
  <c r="X12" i="4" s="1"/>
  <c r="G730" i="1"/>
  <c r="X7" i="4"/>
  <c r="H690" i="1"/>
  <c r="F58" i="4"/>
  <c r="R58" i="4" s="1"/>
  <c r="U58" i="4" s="1"/>
  <c r="F608" i="1"/>
  <c r="M44" i="4" s="1"/>
  <c r="C601" i="1"/>
  <c r="C604" i="1" s="1"/>
  <c r="C605" i="1" s="1"/>
  <c r="J605" i="1" s="1"/>
  <c r="I584" i="1"/>
  <c r="I585" i="1" s="1"/>
  <c r="I567" i="1"/>
  <c r="I561" i="1"/>
  <c r="I564" i="1" s="1"/>
  <c r="I565" i="1" s="1"/>
  <c r="G544" i="1"/>
  <c r="G545" i="1" s="1"/>
  <c r="O25" i="4"/>
  <c r="S41" i="4"/>
  <c r="G507" i="1"/>
  <c r="I467" i="1"/>
  <c r="S102" i="4"/>
  <c r="G467" i="1"/>
  <c r="G421" i="1"/>
  <c r="G424" i="1" s="1"/>
  <c r="G425" i="1" s="1"/>
  <c r="G92" i="4"/>
  <c r="I378" i="1"/>
  <c r="I381" i="1" s="1"/>
  <c r="I382" i="1" s="1"/>
  <c r="G87" i="4"/>
  <c r="I84" i="4"/>
  <c r="E337" i="1"/>
  <c r="E338" i="1" s="1"/>
  <c r="O79" i="4"/>
  <c r="I253" i="1"/>
  <c r="V70" i="4" s="1"/>
  <c r="I246" i="1"/>
  <c r="I249" i="1" s="1"/>
  <c r="I250" i="1" s="1"/>
  <c r="H246" i="1"/>
  <c r="H249" i="1" s="1"/>
  <c r="H250" i="1" s="1"/>
  <c r="H252" i="1"/>
  <c r="P67" i="4"/>
  <c r="S56" i="4"/>
  <c r="S61" i="4" s="1"/>
  <c r="G168" i="1"/>
  <c r="G162" i="1"/>
  <c r="G165" i="1" s="1"/>
  <c r="G166" i="1" s="1"/>
  <c r="F17" i="4"/>
  <c r="R17" i="4" s="1"/>
  <c r="U17" i="4" s="1"/>
  <c r="Y17" i="4"/>
  <c r="D21" i="4"/>
  <c r="F16" i="4"/>
  <c r="Y16" i="4"/>
  <c r="D100" i="1"/>
  <c r="D103" i="1" s="1"/>
  <c r="D104" i="1" s="1"/>
  <c r="G84" i="1"/>
  <c r="O9" i="4"/>
  <c r="D57" i="1"/>
  <c r="D60" i="1" s="1"/>
  <c r="D61" i="1" s="1"/>
  <c r="H8" i="4"/>
  <c r="D44" i="1"/>
  <c r="C23" i="1"/>
  <c r="D6" i="4" s="1"/>
  <c r="C16" i="1"/>
  <c r="C19" i="1" s="1"/>
  <c r="C20" i="1" s="1"/>
  <c r="J20" i="1" s="1"/>
  <c r="W6" i="4"/>
  <c r="I24" i="1"/>
  <c r="W94" i="4"/>
  <c r="W97" i="4" s="1"/>
  <c r="C447" i="1"/>
  <c r="P87" i="4"/>
  <c r="F340" i="1"/>
  <c r="F252" i="1"/>
  <c r="F147" i="1"/>
  <c r="I57" i="1"/>
  <c r="I60" i="1" s="1"/>
  <c r="I61" i="1" s="1"/>
  <c r="E39" i="1"/>
  <c r="E40" i="1" s="1"/>
  <c r="N6" i="4"/>
  <c r="F24" i="1"/>
  <c r="M97" i="4"/>
  <c r="X69" i="4"/>
  <c r="V72" i="4"/>
  <c r="X17" i="4"/>
  <c r="D39" i="1"/>
  <c r="D40" i="1" s="1"/>
  <c r="C448" i="1"/>
  <c r="D95" i="4" s="1"/>
  <c r="C427" i="1"/>
  <c r="D421" i="1"/>
  <c r="D424" i="1" s="1"/>
  <c r="D425" i="1" s="1"/>
  <c r="J425" i="1" s="1"/>
  <c r="E384" i="1"/>
  <c r="F318" i="1"/>
  <c r="G312" i="1"/>
  <c r="G315" i="1" s="1"/>
  <c r="G316" i="1" s="1"/>
  <c r="M82" i="4"/>
  <c r="E318" i="1"/>
  <c r="H279" i="1"/>
  <c r="S72" i="4"/>
  <c r="F231" i="1"/>
  <c r="G225" i="1"/>
  <c r="G228" i="1" s="1"/>
  <c r="G229" i="1" s="1"/>
  <c r="E231" i="1"/>
  <c r="H189" i="1"/>
  <c r="P56" i="4"/>
  <c r="P61" i="4" s="1"/>
  <c r="F127" i="1"/>
  <c r="G121" i="1"/>
  <c r="G124" i="1" s="1"/>
  <c r="G125" i="1" s="1"/>
  <c r="J125" i="1" s="1"/>
  <c r="E127" i="1"/>
  <c r="V21" i="4"/>
  <c r="H84" i="1"/>
  <c r="C36" i="1"/>
  <c r="C39" i="1" s="1"/>
  <c r="C40" i="1" s="1"/>
  <c r="I42" i="1"/>
  <c r="I36" i="1"/>
  <c r="I39" i="1" s="1"/>
  <c r="I40" i="1" s="1"/>
  <c r="G22" i="1"/>
  <c r="H441" i="1"/>
  <c r="H444" i="1" s="1"/>
  <c r="H445" i="1" s="1"/>
  <c r="F385" i="1"/>
  <c r="F362" i="1"/>
  <c r="M85" i="4" s="1"/>
  <c r="D361" i="1"/>
  <c r="F341" i="1"/>
  <c r="M84" i="4" s="1"/>
  <c r="C334" i="1"/>
  <c r="C337" i="1" s="1"/>
  <c r="C338" i="1" s="1"/>
  <c r="O80" i="4"/>
  <c r="F253" i="1"/>
  <c r="M70" i="4" s="1"/>
  <c r="Y70" i="4" s="1"/>
  <c r="C246" i="1"/>
  <c r="C249" i="1" s="1"/>
  <c r="C250" i="1" s="1"/>
  <c r="J250" i="1" s="1"/>
  <c r="I190" i="1"/>
  <c r="V63" i="4" s="1"/>
  <c r="Y63" i="4" s="1"/>
  <c r="F169" i="1"/>
  <c r="M49" i="4" s="1"/>
  <c r="Y49" i="4" s="1"/>
  <c r="D168" i="1"/>
  <c r="F148" i="1"/>
  <c r="M18" i="4" s="1"/>
  <c r="C141" i="1"/>
  <c r="C144" i="1" s="1"/>
  <c r="C145" i="1" s="1"/>
  <c r="S21" i="4"/>
  <c r="I85" i="1"/>
  <c r="E8" i="4"/>
  <c r="F8" i="4" s="1"/>
  <c r="R8" i="4" s="1"/>
  <c r="U8" i="4" s="1"/>
  <c r="C44" i="1"/>
  <c r="S14" i="4"/>
  <c r="S108" i="4"/>
  <c r="G57" i="1"/>
  <c r="G60" i="1" s="1"/>
  <c r="G61" i="1" s="1"/>
  <c r="G14" i="4"/>
  <c r="X6" i="4"/>
  <c r="V108" i="4"/>
  <c r="H22" i="1"/>
  <c r="H39" i="1"/>
  <c r="H40" i="1" s="1"/>
  <c r="R84" i="4" l="1"/>
  <c r="F92" i="4"/>
  <c r="R89" i="4"/>
  <c r="Y51" i="4"/>
  <c r="Y67" i="4"/>
  <c r="Q99" i="4"/>
  <c r="G469" i="1"/>
  <c r="W26" i="4"/>
  <c r="X26" i="4" s="1"/>
  <c r="I569" i="1"/>
  <c r="H89" i="4"/>
  <c r="Z89" i="4" s="1"/>
  <c r="Z92" i="4" s="1"/>
  <c r="D386" i="1"/>
  <c r="E39" i="4"/>
  <c r="C836" i="1"/>
  <c r="H80" i="4"/>
  <c r="D300" i="1"/>
  <c r="W30" i="4"/>
  <c r="I489" i="1"/>
  <c r="T25" i="4"/>
  <c r="H529" i="1"/>
  <c r="Q95" i="4"/>
  <c r="G449" i="1"/>
  <c r="K17" i="4"/>
  <c r="L17" i="4" s="1"/>
  <c r="E129" i="1"/>
  <c r="J104" i="1"/>
  <c r="N24" i="4"/>
  <c r="O24" i="4" s="1"/>
  <c r="O28" i="4" s="1"/>
  <c r="F773" i="1"/>
  <c r="K6" i="4"/>
  <c r="E24" i="1"/>
  <c r="J545" i="1"/>
  <c r="E51" i="4"/>
  <c r="E56" i="4" s="1"/>
  <c r="E61" i="4" s="1"/>
  <c r="Q65" i="4"/>
  <c r="Q67" i="4" s="1"/>
  <c r="G794" i="1"/>
  <c r="T16" i="4"/>
  <c r="H108" i="1"/>
  <c r="J143" i="2"/>
  <c r="E82" i="4"/>
  <c r="H95" i="4"/>
  <c r="I95" i="4" s="1"/>
  <c r="D449" i="1"/>
  <c r="Q90" i="4"/>
  <c r="G407" i="1"/>
  <c r="H23" i="4"/>
  <c r="D549" i="1"/>
  <c r="N39" i="4"/>
  <c r="O39" i="4" s="1"/>
  <c r="F836" i="1"/>
  <c r="K23" i="4"/>
  <c r="E549" i="1"/>
  <c r="Y95" i="4"/>
  <c r="J28" i="4"/>
  <c r="K18" i="4"/>
  <c r="L18" i="4" s="1"/>
  <c r="E149" i="1"/>
  <c r="H64" i="4"/>
  <c r="I64" i="4" s="1"/>
  <c r="I67" i="4" s="1"/>
  <c r="D212" i="1"/>
  <c r="E63" i="4"/>
  <c r="C191" i="1"/>
  <c r="H7" i="4"/>
  <c r="I7" i="4" s="1"/>
  <c r="D692" i="1"/>
  <c r="Q44" i="4"/>
  <c r="Q47" i="4" s="1"/>
  <c r="G609" i="1"/>
  <c r="Y12" i="4"/>
  <c r="I342" i="1"/>
  <c r="T89" i="4"/>
  <c r="T92" i="4" s="1"/>
  <c r="H386" i="1"/>
  <c r="W63" i="4"/>
  <c r="I191" i="1"/>
  <c r="K74" i="4"/>
  <c r="E650" i="1"/>
  <c r="J656" i="2"/>
  <c r="O18" i="4"/>
  <c r="O21" i="4" s="1"/>
  <c r="M87" i="4"/>
  <c r="J40" i="1"/>
  <c r="N17" i="4"/>
  <c r="O17" i="4" s="1"/>
  <c r="F129" i="1"/>
  <c r="N69" i="4"/>
  <c r="F233" i="1"/>
  <c r="K89" i="4"/>
  <c r="E386" i="1"/>
  <c r="Y8" i="4"/>
  <c r="T70" i="4"/>
  <c r="T72" i="4" s="1"/>
  <c r="H254" i="1"/>
  <c r="E19" i="4"/>
  <c r="C815" i="1"/>
  <c r="H39" i="4"/>
  <c r="I39" i="4" s="1"/>
  <c r="D836" i="1"/>
  <c r="H21" i="4"/>
  <c r="J166" i="1"/>
  <c r="W72" i="4"/>
  <c r="W10" i="4"/>
  <c r="X10" i="4" s="1"/>
  <c r="I712" i="1"/>
  <c r="W79" i="4"/>
  <c r="X79" i="4" s="1"/>
  <c r="I280" i="1"/>
  <c r="J208" i="1"/>
  <c r="J296" i="1"/>
  <c r="J565" i="1"/>
  <c r="E10" i="4"/>
  <c r="C712" i="1"/>
  <c r="N45" i="4"/>
  <c r="O45" i="4" s="1"/>
  <c r="F856" i="1"/>
  <c r="N67" i="4"/>
  <c r="E32" i="4"/>
  <c r="R23" i="4"/>
  <c r="R74" i="4"/>
  <c r="F76" i="4"/>
  <c r="W59" i="4"/>
  <c r="X59" i="4" s="1"/>
  <c r="I899" i="1"/>
  <c r="D32" i="4"/>
  <c r="F30" i="4"/>
  <c r="Y30" i="4"/>
  <c r="T18" i="4"/>
  <c r="H149" i="1"/>
  <c r="I97" i="4"/>
  <c r="V47" i="4"/>
  <c r="X44" i="4"/>
  <c r="X47" i="4" s="1"/>
  <c r="H97" i="4"/>
  <c r="W87" i="4"/>
  <c r="Y84" i="4"/>
  <c r="T30" i="4"/>
  <c r="T32" i="4" s="1"/>
  <c r="H489" i="1"/>
  <c r="E47" i="4"/>
  <c r="Y25" i="4"/>
  <c r="T26" i="4"/>
  <c r="H569" i="1"/>
  <c r="W65" i="4"/>
  <c r="X65" i="4" s="1"/>
  <c r="I794" i="1"/>
  <c r="I149" i="1"/>
  <c r="T45" i="4"/>
  <c r="H856" i="1"/>
  <c r="W16" i="4"/>
  <c r="I108" i="1"/>
  <c r="Q39" i="4"/>
  <c r="G836" i="1"/>
  <c r="I69" i="4"/>
  <c r="I72" i="4" s="1"/>
  <c r="G72" i="4"/>
  <c r="J583" i="2"/>
  <c r="Q6" i="4"/>
  <c r="G24" i="1"/>
  <c r="E94" i="4"/>
  <c r="C429" i="1"/>
  <c r="N18" i="4"/>
  <c r="Z18" i="4" s="1"/>
  <c r="F149" i="1"/>
  <c r="H24" i="4"/>
  <c r="I24" i="4" s="1"/>
  <c r="D773" i="1"/>
  <c r="E79" i="4"/>
  <c r="C280" i="1"/>
  <c r="H58" i="4"/>
  <c r="D670" i="1"/>
  <c r="K67" i="4"/>
  <c r="G28" i="4"/>
  <c r="J214" i="2"/>
  <c r="I732" i="1"/>
  <c r="AA16" i="4"/>
  <c r="W99" i="4"/>
  <c r="I469" i="1"/>
  <c r="H26" i="4"/>
  <c r="I26" i="4" s="1"/>
  <c r="D569" i="1"/>
  <c r="Q97" i="4"/>
  <c r="H11" i="4"/>
  <c r="D86" i="1"/>
  <c r="J465" i="1"/>
  <c r="O11" i="4"/>
  <c r="M109" i="4"/>
  <c r="J338" i="1"/>
  <c r="N78" i="4"/>
  <c r="F320" i="1"/>
  <c r="N84" i="4"/>
  <c r="N87" i="4" s="1"/>
  <c r="F342" i="1"/>
  <c r="R16" i="4"/>
  <c r="Q34" i="4"/>
  <c r="Q36" i="4" s="1"/>
  <c r="G509" i="1"/>
  <c r="F9" i="4"/>
  <c r="R9" i="4" s="1"/>
  <c r="U9" i="4" s="1"/>
  <c r="T85" i="4"/>
  <c r="H363" i="1"/>
  <c r="H67" i="4"/>
  <c r="H99" i="4"/>
  <c r="D469" i="1"/>
  <c r="T24" i="4"/>
  <c r="H773" i="1"/>
  <c r="T102" i="4"/>
  <c r="H49" i="4"/>
  <c r="D170" i="1"/>
  <c r="H85" i="4"/>
  <c r="D363" i="1"/>
  <c r="E95" i="4"/>
  <c r="Z95" i="4" s="1"/>
  <c r="C449" i="1"/>
  <c r="T7" i="4"/>
  <c r="H692" i="1"/>
  <c r="I21" i="4"/>
  <c r="F78" i="4"/>
  <c r="N90" i="4"/>
  <c r="Z90" i="4" s="1"/>
  <c r="AA90" i="4" s="1"/>
  <c r="F407" i="1"/>
  <c r="C24" i="1"/>
  <c r="J21" i="4"/>
  <c r="J105" i="4" s="1"/>
  <c r="K65" i="4"/>
  <c r="L65" i="4" s="1"/>
  <c r="L67" i="4" s="1"/>
  <c r="E794" i="1"/>
  <c r="J359" i="1"/>
  <c r="K95" i="4"/>
  <c r="L95" i="4" s="1"/>
  <c r="E449" i="1"/>
  <c r="N44" i="4"/>
  <c r="N47" i="4" s="1"/>
  <c r="F609" i="1"/>
  <c r="E64" i="4"/>
  <c r="C212" i="1"/>
  <c r="Y80" i="4"/>
  <c r="F80" i="4"/>
  <c r="R80" i="4" s="1"/>
  <c r="U80" i="4" s="1"/>
  <c r="K34" i="4"/>
  <c r="E509" i="1"/>
  <c r="J708" i="1"/>
  <c r="D2" i="1" s="1"/>
  <c r="X94" i="4"/>
  <c r="X97" i="4" s="1"/>
  <c r="T41" i="4"/>
  <c r="T84" i="4"/>
  <c r="T87" i="4" s="1"/>
  <c r="H342" i="1"/>
  <c r="J82" i="1"/>
  <c r="C2" i="1" s="1"/>
  <c r="E2" i="1" s="1"/>
  <c r="K58" i="4"/>
  <c r="L58" i="4" s="1"/>
  <c r="E670" i="1"/>
  <c r="K54" i="4"/>
  <c r="L54" i="4" s="1"/>
  <c r="E877" i="1"/>
  <c r="F86" i="1"/>
  <c r="O67" i="4"/>
  <c r="J403" i="1"/>
  <c r="T44" i="4"/>
  <c r="T47" i="4" s="1"/>
  <c r="H609" i="1"/>
  <c r="E12" i="4"/>
  <c r="C732" i="1"/>
  <c r="E34" i="4"/>
  <c r="C509" i="1"/>
  <c r="N7" i="4"/>
  <c r="O7" i="4" s="1"/>
  <c r="O14" i="4" s="1"/>
  <c r="F692" i="1"/>
  <c r="X54" i="4"/>
  <c r="X56" i="4" s="1"/>
  <c r="X61" i="4" s="1"/>
  <c r="J264" i="2"/>
  <c r="Q30" i="4"/>
  <c r="Q32" i="4" s="1"/>
  <c r="G489" i="1"/>
  <c r="J352" i="2"/>
  <c r="Z16" i="4"/>
  <c r="Q26" i="4"/>
  <c r="Q28" i="4" s="1"/>
  <c r="G569" i="1"/>
  <c r="D561" i="2"/>
  <c r="D562" i="2" s="1"/>
  <c r="J562" i="2" s="1"/>
  <c r="Y54" i="4"/>
  <c r="Z8" i="4"/>
  <c r="Q11" i="4"/>
  <c r="G86" i="1"/>
  <c r="T49" i="4"/>
  <c r="T51" i="4" s="1"/>
  <c r="T56" i="4" s="1"/>
  <c r="T61" i="4" s="1"/>
  <c r="H170" i="1"/>
  <c r="W64" i="4"/>
  <c r="X64" i="4" s="1"/>
  <c r="I212" i="1"/>
  <c r="Q25" i="4"/>
  <c r="G529" i="1"/>
  <c r="V87" i="4"/>
  <c r="X84" i="4"/>
  <c r="X87" i="4" s="1"/>
  <c r="N19" i="4"/>
  <c r="O19" i="4" s="1"/>
  <c r="F815" i="1"/>
  <c r="N59" i="4"/>
  <c r="O59" i="4" s="1"/>
  <c r="F899" i="1"/>
  <c r="O70" i="4"/>
  <c r="W14" i="4"/>
  <c r="W108" i="4"/>
  <c r="G300" i="1"/>
  <c r="Q80" i="4"/>
  <c r="E54" i="4"/>
  <c r="C877" i="1"/>
  <c r="T23" i="4"/>
  <c r="T28" i="4" s="1"/>
  <c r="H549" i="1"/>
  <c r="Q19" i="4"/>
  <c r="G815" i="1"/>
  <c r="N94" i="4"/>
  <c r="F429" i="1"/>
  <c r="J403" i="2"/>
  <c r="E99" i="4"/>
  <c r="C469" i="1"/>
  <c r="F24" i="4"/>
  <c r="R24" i="4" s="1"/>
  <c r="U24" i="4" s="1"/>
  <c r="N70" i="4"/>
  <c r="Z70" i="4" s="1"/>
  <c r="AA70" i="4" s="1"/>
  <c r="F254" i="1"/>
  <c r="AA9" i="4"/>
  <c r="Q85" i="4"/>
  <c r="Z85" i="4" s="1"/>
  <c r="G363" i="1"/>
  <c r="J852" i="1"/>
  <c r="L59" i="4"/>
  <c r="F47" i="4"/>
  <c r="R44" i="4"/>
  <c r="M47" i="4"/>
  <c r="J316" i="1"/>
  <c r="K84" i="4"/>
  <c r="Z84" i="4" s="1"/>
  <c r="Z87" i="4" s="1"/>
  <c r="E342" i="1"/>
  <c r="Y100" i="4"/>
  <c r="E100" i="4"/>
  <c r="C752" i="1"/>
  <c r="J52" i="2"/>
  <c r="T17" i="4"/>
  <c r="H129" i="1"/>
  <c r="T6" i="4"/>
  <c r="H24" i="1"/>
  <c r="O49" i="4"/>
  <c r="O51" i="4" s="1"/>
  <c r="O56" i="4" s="1"/>
  <c r="O61" i="4" s="1"/>
  <c r="M51" i="4"/>
  <c r="M56" i="4" s="1"/>
  <c r="M61" i="4" s="1"/>
  <c r="O85" i="4"/>
  <c r="T11" i="4"/>
  <c r="H86" i="1"/>
  <c r="T63" i="4"/>
  <c r="T67" i="4" s="1"/>
  <c r="H191" i="1"/>
  <c r="S79" i="4"/>
  <c r="H280" i="1"/>
  <c r="N14" i="4"/>
  <c r="N108" i="4"/>
  <c r="J39" i="4"/>
  <c r="J41" i="4" s="1"/>
  <c r="E836" i="1"/>
  <c r="G21" i="4"/>
  <c r="Y102" i="4"/>
  <c r="Q100" i="4"/>
  <c r="G752" i="1"/>
  <c r="H45" i="4"/>
  <c r="D856" i="1"/>
  <c r="Z6" i="4"/>
  <c r="L16" i="4"/>
  <c r="L21" i="4" s="1"/>
  <c r="F49" i="4"/>
  <c r="Y69" i="4"/>
  <c r="Y85" i="4"/>
  <c r="N30" i="4"/>
  <c r="F489" i="1"/>
  <c r="Q70" i="4"/>
  <c r="Q72" i="4" s="1"/>
  <c r="G254" i="1"/>
  <c r="K94" i="4"/>
  <c r="E429" i="1"/>
  <c r="N34" i="4"/>
  <c r="F509" i="1"/>
  <c r="Y76" i="4"/>
  <c r="E11" i="4"/>
  <c r="E14" i="4" s="1"/>
  <c r="C86" i="1"/>
  <c r="K24" i="4"/>
  <c r="L24" i="4" s="1"/>
  <c r="E773" i="1"/>
  <c r="E87" i="4"/>
  <c r="J728" i="1"/>
  <c r="J505" i="1"/>
  <c r="J229" i="1"/>
  <c r="Y61" i="4"/>
  <c r="F53" i="4"/>
  <c r="R53" i="4" s="1"/>
  <c r="U53" i="4" s="1"/>
  <c r="Y53" i="4"/>
  <c r="J160" i="2"/>
  <c r="E815" i="1"/>
  <c r="Y18" i="4"/>
  <c r="Y21" i="4" s="1"/>
  <c r="K69" i="4"/>
  <c r="E233" i="1"/>
  <c r="H6" i="4"/>
  <c r="D24" i="1"/>
  <c r="K99" i="4"/>
  <c r="E469" i="1"/>
  <c r="E38" i="4"/>
  <c r="C589" i="1"/>
  <c r="N53" i="4"/>
  <c r="O53" i="4" s="1"/>
  <c r="F630" i="1"/>
  <c r="E92" i="4"/>
  <c r="Y24" i="4"/>
  <c r="V11" i="4"/>
  <c r="I86" i="1"/>
  <c r="M72" i="4"/>
  <c r="Q49" i="4"/>
  <c r="Q51" i="4" s="1"/>
  <c r="Q56" i="4" s="1"/>
  <c r="Q61" i="4" s="1"/>
  <c r="G170" i="1"/>
  <c r="J61" i="1"/>
  <c r="W100" i="4"/>
  <c r="X100" i="4" s="1"/>
  <c r="I752" i="1"/>
  <c r="Q18" i="4"/>
  <c r="G149" i="1"/>
  <c r="Q89" i="4"/>
  <c r="Q92" i="4" s="1"/>
  <c r="G386" i="1"/>
  <c r="Q74" i="4"/>
  <c r="Q76" i="4" s="1"/>
  <c r="G650" i="1"/>
  <c r="K11" i="4"/>
  <c r="E86" i="1"/>
  <c r="X74" i="4"/>
  <c r="X76" i="4" s="1"/>
  <c r="Y47" i="4"/>
  <c r="G108" i="4"/>
  <c r="W78" i="4"/>
  <c r="I320" i="1"/>
  <c r="N26" i="4"/>
  <c r="O26" i="4" s="1"/>
  <c r="F569" i="1"/>
  <c r="D233" i="1"/>
  <c r="J145" i="1"/>
  <c r="W8" i="4"/>
  <c r="X8" i="4" s="1"/>
  <c r="I44" i="1"/>
  <c r="D14" i="4"/>
  <c r="F6" i="4"/>
  <c r="Y6" i="4"/>
  <c r="D108" i="4"/>
  <c r="J895" i="1"/>
  <c r="K30" i="4"/>
  <c r="Z30" i="4" s="1"/>
  <c r="Z32" i="4" s="1"/>
  <c r="E489" i="1"/>
  <c r="Q84" i="4"/>
  <c r="Q87" i="4" s="1"/>
  <c r="G342" i="1"/>
  <c r="X63" i="4"/>
  <c r="V67" i="4"/>
  <c r="M89" i="4"/>
  <c r="F386" i="1"/>
  <c r="K78" i="4"/>
  <c r="E320" i="1"/>
  <c r="D97" i="4"/>
  <c r="X70" i="4"/>
  <c r="X72" i="4" s="1"/>
  <c r="Q12" i="4"/>
  <c r="G732" i="1"/>
  <c r="W54" i="4"/>
  <c r="W56" i="4" s="1"/>
  <c r="W61" i="4" s="1"/>
  <c r="I877" i="1"/>
  <c r="W41" i="4"/>
  <c r="Y59" i="4"/>
  <c r="AA59" i="4" s="1"/>
  <c r="F85" i="4"/>
  <c r="R85" i="4" s="1"/>
  <c r="U85" i="4" s="1"/>
  <c r="J646" i="1"/>
  <c r="Q82" i="4"/>
  <c r="I10" i="4"/>
  <c r="M108" i="4"/>
  <c r="K53" i="4"/>
  <c r="E630" i="1"/>
  <c r="P114" i="4"/>
  <c r="P111" i="4"/>
  <c r="J585" i="1"/>
  <c r="G109" i="4"/>
  <c r="I254" i="1"/>
  <c r="E28" i="4"/>
  <c r="K44" i="4"/>
  <c r="E609" i="1"/>
  <c r="J386" i="2"/>
  <c r="H59" i="4"/>
  <c r="I59" i="4" s="1"/>
  <c r="D899" i="1"/>
  <c r="J61" i="4"/>
  <c r="G34" i="4"/>
  <c r="D509" i="1"/>
  <c r="L100" i="4"/>
  <c r="F65" i="4"/>
  <c r="R65" i="4" s="1"/>
  <c r="U65" i="4" s="1"/>
  <c r="E69" i="4"/>
  <c r="C233" i="1"/>
  <c r="D712" i="1"/>
  <c r="W92" i="4"/>
  <c r="H74" i="4"/>
  <c r="D650" i="1"/>
  <c r="Z17" i="4"/>
  <c r="AA17" i="4" s="1"/>
  <c r="I609" i="1"/>
  <c r="F18" i="4"/>
  <c r="R18" i="4" s="1"/>
  <c r="U18" i="4" s="1"/>
  <c r="N74" i="4"/>
  <c r="F650" i="1"/>
  <c r="Z59" i="4"/>
  <c r="W25" i="4"/>
  <c r="X25" i="4" s="1"/>
  <c r="X28" i="4" s="1"/>
  <c r="I529" i="1"/>
  <c r="G105" i="4" l="1"/>
  <c r="G110" i="4" s="1"/>
  <c r="G113" i="4" s="1"/>
  <c r="G114" i="4" s="1"/>
  <c r="AA6" i="4"/>
  <c r="AA24" i="4"/>
  <c r="W32" i="4"/>
  <c r="X30" i="4"/>
  <c r="X32" i="4" s="1"/>
  <c r="D105" i="4"/>
  <c r="D110" i="4" s="1"/>
  <c r="D113" i="4" s="1"/>
  <c r="O44" i="4"/>
  <c r="O47" i="4" s="1"/>
  <c r="AA21" i="4"/>
  <c r="U23" i="4"/>
  <c r="U28" i="4" s="1"/>
  <c r="R28" i="4"/>
  <c r="N72" i="4"/>
  <c r="O69" i="4"/>
  <c r="O72" i="4" s="1"/>
  <c r="Z63" i="4"/>
  <c r="E67" i="4"/>
  <c r="F63" i="4"/>
  <c r="AA95" i="4"/>
  <c r="Y97" i="4"/>
  <c r="F87" i="4"/>
  <c r="K82" i="4"/>
  <c r="L78" i="4"/>
  <c r="L82" i="4" s="1"/>
  <c r="K102" i="4"/>
  <c r="L99" i="4"/>
  <c r="L102" i="4" s="1"/>
  <c r="Z100" i="4"/>
  <c r="O108" i="4"/>
  <c r="Z21" i="4"/>
  <c r="I85" i="4"/>
  <c r="I87" i="4" s="1"/>
  <c r="H87" i="4"/>
  <c r="N56" i="4"/>
  <c r="N61" i="4" s="1"/>
  <c r="E97" i="4"/>
  <c r="Z94" i="4"/>
  <c r="F94" i="4"/>
  <c r="AA84" i="4"/>
  <c r="AA87" i="4" s="1"/>
  <c r="Y87" i="4"/>
  <c r="AA30" i="4"/>
  <c r="AA32" i="4" s="1"/>
  <c r="Y32" i="4"/>
  <c r="F28" i="4"/>
  <c r="Z19" i="4"/>
  <c r="AA19" i="4" s="1"/>
  <c r="F19" i="4"/>
  <c r="K76" i="4"/>
  <c r="L74" i="4"/>
  <c r="L76" i="4" s="1"/>
  <c r="Z65" i="4"/>
  <c r="AA65" i="4" s="1"/>
  <c r="J109" i="4"/>
  <c r="J110" i="4" s="1"/>
  <c r="J113" i="4" s="1"/>
  <c r="F95" i="4"/>
  <c r="R95" i="4" s="1"/>
  <c r="U95" i="4" s="1"/>
  <c r="Z78" i="4"/>
  <c r="Z49" i="4"/>
  <c r="I80" i="4"/>
  <c r="I82" i="4" s="1"/>
  <c r="H82" i="4"/>
  <c r="F100" i="4"/>
  <c r="R100" i="4" s="1"/>
  <c r="U100" i="4" s="1"/>
  <c r="U44" i="4"/>
  <c r="U47" i="4" s="1"/>
  <c r="R47" i="4"/>
  <c r="E21" i="4"/>
  <c r="E105" i="4" s="1"/>
  <c r="E110" i="4" s="1"/>
  <c r="E113" i="4" s="1"/>
  <c r="F113" i="4" s="1"/>
  <c r="N82" i="4"/>
  <c r="O78" i="4"/>
  <c r="O82" i="4" s="1"/>
  <c r="Z79" i="4"/>
  <c r="F79" i="4"/>
  <c r="R79" i="4" s="1"/>
  <c r="U79" i="4" s="1"/>
  <c r="F32" i="4"/>
  <c r="R30" i="4"/>
  <c r="Z10" i="4"/>
  <c r="AA10" i="4" s="1"/>
  <c r="F10" i="4"/>
  <c r="R10" i="4" s="1"/>
  <c r="U10" i="4" s="1"/>
  <c r="Z38" i="4"/>
  <c r="F38" i="4"/>
  <c r="R38" i="4" s="1"/>
  <c r="U38" i="4" s="1"/>
  <c r="K97" i="4"/>
  <c r="L94" i="4"/>
  <c r="L97" i="4" s="1"/>
  <c r="N92" i="4"/>
  <c r="O90" i="4"/>
  <c r="R76" i="4"/>
  <c r="U74" i="4"/>
  <c r="U76" i="4" s="1"/>
  <c r="N28" i="4"/>
  <c r="H28" i="4"/>
  <c r="Z23" i="4"/>
  <c r="I23" i="4"/>
  <c r="I28" i="4" s="1"/>
  <c r="U84" i="4"/>
  <c r="U87" i="4" s="1"/>
  <c r="R87" i="4"/>
  <c r="K47" i="4"/>
  <c r="L44" i="4"/>
  <c r="L47" i="4" s="1"/>
  <c r="L53" i="4"/>
  <c r="L56" i="4" s="1"/>
  <c r="L61" i="4" s="1"/>
  <c r="Z53" i="4"/>
  <c r="Z56" i="4" s="1"/>
  <c r="K56" i="4"/>
  <c r="K61" i="4" s="1"/>
  <c r="W82" i="4"/>
  <c r="X78" i="4"/>
  <c r="X82" i="4" s="1"/>
  <c r="AA18" i="4"/>
  <c r="K36" i="4"/>
  <c r="K41" i="4" s="1"/>
  <c r="L34" i="4"/>
  <c r="L36" i="4" s="1"/>
  <c r="Z58" i="4"/>
  <c r="I58" i="4"/>
  <c r="I34" i="4"/>
  <c r="I36" i="4" s="1"/>
  <c r="I41" i="4" s="1"/>
  <c r="G36" i="4"/>
  <c r="G41" i="4" s="1"/>
  <c r="Y34" i="4"/>
  <c r="Z25" i="4"/>
  <c r="M92" i="4"/>
  <c r="M105" i="4" s="1"/>
  <c r="M110" i="4" s="1"/>
  <c r="M113" i="4" s="1"/>
  <c r="M114" i="4" s="1"/>
  <c r="O89" i="4"/>
  <c r="O92" i="4" s="1"/>
  <c r="Y89" i="4"/>
  <c r="K32" i="4"/>
  <c r="L30" i="4"/>
  <c r="L32" i="4" s="1"/>
  <c r="Y56" i="4"/>
  <c r="N32" i="4"/>
  <c r="O30" i="4"/>
  <c r="O32" i="4" s="1"/>
  <c r="O105" i="4" s="1"/>
  <c r="O110" i="4" s="1"/>
  <c r="T14" i="4"/>
  <c r="T108" i="4"/>
  <c r="AA100" i="4"/>
  <c r="Z54" i="4"/>
  <c r="F54" i="4"/>
  <c r="R54" i="4" s="1"/>
  <c r="U54" i="4" s="1"/>
  <c r="Q109" i="4"/>
  <c r="E36" i="4"/>
  <c r="E41" i="4" s="1"/>
  <c r="Z34" i="4"/>
  <c r="Z36" i="4" s="1"/>
  <c r="F34" i="4"/>
  <c r="H51" i="4"/>
  <c r="H56" i="4" s="1"/>
  <c r="H61" i="4" s="1"/>
  <c r="I49" i="4"/>
  <c r="I51" i="4" s="1"/>
  <c r="I56" i="4" s="1"/>
  <c r="I61" i="4" s="1"/>
  <c r="Y28" i="4"/>
  <c r="Q14" i="4"/>
  <c r="Q108" i="4"/>
  <c r="W21" i="4"/>
  <c r="X16" i="4"/>
  <c r="W67" i="4"/>
  <c r="W105" i="4" s="1"/>
  <c r="W110" i="4" s="1"/>
  <c r="K28" i="4"/>
  <c r="L23" i="4"/>
  <c r="L28" i="4" s="1"/>
  <c r="Z24" i="4"/>
  <c r="Z39" i="4"/>
  <c r="F39" i="4"/>
  <c r="R39" i="4" s="1"/>
  <c r="U39" i="4" s="1"/>
  <c r="W109" i="4"/>
  <c r="X11" i="4"/>
  <c r="V109" i="4"/>
  <c r="V14" i="4"/>
  <c r="V105" i="4" s="1"/>
  <c r="V110" i="4" s="1"/>
  <c r="V113" i="4" s="1"/>
  <c r="R49" i="4"/>
  <c r="F51" i="4"/>
  <c r="F56" i="4" s="1"/>
  <c r="F61" i="4" s="1"/>
  <c r="K87" i="4"/>
  <c r="L84" i="4"/>
  <c r="L87" i="4" s="1"/>
  <c r="H102" i="4"/>
  <c r="I99" i="4"/>
  <c r="I102" i="4" s="1"/>
  <c r="F14" i="4"/>
  <c r="R6" i="4"/>
  <c r="F108" i="4"/>
  <c r="H76" i="4"/>
  <c r="I74" i="4"/>
  <c r="I76" i="4" s="1"/>
  <c r="Z74" i="4"/>
  <c r="E102" i="4"/>
  <c r="Z99" i="4"/>
  <c r="F99" i="4"/>
  <c r="Y79" i="4"/>
  <c r="S82" i="4"/>
  <c r="S105" i="4" s="1"/>
  <c r="S110" i="4" s="1"/>
  <c r="N76" i="4"/>
  <c r="O74" i="4"/>
  <c r="O76" i="4" s="1"/>
  <c r="Z69" i="4"/>
  <c r="Z72" i="4" s="1"/>
  <c r="E72" i="4"/>
  <c r="F69" i="4"/>
  <c r="Q21" i="4"/>
  <c r="H14" i="4"/>
  <c r="H108" i="4"/>
  <c r="I6" i="4"/>
  <c r="AA85" i="4"/>
  <c r="Z45" i="4"/>
  <c r="AA45" i="4" s="1"/>
  <c r="I45" i="4"/>
  <c r="I47" i="4" s="1"/>
  <c r="H47" i="4"/>
  <c r="Z26" i="4"/>
  <c r="AA26" i="4" s="1"/>
  <c r="N97" i="4"/>
  <c r="O94" i="4"/>
  <c r="O97" i="4" s="1"/>
  <c r="N21" i="4"/>
  <c r="N105" i="4" s="1"/>
  <c r="N110" i="4" s="1"/>
  <c r="N113" i="4" s="1"/>
  <c r="Z64" i="4"/>
  <c r="AA64" i="4" s="1"/>
  <c r="F64" i="4"/>
  <c r="R64" i="4" s="1"/>
  <c r="U64" i="4" s="1"/>
  <c r="Q41" i="4"/>
  <c r="AA25" i="4"/>
  <c r="AA8" i="4"/>
  <c r="O84" i="4"/>
  <c r="O87" i="4" s="1"/>
  <c r="K21" i="4"/>
  <c r="K14" i="4"/>
  <c r="K108" i="4"/>
  <c r="L6" i="4"/>
  <c r="Z80" i="4"/>
  <c r="AA80" i="4" s="1"/>
  <c r="Q102" i="4"/>
  <c r="U89" i="4"/>
  <c r="U92" i="4" s="1"/>
  <c r="R92" i="4"/>
  <c r="H41" i="4"/>
  <c r="K109" i="4"/>
  <c r="L11" i="4"/>
  <c r="K92" i="4"/>
  <c r="L89" i="4"/>
  <c r="L92" i="4" s="1"/>
  <c r="Y11" i="4"/>
  <c r="Y14" i="4" s="1"/>
  <c r="K72" i="4"/>
  <c r="L69" i="4"/>
  <c r="L72" i="4" s="1"/>
  <c r="W102" i="4"/>
  <c r="X99" i="4"/>
  <c r="X102" i="4" s="1"/>
  <c r="H92" i="4"/>
  <c r="I89" i="4"/>
  <c r="I92" i="4" s="1"/>
  <c r="Z7" i="4"/>
  <c r="AA7" i="4" s="1"/>
  <c r="E108" i="4"/>
  <c r="R78" i="4"/>
  <c r="H109" i="4"/>
  <c r="I11" i="4"/>
  <c r="M111" i="4"/>
  <c r="Z11" i="4"/>
  <c r="E109" i="4"/>
  <c r="F11" i="4"/>
  <c r="W28" i="4"/>
  <c r="X67" i="4"/>
  <c r="D114" i="4"/>
  <c r="D111" i="4"/>
  <c r="N109" i="4"/>
  <c r="N111" i="4" s="1"/>
  <c r="N36" i="4"/>
  <c r="N41" i="4" s="1"/>
  <c r="O34" i="4"/>
  <c r="O36" i="4" s="1"/>
  <c r="O41" i="4" s="1"/>
  <c r="Y72" i="4"/>
  <c r="L39" i="4"/>
  <c r="Y39" i="4"/>
  <c r="T109" i="4"/>
  <c r="AA54" i="4"/>
  <c r="Z12" i="4"/>
  <c r="AA12" i="4" s="1"/>
  <c r="F12" i="4"/>
  <c r="R12" i="4" s="1"/>
  <c r="U12" i="4" s="1"/>
  <c r="U16" i="4"/>
  <c r="O109" i="4"/>
  <c r="Z44" i="4"/>
  <c r="T21" i="4"/>
  <c r="O113" i="4" l="1"/>
  <c r="N114" i="4"/>
  <c r="W113" i="4"/>
  <c r="W111" i="4"/>
  <c r="AA39" i="4"/>
  <c r="Y41" i="4"/>
  <c r="T111" i="4"/>
  <c r="Z61" i="4"/>
  <c r="AA58" i="4"/>
  <c r="AA61" i="4" s="1"/>
  <c r="Z41" i="4"/>
  <c r="AA38" i="4"/>
  <c r="L109" i="4"/>
  <c r="L41" i="4"/>
  <c r="AA108" i="4"/>
  <c r="AA69" i="4"/>
  <c r="AA72" i="4" s="1"/>
  <c r="F82" i="4"/>
  <c r="K105" i="4"/>
  <c r="K110" i="4" s="1"/>
  <c r="K113" i="4" s="1"/>
  <c r="L113" i="4" s="1"/>
  <c r="I14" i="4"/>
  <c r="I105" i="4" s="1"/>
  <c r="I108" i="4"/>
  <c r="Z76" i="4"/>
  <c r="AA74" i="4"/>
  <c r="AA76" i="4" s="1"/>
  <c r="X109" i="4"/>
  <c r="X14" i="4"/>
  <c r="X105" i="4" s="1"/>
  <c r="X110" i="4" s="1"/>
  <c r="X21" i="4"/>
  <c r="X108" i="4"/>
  <c r="R19" i="4"/>
  <c r="F21" i="4"/>
  <c r="Z97" i="4"/>
  <c r="AA94" i="4"/>
  <c r="AA97" i="4" s="1"/>
  <c r="Z108" i="4"/>
  <c r="R11" i="4"/>
  <c r="F109" i="4"/>
  <c r="U78" i="4"/>
  <c r="U82" i="4" s="1"/>
  <c r="R82" i="4"/>
  <c r="S113" i="4"/>
  <c r="S114" i="4" s="1"/>
  <c r="S111" i="4"/>
  <c r="Z51" i="4"/>
  <c r="AA49" i="4"/>
  <c r="AA51" i="4" s="1"/>
  <c r="Z14" i="4"/>
  <c r="R63" i="4"/>
  <c r="F67" i="4"/>
  <c r="F114" i="4"/>
  <c r="I109" i="4"/>
  <c r="L14" i="4"/>
  <c r="L108" i="4"/>
  <c r="Z102" i="4"/>
  <c r="AA99" i="4"/>
  <c r="AA102" i="4" s="1"/>
  <c r="U6" i="4"/>
  <c r="R14" i="4"/>
  <c r="F97" i="4"/>
  <c r="R94" i="4"/>
  <c r="Q114" i="4"/>
  <c r="R99" i="4"/>
  <c r="F102" i="4"/>
  <c r="R51" i="4"/>
  <c r="R56" i="4" s="1"/>
  <c r="R61" i="4" s="1"/>
  <c r="U49" i="4"/>
  <c r="U51" i="4" s="1"/>
  <c r="U56" i="4" s="1"/>
  <c r="U61" i="4" s="1"/>
  <c r="Z47" i="4"/>
  <c r="AA44" i="4"/>
  <c r="AA47" i="4" s="1"/>
  <c r="O114" i="4"/>
  <c r="O111" i="4"/>
  <c r="K111" i="4"/>
  <c r="K114" i="4"/>
  <c r="T105" i="4"/>
  <c r="T110" i="4" s="1"/>
  <c r="T113" i="4" s="1"/>
  <c r="U113" i="4" s="1"/>
  <c r="H105" i="4"/>
  <c r="H110" i="4" s="1"/>
  <c r="H113" i="4" s="1"/>
  <c r="I113" i="4" s="1"/>
  <c r="AA79" i="4"/>
  <c r="Y82" i="4"/>
  <c r="Z109" i="4"/>
  <c r="E114" i="4"/>
  <c r="E111" i="4"/>
  <c r="G111" i="4"/>
  <c r="Q105" i="4"/>
  <c r="Q110" i="4" s="1"/>
  <c r="Q113" i="4" s="1"/>
  <c r="R113" i="4" s="1"/>
  <c r="AA53" i="4"/>
  <c r="AA56" i="4" s="1"/>
  <c r="Z67" i="4"/>
  <c r="AA63" i="4"/>
  <c r="AA67" i="4" s="1"/>
  <c r="AA89" i="4"/>
  <c r="AA92" i="4" s="1"/>
  <c r="Y92" i="4"/>
  <c r="Y108" i="4"/>
  <c r="V111" i="4"/>
  <c r="V114" i="4"/>
  <c r="F36" i="4"/>
  <c r="F41" i="4" s="1"/>
  <c r="R34" i="4"/>
  <c r="AA34" i="4"/>
  <c r="AA36" i="4" s="1"/>
  <c r="Y36" i="4"/>
  <c r="Y105" i="4" s="1"/>
  <c r="Y110" i="4" s="1"/>
  <c r="Y113" i="4" s="1"/>
  <c r="Z82" i="4"/>
  <c r="AA78" i="4"/>
  <c r="AA82" i="4" s="1"/>
  <c r="AA11" i="4"/>
  <c r="AA109" i="4" s="1"/>
  <c r="Y109" i="4"/>
  <c r="R69" i="4"/>
  <c r="F72" i="4"/>
  <c r="Z28" i="4"/>
  <c r="AA23" i="4"/>
  <c r="AA28" i="4" s="1"/>
  <c r="U30" i="4"/>
  <c r="U32" i="4" s="1"/>
  <c r="R32" i="4"/>
  <c r="J114" i="4"/>
  <c r="J111" i="4"/>
  <c r="H114" i="4" l="1"/>
  <c r="U99" i="4"/>
  <c r="U102" i="4" s="1"/>
  <c r="R102" i="4"/>
  <c r="H111" i="4"/>
  <c r="I114" i="4"/>
  <c r="Q111" i="4"/>
  <c r="Z105" i="4"/>
  <c r="Z110" i="4" s="1"/>
  <c r="Z113" i="4" s="1"/>
  <c r="AA113" i="4" s="1"/>
  <c r="AA114" i="4" s="1"/>
  <c r="U19" i="4"/>
  <c r="U21" i="4" s="1"/>
  <c r="R21" i="4"/>
  <c r="U94" i="4"/>
  <c r="U97" i="4" s="1"/>
  <c r="R97" i="4"/>
  <c r="L111" i="4"/>
  <c r="L114" i="4"/>
  <c r="X111" i="4"/>
  <c r="Y114" i="4"/>
  <c r="Y111" i="4"/>
  <c r="R67" i="4"/>
  <c r="R105" i="4" s="1"/>
  <c r="R110" i="4" s="1"/>
  <c r="U63" i="4"/>
  <c r="U67" i="4" s="1"/>
  <c r="I110" i="4"/>
  <c r="I111" i="4" s="1"/>
  <c r="AA41" i="4"/>
  <c r="U34" i="4"/>
  <c r="U36" i="4" s="1"/>
  <c r="U41" i="4" s="1"/>
  <c r="R36" i="4"/>
  <c r="R41" i="4" s="1"/>
  <c r="L105" i="4"/>
  <c r="L110" i="4" s="1"/>
  <c r="U11" i="4"/>
  <c r="R109" i="4"/>
  <c r="X113" i="4"/>
  <c r="X114" i="4" s="1"/>
  <c r="W114" i="4"/>
  <c r="F105" i="4"/>
  <c r="F110" i="4" s="1"/>
  <c r="F111" i="4" s="1"/>
  <c r="U69" i="4"/>
  <c r="U72" i="4" s="1"/>
  <c r="R72" i="4"/>
  <c r="R108" i="4"/>
  <c r="Z111" i="4"/>
  <c r="Z114" i="4"/>
  <c r="AA14" i="4"/>
  <c r="AA105" i="4" s="1"/>
  <c r="AA110" i="4" s="1"/>
  <c r="AA111" i="4" s="1"/>
  <c r="T114" i="4"/>
  <c r="R111" i="4" l="1"/>
  <c r="R114" i="4"/>
  <c r="U108" i="4"/>
  <c r="U109" i="4"/>
  <c r="U14" i="4"/>
  <c r="U105" i="4" s="1"/>
  <c r="U110" i="4" l="1"/>
  <c r="U114" i="4"/>
  <c r="U111" i="4"/>
</calcChain>
</file>

<file path=xl/comments1.xml><?xml version="1.0" encoding="utf-8"?>
<comments xmlns="http://schemas.openxmlformats.org/spreadsheetml/2006/main">
  <authors>
    <author>jmiller</author>
  </authors>
  <commentList>
    <comment ref="B1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6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4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6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4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2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7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4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1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6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9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1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7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<sst xmlns="http://schemas.openxmlformats.org/spreadsheetml/2006/main" count="1530" uniqueCount="93">
  <si>
    <t>PEAK</t>
  </si>
  <si>
    <t>VEPCO</t>
  </si>
  <si>
    <t>PJM Peak (HE 8-23)</t>
  </si>
  <si>
    <t>Purchases</t>
  </si>
  <si>
    <t>Avg Price</t>
  </si>
  <si>
    <t>Sales</t>
  </si>
  <si>
    <t>Net Position</t>
  </si>
  <si>
    <t>Market Price</t>
  </si>
  <si>
    <t>Purchases * Avg Price</t>
  </si>
  <si>
    <t>Sales * Avg Price</t>
  </si>
  <si>
    <t>Net CP Position per hr</t>
  </si>
  <si>
    <t>Incremental Cost per hr</t>
  </si>
  <si>
    <t>Net Cash Flow per Hr</t>
  </si>
  <si>
    <t>Net Hrly Cash Flow * 16 Pk Hrs</t>
  </si>
  <si>
    <t>ENTERGY PK (HE 8-23)</t>
  </si>
  <si>
    <t>CINERGY PEAK (HE 7-22)</t>
  </si>
  <si>
    <t>NEPOOL PEAK (HE 8-23)</t>
  </si>
  <si>
    <t>SELECT</t>
  </si>
  <si>
    <t>CINERGY Peak (HE 7-22)</t>
  </si>
  <si>
    <t>NEPOOL Peak (HE 8-23)</t>
  </si>
  <si>
    <t>GPU</t>
  </si>
  <si>
    <t>HQ</t>
  </si>
  <si>
    <t>LEM</t>
  </si>
  <si>
    <t>CMPC</t>
  </si>
  <si>
    <t>AMEREN</t>
  </si>
  <si>
    <t>COMED Peak (HE 7-22)</t>
  </si>
  <si>
    <t>TVA Peak (HE 8-23)</t>
  </si>
  <si>
    <t>Net Cash Flow * Pk Hrs</t>
  </si>
  <si>
    <t>CARGILL</t>
  </si>
  <si>
    <t>CINERGY Peak (HE 8-23)</t>
  </si>
  <si>
    <t>CP&amp;L</t>
  </si>
  <si>
    <t>FE</t>
  </si>
  <si>
    <t>WABASH</t>
  </si>
  <si>
    <t>OFF-PEAK</t>
  </si>
  <si>
    <t>PJM Off- Peak (HE 1-7,24)</t>
  </si>
  <si>
    <t>Net Hrly Cash Flow * 8 Off Pk Hrs</t>
  </si>
  <si>
    <t>NEPOOL Off-Peak (HE1-7,24)</t>
  </si>
  <si>
    <t>NEPOOL Off- Peak (HE 1-7,24)</t>
  </si>
  <si>
    <t>TVA PK (HE 8-23)</t>
  </si>
  <si>
    <t>ENTERGY Peak (HE 7-22)</t>
  </si>
  <si>
    <t>CINERGY Off- Peak (HE 1-6,23-24)</t>
  </si>
  <si>
    <t>MPI</t>
  </si>
  <si>
    <t>WEPCO</t>
  </si>
  <si>
    <t>TXU</t>
  </si>
  <si>
    <t>PJM OFF PK (HE 1-7,24)</t>
  </si>
  <si>
    <t>TAUNTONMUN</t>
  </si>
  <si>
    <t>ALCOA</t>
  </si>
  <si>
    <t>SIGECO Peak (HE 7-22)</t>
  </si>
  <si>
    <t>SIGECO Peak (HE 1-6, 23-24)</t>
  </si>
  <si>
    <t>UI</t>
  </si>
  <si>
    <t>NSTAR</t>
  </si>
  <si>
    <t>NET PJM ON-PEAK POSITION</t>
  </si>
  <si>
    <t>NET CINERGY PEAK POSITION</t>
  </si>
  <si>
    <t>NET ENTERGY PEAK POSITION</t>
  </si>
  <si>
    <t>NET NEPOOL PEAK POSITION</t>
  </si>
  <si>
    <t>NET TVA PEAK POSITION</t>
  </si>
  <si>
    <t>NET COMED PEAK POSITION</t>
  </si>
  <si>
    <t>NET SIGECO PEAK POSITION</t>
  </si>
  <si>
    <t>NET PJM OFF PEAK POSITION</t>
  </si>
  <si>
    <t>NET CINERGY OFF PEAK POSITION</t>
  </si>
  <si>
    <t>NET NEPOOL OFF PEAK POSITION</t>
  </si>
  <si>
    <t>NET POSITIONS DEC 28 - JAN 7</t>
  </si>
  <si>
    <t>PJM</t>
  </si>
  <si>
    <t>ENTERGY</t>
  </si>
  <si>
    <t>CINERGY</t>
  </si>
  <si>
    <t>COMED</t>
  </si>
  <si>
    <t>TVA</t>
  </si>
  <si>
    <t>SOCO</t>
  </si>
  <si>
    <t>NEPOOL</t>
  </si>
  <si>
    <t>SIGECO</t>
  </si>
  <si>
    <t>East Power Summary</t>
  </si>
  <si>
    <t>Positions by Counterparty</t>
  </si>
  <si>
    <t>Peak /</t>
  </si>
  <si>
    <t>Total</t>
  </si>
  <si>
    <t>Counterparty</t>
  </si>
  <si>
    <t>Region</t>
  </si>
  <si>
    <t>Off Peak</t>
  </si>
  <si>
    <t>Net Cash</t>
  </si>
  <si>
    <t>Peak</t>
  </si>
  <si>
    <t>Total PJM</t>
  </si>
  <si>
    <t>Total NEPOOL</t>
  </si>
  <si>
    <t>Total Value</t>
  </si>
  <si>
    <t>Purchases * 16 hrs</t>
  </si>
  <si>
    <t>Sales &amp; 16 hrs</t>
  </si>
  <si>
    <t>Purchases * 8 hrs</t>
  </si>
  <si>
    <t>Sales * 8 hrs</t>
  </si>
  <si>
    <t>TAUNTON</t>
  </si>
  <si>
    <t>East Power Total</t>
  </si>
  <si>
    <t>Off-Peak</t>
  </si>
  <si>
    <t>--Matches total on "SUMMARY BY COUNTERPARTY" Worksheet</t>
  </si>
  <si>
    <t>Total Other w/out FE and TXU</t>
  </si>
  <si>
    <t>Total Other</t>
  </si>
  <si>
    <t>Total PJM, NEPOOL and Other w/o FE and TXU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</si>
</sst>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_);[Red]\(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44" fontId="1" fillId="0" borderId="0" xfId="1" applyFill="1" applyAlignment="1">
      <alignment horizontal="center"/>
    </xf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44" fontId="2" fillId="0" borderId="0" xfId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" fontId="2" fillId="3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8" fillId="0" borderId="0" xfId="0" applyFont="1"/>
    <xf numFmtId="14" fontId="2" fillId="0" borderId="2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6" fontId="0" fillId="0" borderId="0" xfId="0" applyNumberFormat="1"/>
    <xf numFmtId="6" fontId="2" fillId="2" borderId="4" xfId="0" applyNumberFormat="1" applyFont="1" applyFill="1" applyBorder="1"/>
    <xf numFmtId="6" fontId="2" fillId="2" borderId="5" xfId="0" applyNumberFormat="1" applyFont="1" applyFill="1" applyBorder="1"/>
    <xf numFmtId="6" fontId="2" fillId="2" borderId="6" xfId="0" applyNumberFormat="1" applyFont="1" applyFill="1" applyBorder="1"/>
    <xf numFmtId="14" fontId="2" fillId="2" borderId="2" xfId="0" applyNumberFormat="1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6" fontId="1" fillId="2" borderId="3" xfId="1" applyNumberFormat="1" applyFill="1" applyBorder="1"/>
    <xf numFmtId="6" fontId="1" fillId="2" borderId="2" xfId="1" applyNumberFormat="1" applyFill="1" applyBorder="1"/>
    <xf numFmtId="6" fontId="1" fillId="2" borderId="0" xfId="1" applyNumberFormat="1" applyFill="1" applyBorder="1"/>
    <xf numFmtId="6" fontId="0" fillId="2" borderId="2" xfId="0" applyNumberFormat="1" applyFill="1" applyBorder="1"/>
    <xf numFmtId="6" fontId="0" fillId="2" borderId="0" xfId="0" applyNumberFormat="1" applyFill="1"/>
    <xf numFmtId="6" fontId="0" fillId="2" borderId="3" xfId="0" applyNumberFormat="1" applyFill="1" applyBorder="1"/>
    <xf numFmtId="6" fontId="9" fillId="2" borderId="2" xfId="0" applyNumberFormat="1" applyFont="1" applyFill="1" applyBorder="1"/>
    <xf numFmtId="6" fontId="9" fillId="2" borderId="0" xfId="0" applyNumberFormat="1" applyFont="1" applyFill="1"/>
    <xf numFmtId="6" fontId="9" fillId="2" borderId="3" xfId="0" applyNumberFormat="1" applyFont="1" applyFill="1" applyBorder="1"/>
    <xf numFmtId="6" fontId="2" fillId="2" borderId="7" xfId="0" applyNumberFormat="1" applyFont="1" applyFill="1" applyBorder="1"/>
    <xf numFmtId="6" fontId="2" fillId="2" borderId="8" xfId="0" applyNumberFormat="1" applyFont="1" applyFill="1" applyBorder="1"/>
    <xf numFmtId="6" fontId="2" fillId="2" borderId="9" xfId="0" applyNumberFormat="1" applyFont="1" applyFill="1" applyBorder="1"/>
    <xf numFmtId="6" fontId="1" fillId="0" borderId="3" xfId="1" applyNumberFormat="1" applyFill="1" applyBorder="1"/>
    <xf numFmtId="0" fontId="0" fillId="0" borderId="0" xfId="0" applyFill="1"/>
    <xf numFmtId="0" fontId="2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4" fontId="0" fillId="0" borderId="0" xfId="1" applyFont="1"/>
    <xf numFmtId="6" fontId="1" fillId="0" borderId="2" xfId="1" applyNumberFormat="1" applyFill="1" applyBorder="1"/>
    <xf numFmtId="6" fontId="1" fillId="0" borderId="0" xfId="1" applyNumberFormat="1" applyFill="1" applyBorder="1"/>
    <xf numFmtId="0" fontId="10" fillId="0" borderId="0" xfId="0" applyFont="1" applyAlignment="1">
      <alignment horizontal="left"/>
    </xf>
    <xf numFmtId="6" fontId="1" fillId="2" borderId="13" xfId="1" applyNumberFormat="1" applyFill="1" applyBorder="1"/>
    <xf numFmtId="6" fontId="1" fillId="2" borderId="14" xfId="1" applyNumberFormat="1" applyFill="1" applyBorder="1"/>
    <xf numFmtId="6" fontId="1" fillId="2" borderId="15" xfId="1" applyNumberFormat="1" applyFill="1" applyBorder="1"/>
    <xf numFmtId="6" fontId="0" fillId="2" borderId="11" xfId="0" applyNumberFormat="1" applyFill="1" applyBorder="1"/>
    <xf numFmtId="6" fontId="1" fillId="2" borderId="10" xfId="1" applyNumberFormat="1" applyFill="1" applyBorder="1"/>
    <xf numFmtId="6" fontId="1" fillId="2" borderId="12" xfId="1" applyNumberFormat="1" applyFill="1" applyBorder="1"/>
    <xf numFmtId="6" fontId="1" fillId="2" borderId="11" xfId="1" applyNumberFormat="1" applyFill="1" applyBorder="1"/>
    <xf numFmtId="0" fontId="8" fillId="0" borderId="0" xfId="0" applyFont="1" applyAlignment="1">
      <alignment horizontal="right"/>
    </xf>
    <xf numFmtId="6" fontId="0" fillId="0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6" fontId="1" fillId="0" borderId="13" xfId="1" applyNumberFormat="1" applyFill="1" applyBorder="1"/>
    <xf numFmtId="6" fontId="1" fillId="0" borderId="14" xfId="1" applyNumberFormat="1" applyFill="1" applyBorder="1"/>
    <xf numFmtId="6" fontId="1" fillId="0" borderId="15" xfId="1" applyNumberFormat="1" applyFill="1" applyBorder="1"/>
    <xf numFmtId="6" fontId="1" fillId="0" borderId="11" xfId="1" applyNumberFormat="1" applyFill="1" applyBorder="1"/>
    <xf numFmtId="6" fontId="1" fillId="0" borderId="10" xfId="1" applyNumberFormat="1" applyFill="1" applyBorder="1"/>
    <xf numFmtId="6" fontId="1" fillId="0" borderId="12" xfId="1" applyNumberFormat="1" applyFill="1" applyBorder="1"/>
    <xf numFmtId="6" fontId="0" fillId="0" borderId="11" xfId="0" applyNumberFormat="1" applyFill="1" applyBorder="1"/>
    <xf numFmtId="6" fontId="0" fillId="0" borderId="2" xfId="0" applyNumberFormat="1" applyFill="1" applyBorder="1"/>
    <xf numFmtId="6" fontId="0" fillId="0" borderId="3" xfId="0" applyNumberFormat="1" applyFill="1" applyBorder="1"/>
    <xf numFmtId="6" fontId="9" fillId="0" borderId="2" xfId="0" applyNumberFormat="1" applyFont="1" applyFill="1" applyBorder="1"/>
    <xf numFmtId="6" fontId="9" fillId="0" borderId="0" xfId="0" applyNumberFormat="1" applyFont="1" applyFill="1"/>
    <xf numFmtId="6" fontId="9" fillId="0" borderId="3" xfId="0" applyNumberFormat="1" applyFont="1" applyFill="1" applyBorder="1"/>
    <xf numFmtId="6" fontId="2" fillId="0" borderId="7" xfId="0" applyNumberFormat="1" applyFont="1" applyFill="1" applyBorder="1"/>
    <xf numFmtId="6" fontId="2" fillId="0" borderId="8" xfId="0" applyNumberFormat="1" applyFont="1" applyFill="1" applyBorder="1"/>
    <xf numFmtId="6" fontId="2" fillId="0" borderId="9" xfId="0" applyNumberFormat="1" applyFont="1" applyFill="1" applyBorder="1"/>
    <xf numFmtId="6" fontId="2" fillId="0" borderId="4" xfId="0" applyNumberFormat="1" applyFont="1" applyFill="1" applyBorder="1"/>
    <xf numFmtId="6" fontId="2" fillId="0" borderId="5" xfId="0" applyNumberFormat="1" applyFont="1" applyFill="1" applyBorder="1"/>
    <xf numFmtId="6" fontId="2" fillId="0" borderId="6" xfId="0" applyNumberFormat="1" applyFont="1" applyFill="1" applyBorder="1"/>
    <xf numFmtId="0" fontId="2" fillId="0" borderId="0" xfId="0" applyFont="1" applyFill="1" applyAlignment="1">
      <alignment wrapText="1"/>
    </xf>
    <xf numFmtId="6" fontId="10" fillId="0" borderId="10" xfId="1" applyNumberFormat="1" applyFont="1" applyFill="1" applyBorder="1"/>
    <xf numFmtId="0" fontId="11" fillId="0" borderId="0" xfId="0" quotePrefix="1" applyFont="1"/>
    <xf numFmtId="0" fontId="2" fillId="0" borderId="12" xfId="0" applyFont="1" applyFill="1" applyBorder="1" applyAlignment="1">
      <alignment horizontal="center"/>
    </xf>
    <xf numFmtId="6" fontId="2" fillId="0" borderId="12" xfId="1" applyNumberFormat="1" applyFont="1" applyFill="1" applyBorder="1"/>
    <xf numFmtId="6" fontId="2" fillId="4" borderId="4" xfId="0" applyNumberFormat="1" applyFont="1" applyFill="1" applyBorder="1"/>
    <xf numFmtId="6" fontId="2" fillId="4" borderId="5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7"/>
  <sheetViews>
    <sheetView tabSelected="1" zoomScale="80" zoomScaleNormal="80" workbookViewId="0">
      <pane xSplit="3" ySplit="5" topLeftCell="D96" activePane="bottomRight" state="frozen"/>
      <selection pane="topRight" activeCell="D1" sqref="D1"/>
      <selection pane="bottomLeft" activeCell="A6" sqref="A6"/>
      <selection pane="bottomRight" activeCell="A110" sqref="A110"/>
    </sheetView>
  </sheetViews>
  <sheetFormatPr defaultRowHeight="12.75" x14ac:dyDescent="0.2"/>
  <cols>
    <col min="1" max="1" width="31.42578125" style="57" customWidth="1"/>
    <col min="2" max="2" width="9.85546875" style="57" bestFit="1" customWidth="1"/>
    <col min="3" max="3" width="9.42578125" style="57" bestFit="1" customWidth="1"/>
    <col min="4" max="4" width="15.28515625" style="57" bestFit="1" customWidth="1"/>
    <col min="5" max="5" width="16" style="57" bestFit="1" customWidth="1"/>
    <col min="6" max="6" width="12.7109375" style="57" bestFit="1" customWidth="1"/>
    <col min="7" max="7" width="15.7109375" style="57" bestFit="1" customWidth="1"/>
    <col min="8" max="8" width="17" style="57" bestFit="1" customWidth="1"/>
    <col min="9" max="9" width="13.42578125" style="57" bestFit="1" customWidth="1"/>
    <col min="10" max="10" width="15.7109375" style="57" bestFit="1" customWidth="1"/>
    <col min="11" max="11" width="17" style="57" bestFit="1" customWidth="1"/>
    <col min="12" max="12" width="13.42578125" style="57" bestFit="1" customWidth="1"/>
    <col min="13" max="13" width="15.7109375" style="57" bestFit="1" customWidth="1"/>
    <col min="14" max="14" width="17" style="57" bestFit="1" customWidth="1"/>
    <col min="15" max="15" width="13.42578125" style="57" bestFit="1" customWidth="1"/>
    <col min="16" max="16" width="15.28515625" style="57" bestFit="1" customWidth="1"/>
    <col min="17" max="17" width="16" style="57" bestFit="1" customWidth="1"/>
    <col min="18" max="18" width="14.140625" style="57" bestFit="1" customWidth="1"/>
    <col min="19" max="19" width="15.28515625" style="57" bestFit="1" customWidth="1"/>
    <col min="20" max="20" width="16" style="57" bestFit="1" customWidth="1"/>
    <col min="21" max="21" width="14.140625" style="57" bestFit="1" customWidth="1"/>
    <col min="22" max="22" width="15.7109375" style="57" bestFit="1" customWidth="1"/>
    <col min="23" max="23" width="17" style="57" bestFit="1" customWidth="1"/>
    <col min="24" max="24" width="13.42578125" style="57" bestFit="1" customWidth="1"/>
    <col min="25" max="25" width="17.42578125" style="57" bestFit="1" customWidth="1"/>
    <col min="26" max="26" width="18.42578125" style="57" bestFit="1" customWidth="1"/>
    <col min="27" max="27" width="15.5703125" style="57" bestFit="1" customWidth="1"/>
    <col min="28" max="28" width="9.140625" style="57"/>
    <col min="29" max="29" width="15.140625" style="57" bestFit="1" customWidth="1"/>
    <col min="30" max="16384" width="9.140625" style="57"/>
  </cols>
  <sheetData>
    <row r="1" spans="1:27" customFormat="1" ht="23.25" x14ac:dyDescent="0.35">
      <c r="A1" s="32" t="s">
        <v>70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AA1" s="57"/>
    </row>
    <row r="2" spans="1:27" customFormat="1" ht="15.75" x14ac:dyDescent="0.25">
      <c r="A2" s="33" t="s">
        <v>71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AA2" s="57"/>
    </row>
    <row r="3" spans="1:27" customFormat="1" x14ac:dyDescent="0.2">
      <c r="A3" s="31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AA3" s="57"/>
    </row>
    <row r="4" spans="1:27" customFormat="1" x14ac:dyDescent="0.2">
      <c r="A4" s="31"/>
      <c r="B4" s="31"/>
      <c r="C4" s="1" t="s">
        <v>72</v>
      </c>
      <c r="D4" s="41">
        <v>37257</v>
      </c>
      <c r="E4" s="42"/>
      <c r="F4" s="43"/>
      <c r="G4" s="34">
        <v>37258</v>
      </c>
      <c r="H4" s="35"/>
      <c r="I4" s="36"/>
      <c r="J4" s="105">
        <v>37259</v>
      </c>
      <c r="K4" s="106"/>
      <c r="L4" s="107"/>
      <c r="M4" s="105">
        <v>37260</v>
      </c>
      <c r="N4" s="106"/>
      <c r="O4" s="107"/>
      <c r="P4" s="108">
        <v>37261</v>
      </c>
      <c r="Q4" s="109"/>
      <c r="R4" s="110"/>
      <c r="S4" s="108">
        <v>37262</v>
      </c>
      <c r="T4" s="109"/>
      <c r="U4" s="110"/>
      <c r="V4" s="105">
        <v>37263</v>
      </c>
      <c r="W4" s="106"/>
      <c r="X4" s="107"/>
      <c r="Y4" s="105" t="s">
        <v>73</v>
      </c>
      <c r="Z4" s="106"/>
      <c r="AA4" s="107"/>
    </row>
    <row r="5" spans="1:27" customFormat="1" x14ac:dyDescent="0.2">
      <c r="A5" s="58" t="s">
        <v>74</v>
      </c>
      <c r="B5" s="58" t="s">
        <v>75</v>
      </c>
      <c r="C5" s="58" t="s">
        <v>76</v>
      </c>
      <c r="D5" s="77" t="s">
        <v>5</v>
      </c>
      <c r="E5" s="78" t="s">
        <v>3</v>
      </c>
      <c r="F5" s="79" t="s">
        <v>77</v>
      </c>
      <c r="G5" s="62" t="s">
        <v>5</v>
      </c>
      <c r="H5" s="58" t="s">
        <v>3</v>
      </c>
      <c r="I5" s="63" t="s">
        <v>77</v>
      </c>
      <c r="J5" s="62" t="s">
        <v>5</v>
      </c>
      <c r="K5" s="58" t="s">
        <v>3</v>
      </c>
      <c r="L5" s="63" t="s">
        <v>77</v>
      </c>
      <c r="M5" s="62" t="s">
        <v>5</v>
      </c>
      <c r="N5" s="58" t="s">
        <v>3</v>
      </c>
      <c r="O5" s="63" t="s">
        <v>77</v>
      </c>
      <c r="P5" s="59" t="s">
        <v>5</v>
      </c>
      <c r="Q5" s="60" t="s">
        <v>3</v>
      </c>
      <c r="R5" s="61" t="s">
        <v>77</v>
      </c>
      <c r="S5" s="59" t="s">
        <v>5</v>
      </c>
      <c r="T5" s="60" t="s">
        <v>3</v>
      </c>
      <c r="U5" s="61" t="s">
        <v>77</v>
      </c>
      <c r="V5" s="62" t="s">
        <v>5</v>
      </c>
      <c r="W5" s="58" t="s">
        <v>3</v>
      </c>
      <c r="X5" s="63" t="s">
        <v>77</v>
      </c>
      <c r="Y5" s="62" t="s">
        <v>5</v>
      </c>
      <c r="Z5" s="58" t="s">
        <v>3</v>
      </c>
      <c r="AA5" s="101" t="s">
        <v>77</v>
      </c>
    </row>
    <row r="6" spans="1:27" customFormat="1" x14ac:dyDescent="0.2">
      <c r="A6" t="s">
        <v>1</v>
      </c>
      <c r="B6" t="s">
        <v>62</v>
      </c>
      <c r="C6" t="s">
        <v>78</v>
      </c>
      <c r="D6" s="68">
        <f>HLOOKUP($D$4,VP_PJM_PK,18,FALSE)</f>
        <v>19080</v>
      </c>
      <c r="E6" s="69">
        <f>HLOOKUP($D$4,VP_PJM_PK,17,FALSE)</f>
        <v>-19000</v>
      </c>
      <c r="F6" s="70">
        <f>SUM(D6:E6)</f>
        <v>80</v>
      </c>
      <c r="G6" s="80">
        <f>HLOOKUP($G$4,VP_PJM_PK,18,FALSE)</f>
        <v>590112</v>
      </c>
      <c r="H6" s="81">
        <f>HLOOKUP($G$4,VP_PJM_PK,17,FALSE)</f>
        <v>-539880</v>
      </c>
      <c r="I6" s="82">
        <f>SUM(G6:H6)</f>
        <v>50232</v>
      </c>
      <c r="J6" s="80">
        <f>HLOOKUP($J$4,VP_PJM_PK,18,FALSE)</f>
        <v>590112</v>
      </c>
      <c r="K6" s="81">
        <f>HLOOKUP($J$4,VP_PJM_PK,17,FALSE)</f>
        <v>-539880</v>
      </c>
      <c r="L6" s="82">
        <f>SUM(J6:K6)</f>
        <v>50232</v>
      </c>
      <c r="M6" s="80">
        <f>HLOOKUP($M$4,VP_PJM_PK,18,FALSE)</f>
        <v>590112</v>
      </c>
      <c r="N6" s="81">
        <f>HLOOKUP($M$4,VP_PJM_PK,17,FALSE)</f>
        <v>-539880</v>
      </c>
      <c r="O6" s="82">
        <f>SUM(M6:N6)</f>
        <v>50232</v>
      </c>
      <c r="P6" s="68">
        <f>HLOOKUP($P$4,VP_PJM_PK,18,FALSE)</f>
        <v>19080</v>
      </c>
      <c r="Q6" s="69">
        <f>HLOOKUP($P$4,VP_PJM_PK,17,FALSE)</f>
        <v>-19000</v>
      </c>
      <c r="R6" s="70">
        <f>F6</f>
        <v>80</v>
      </c>
      <c r="S6" s="68">
        <f>HLOOKUP($S$4,VP_PJM_PK,18,FALSE)</f>
        <v>19080</v>
      </c>
      <c r="T6" s="69">
        <f>HLOOKUP($S$4,VP_PJM_PK,17,FALSE)</f>
        <v>-19000</v>
      </c>
      <c r="U6" s="70">
        <f>R6</f>
        <v>80</v>
      </c>
      <c r="V6" s="80">
        <f>HLOOKUP($V$4,VP_PJM_PK,18,FALSE)</f>
        <v>590112</v>
      </c>
      <c r="W6" s="81">
        <f>HLOOKUP($V$4,VP_PJM_PK,17,FALSE)</f>
        <v>-539880</v>
      </c>
      <c r="X6" s="82">
        <f>SUM(V6:W6)</f>
        <v>50232</v>
      </c>
      <c r="Y6" s="80">
        <f t="shared" ref="Y6:Z12" si="0">SUM(D6,G6,J6,M6,P6,S6,V6)</f>
        <v>2417688</v>
      </c>
      <c r="Z6" s="81">
        <f t="shared" si="0"/>
        <v>-2216520</v>
      </c>
      <c r="AA6" s="82">
        <f>SUM(Y6:Z6)</f>
        <v>201168</v>
      </c>
    </row>
    <row r="7" spans="1:27" customFormat="1" x14ac:dyDescent="0.2">
      <c r="A7" t="s">
        <v>1</v>
      </c>
      <c r="B7" t="s">
        <v>62</v>
      </c>
      <c r="C7" t="s">
        <v>76</v>
      </c>
      <c r="D7" s="45">
        <f>HLOOKUP($D$4,VP_PJM_OFF,18,FALSE)</f>
        <v>9540</v>
      </c>
      <c r="E7" s="46">
        <f>HLOOKUP($D$4,VP_PJM_OFF,17,FALSE)</f>
        <v>-9500</v>
      </c>
      <c r="F7" s="44">
        <f t="shared" ref="F7:F12" si="1">SUM(D7:E7)</f>
        <v>40</v>
      </c>
      <c r="G7" s="65">
        <f>HLOOKUP($G$4,VP_PJM_OFF,18,FALSE)</f>
        <v>9540</v>
      </c>
      <c r="H7" s="66">
        <f>HLOOKUP($G$4,VP_PJM_OFF,17,FALSE)</f>
        <v>-9500</v>
      </c>
      <c r="I7" s="56">
        <f t="shared" ref="I7:I12" si="2">SUM(G7:H7)</f>
        <v>40</v>
      </c>
      <c r="J7" s="65">
        <f>HLOOKUP($J$4,VP_PJM_OFF,18,FALSE)</f>
        <v>9540</v>
      </c>
      <c r="K7" s="66">
        <f>HLOOKUP($J$4,VP_PJM_OFF,17,FALSE)</f>
        <v>-9500</v>
      </c>
      <c r="L7" s="56">
        <f t="shared" ref="L7:L12" si="3">SUM(J7:K7)</f>
        <v>40</v>
      </c>
      <c r="M7" s="65">
        <f>HLOOKUP($M$4,VP_PJM_OFF,18,FALSE)</f>
        <v>9540</v>
      </c>
      <c r="N7" s="66">
        <f>HLOOKUP($M$4,VP_PJM_OFF,17,FALSE)</f>
        <v>-9500</v>
      </c>
      <c r="O7" s="56">
        <f t="shared" ref="O7:O12" si="4">SUM(M7:N7)</f>
        <v>40</v>
      </c>
      <c r="P7" s="45">
        <f>HLOOKUP($P$4,VP_PJM_OFF,18,FALSE)</f>
        <v>9540</v>
      </c>
      <c r="Q7" s="46">
        <f>HLOOKUP($P$4,VP_PJM_OFF,17,FALSE)</f>
        <v>-9500</v>
      </c>
      <c r="R7" s="44">
        <f t="shared" ref="R7:R12" si="5">F7</f>
        <v>40</v>
      </c>
      <c r="S7" s="45">
        <f>HLOOKUP($S$4,VP_PJM_OFF,18,FALSE)</f>
        <v>9540</v>
      </c>
      <c r="T7" s="46">
        <f>HLOOKUP($S$4,VP_PJM_OFF,17,FALSE)</f>
        <v>-9500</v>
      </c>
      <c r="U7" s="44">
        <f t="shared" ref="U7:U12" si="6">R7</f>
        <v>40</v>
      </c>
      <c r="V7" s="65">
        <f>HLOOKUP($V$4,VP_PJM_OFF,18,FALSE)</f>
        <v>9540</v>
      </c>
      <c r="W7" s="66">
        <f>HLOOKUP($V$4,VP_PJM_OFF,17,FALSE)</f>
        <v>-9500</v>
      </c>
      <c r="X7" s="56">
        <f t="shared" ref="X7:X12" si="7">SUM(V7:W7)</f>
        <v>40</v>
      </c>
      <c r="Y7" s="65">
        <f t="shared" si="0"/>
        <v>66780</v>
      </c>
      <c r="Z7" s="66">
        <f t="shared" si="0"/>
        <v>-66500</v>
      </c>
      <c r="AA7" s="56">
        <f t="shared" ref="AA7:AA12" si="8">SUM(Y7:Z7)</f>
        <v>280</v>
      </c>
    </row>
    <row r="8" spans="1:27" customFormat="1" x14ac:dyDescent="0.2">
      <c r="A8" t="s">
        <v>1</v>
      </c>
      <c r="B8" t="s">
        <v>63</v>
      </c>
      <c r="C8" t="s">
        <v>78</v>
      </c>
      <c r="D8" s="45">
        <f>HLOOKUP($D$4,VP_ENT_PK,18,FALSE)</f>
        <v>0</v>
      </c>
      <c r="E8" s="46">
        <f>HLOOKUP($D$4,VP_ENT_PK,17,FALSE)</f>
        <v>0</v>
      </c>
      <c r="F8" s="44">
        <f t="shared" si="1"/>
        <v>0</v>
      </c>
      <c r="G8" s="65">
        <f>HLOOKUP($G$4,VP_ENT_PK,18,FALSE)</f>
        <v>19400</v>
      </c>
      <c r="H8" s="66">
        <f>HLOOKUP($G$4,VP_ENT_PK,17,FALSE)</f>
        <v>-18632</v>
      </c>
      <c r="I8" s="56">
        <f t="shared" si="2"/>
        <v>768</v>
      </c>
      <c r="J8" s="65">
        <f>HLOOKUP($J$4,VP_ENT_PK,18,FALSE)</f>
        <v>19400</v>
      </c>
      <c r="K8" s="66">
        <f>HLOOKUP($J$4,VP_ENT_PK,17,FALSE)</f>
        <v>-18632</v>
      </c>
      <c r="L8" s="56">
        <f t="shared" si="3"/>
        <v>768</v>
      </c>
      <c r="M8" s="65">
        <f>HLOOKUP($M$4,VP_ENT_PK,18,FALSE)</f>
        <v>19400</v>
      </c>
      <c r="N8" s="66">
        <f>HLOOKUP($M$4,VP_ENT_PK,17,FALSE)</f>
        <v>-18632</v>
      </c>
      <c r="O8" s="56">
        <f t="shared" si="4"/>
        <v>768</v>
      </c>
      <c r="P8" s="45">
        <f>HLOOKUP($P$4,VP_ENT_PK,18,FALSE)</f>
        <v>0</v>
      </c>
      <c r="Q8" s="46">
        <f>HLOOKUP($P$4,VP_ENT_PK,17,FALSE)</f>
        <v>0</v>
      </c>
      <c r="R8" s="44">
        <f t="shared" si="5"/>
        <v>0</v>
      </c>
      <c r="S8" s="45">
        <f>HLOOKUP($S$4,VP_ENT_PK,18,FALSE)</f>
        <v>0</v>
      </c>
      <c r="T8" s="46">
        <f>HLOOKUP($S$4,VP_ENT_PK,17,FALSE)</f>
        <v>0</v>
      </c>
      <c r="U8" s="44">
        <f t="shared" si="6"/>
        <v>0</v>
      </c>
      <c r="V8" s="65">
        <f>HLOOKUP($V$4,VP_ENT_PK,18,FALSE)</f>
        <v>19400</v>
      </c>
      <c r="W8" s="66">
        <f>HLOOKUP($V$4,VP_ENT_PK,17,FALSE)</f>
        <v>-18632</v>
      </c>
      <c r="X8" s="56">
        <f t="shared" si="7"/>
        <v>768</v>
      </c>
      <c r="Y8" s="65">
        <f t="shared" si="0"/>
        <v>77600</v>
      </c>
      <c r="Z8" s="66">
        <f t="shared" si="0"/>
        <v>-74528</v>
      </c>
      <c r="AA8" s="56">
        <f t="shared" si="8"/>
        <v>3072</v>
      </c>
    </row>
    <row r="9" spans="1:27" customFormat="1" x14ac:dyDescent="0.2">
      <c r="A9" t="s">
        <v>1</v>
      </c>
      <c r="B9" t="s">
        <v>64</v>
      </c>
      <c r="C9" t="s">
        <v>78</v>
      </c>
      <c r="D9" s="45">
        <f>HLOOKUP($D$4,VP_CIN_PK,18,FALSE)</f>
        <v>14600</v>
      </c>
      <c r="E9" s="46">
        <f>HLOOKUP($D$4,VP_CIN_PK,17,FALSE)</f>
        <v>-17600</v>
      </c>
      <c r="F9" s="44">
        <f t="shared" si="1"/>
        <v>-3000</v>
      </c>
      <c r="G9" s="65">
        <f>HLOOKUP($G$4,VP_CIN_PK,18,FALSE)</f>
        <v>710000</v>
      </c>
      <c r="H9" s="66">
        <f>HLOOKUP($G$4,VP_CIN_PK,17,FALSE)</f>
        <v>-590976</v>
      </c>
      <c r="I9" s="56">
        <f t="shared" si="2"/>
        <v>119024</v>
      </c>
      <c r="J9" s="65">
        <f>HLOOKUP($J$4,VP_CIN_PK,18,FALSE)</f>
        <v>710000</v>
      </c>
      <c r="K9" s="66">
        <f>HLOOKUP($J$4,VP_CIN_PK,17,FALSE)</f>
        <v>-590976</v>
      </c>
      <c r="L9" s="56">
        <f t="shared" si="3"/>
        <v>119024</v>
      </c>
      <c r="M9" s="65">
        <f>HLOOKUP($M$4,VP_CIN_PK,18,FALSE)</f>
        <v>710000</v>
      </c>
      <c r="N9" s="66">
        <f>HLOOKUP($M$4,VP_CIN_PK,17,FALSE)</f>
        <v>-590976</v>
      </c>
      <c r="O9" s="56">
        <f t="shared" si="4"/>
        <v>119024</v>
      </c>
      <c r="P9" s="45">
        <f>HLOOKUP($P$4,VP_CIN_PK,18,FALSE)</f>
        <v>14600</v>
      </c>
      <c r="Q9" s="46">
        <f>HLOOKUP($P$4,VP_CIN_PK,17,FALSE)</f>
        <v>-17600</v>
      </c>
      <c r="R9" s="44">
        <f t="shared" si="5"/>
        <v>-3000</v>
      </c>
      <c r="S9" s="45">
        <f>HLOOKUP($S$4,VP_CIN_PK,18,FALSE)</f>
        <v>14600</v>
      </c>
      <c r="T9" s="46">
        <f>HLOOKUP($S$4,VP_CIN_PK,17,FALSE)</f>
        <v>-17600</v>
      </c>
      <c r="U9" s="44">
        <f t="shared" si="6"/>
        <v>-3000</v>
      </c>
      <c r="V9" s="65">
        <f>HLOOKUP($V$4,VP_CIN_PK,18,FALSE)</f>
        <v>710000</v>
      </c>
      <c r="W9" s="66">
        <f>HLOOKUP($V$4,VP_CIN_PK,17,FALSE)</f>
        <v>-590976</v>
      </c>
      <c r="X9" s="56">
        <f t="shared" si="7"/>
        <v>119024</v>
      </c>
      <c r="Y9" s="65">
        <f t="shared" si="0"/>
        <v>2883800</v>
      </c>
      <c r="Z9" s="66">
        <f t="shared" si="0"/>
        <v>-2416704</v>
      </c>
      <c r="AA9" s="56">
        <f t="shared" si="8"/>
        <v>467096</v>
      </c>
    </row>
    <row r="10" spans="1:27" customFormat="1" x14ac:dyDescent="0.2">
      <c r="A10" t="s">
        <v>1</v>
      </c>
      <c r="B10" t="s">
        <v>64</v>
      </c>
      <c r="C10" t="s">
        <v>76</v>
      </c>
      <c r="D10" s="45">
        <f>HLOOKUP($D$4,VP_CIN_OFF,18,FALSE)</f>
        <v>7300</v>
      </c>
      <c r="E10" s="46">
        <f>HLOOKUP($D$4,VP_CIN_OFF,17,FALSE)</f>
        <v>-8800</v>
      </c>
      <c r="F10" s="44">
        <f t="shared" si="1"/>
        <v>-1500</v>
      </c>
      <c r="G10" s="65">
        <f>HLOOKUP($G$4,VP_CIN_OFF,18,FALSE)</f>
        <v>7300</v>
      </c>
      <c r="H10" s="66">
        <f>HLOOKUP($G$4,VP_CIN_OFF,17,FALSE)</f>
        <v>-8800</v>
      </c>
      <c r="I10" s="56">
        <f t="shared" si="2"/>
        <v>-1500</v>
      </c>
      <c r="J10" s="65">
        <f>HLOOKUP($J$4,VP_CIN_OFF,18,FALSE)</f>
        <v>7300</v>
      </c>
      <c r="K10" s="66">
        <f>HLOOKUP($J$4,VP_CIN_OFF,17,FALSE)</f>
        <v>-8800</v>
      </c>
      <c r="L10" s="56">
        <f t="shared" si="3"/>
        <v>-1500</v>
      </c>
      <c r="M10" s="65">
        <f>HLOOKUP($M$4,VP_CIN_OFF,18,FALSE)</f>
        <v>7300</v>
      </c>
      <c r="N10" s="66">
        <f>HLOOKUP($M$4,VP_CIN_OFF,17,FALSE)</f>
        <v>-8800</v>
      </c>
      <c r="O10" s="56">
        <f t="shared" si="4"/>
        <v>-1500</v>
      </c>
      <c r="P10" s="45">
        <f>HLOOKUP($P$4,VP_CIN_OFF,18,FALSE)</f>
        <v>7300</v>
      </c>
      <c r="Q10" s="46">
        <f>HLOOKUP($P$4,VP_CIN_OFF,17,FALSE)</f>
        <v>-8800</v>
      </c>
      <c r="R10" s="44">
        <f t="shared" si="5"/>
        <v>-1500</v>
      </c>
      <c r="S10" s="45">
        <f>HLOOKUP($S$4,VP_CIN_OFF,18,FALSE)</f>
        <v>7300</v>
      </c>
      <c r="T10" s="46">
        <f>HLOOKUP($S$4,VP_CIN_OFF,17,FALSE)</f>
        <v>-8800</v>
      </c>
      <c r="U10" s="44">
        <f t="shared" si="6"/>
        <v>-1500</v>
      </c>
      <c r="V10" s="65">
        <f>HLOOKUP($V$4,VP_CIN_OFF,18,FALSE)</f>
        <v>7300</v>
      </c>
      <c r="W10" s="66">
        <f>HLOOKUP($V$4,VP_CIN_OFF,17,FALSE)</f>
        <v>-8800</v>
      </c>
      <c r="X10" s="56">
        <f t="shared" si="7"/>
        <v>-1500</v>
      </c>
      <c r="Y10" s="65">
        <f t="shared" si="0"/>
        <v>51100</v>
      </c>
      <c r="Z10" s="66">
        <f t="shared" si="0"/>
        <v>-61600</v>
      </c>
      <c r="AA10" s="56">
        <f t="shared" si="8"/>
        <v>-10500</v>
      </c>
    </row>
    <row r="11" spans="1:27" customFormat="1" x14ac:dyDescent="0.2">
      <c r="A11" t="s">
        <v>1</v>
      </c>
      <c r="B11" t="s">
        <v>68</v>
      </c>
      <c r="C11" t="s">
        <v>78</v>
      </c>
      <c r="D11" s="45">
        <f>HLOOKUP($D$4,VP_NEP_PK,18,FALSE)</f>
        <v>54400</v>
      </c>
      <c r="E11" s="46">
        <f>HLOOKUP($D$4,VP_NEP_PK,17,FALSE)</f>
        <v>-59200</v>
      </c>
      <c r="F11" s="44">
        <f t="shared" si="1"/>
        <v>-4800</v>
      </c>
      <c r="G11" s="65">
        <f>HLOOKUP($G$4,VP_NEP_PK,18,FALSE)</f>
        <v>864512</v>
      </c>
      <c r="H11" s="66">
        <f>HLOOKUP($G$4,VP_NEP_PK,17,FALSE)</f>
        <v>-807904</v>
      </c>
      <c r="I11" s="56">
        <f t="shared" si="2"/>
        <v>56608</v>
      </c>
      <c r="J11" s="65">
        <f>HLOOKUP($J$4,VP_NEP_PK,18,FALSE)</f>
        <v>864512</v>
      </c>
      <c r="K11" s="66">
        <f>HLOOKUP($J$4,VP_NEP_PK,17,FALSE)</f>
        <v>-807904</v>
      </c>
      <c r="L11" s="56">
        <f t="shared" si="3"/>
        <v>56608</v>
      </c>
      <c r="M11" s="65">
        <f>HLOOKUP($M$4,VP_NEP_PK,18,FALSE)</f>
        <v>864512</v>
      </c>
      <c r="N11" s="66">
        <f>HLOOKUP($M$4,VP_NEP_PK,17,FALSE)</f>
        <v>-807904</v>
      </c>
      <c r="O11" s="56">
        <f t="shared" si="4"/>
        <v>56608</v>
      </c>
      <c r="P11" s="45">
        <f>HLOOKUP($P$4,VP_NEP_PK,18,FALSE)</f>
        <v>54400</v>
      </c>
      <c r="Q11" s="46">
        <f>HLOOKUP($P$4,VP_NEP_PK,17,FALSE)</f>
        <v>-59200</v>
      </c>
      <c r="R11" s="44">
        <f t="shared" si="5"/>
        <v>-4800</v>
      </c>
      <c r="S11" s="45">
        <f>HLOOKUP($S$4,VP_NEP_PK,18,FALSE)</f>
        <v>54400</v>
      </c>
      <c r="T11" s="46">
        <f>HLOOKUP($S$4,VP_NEP_PK,17,FALSE)</f>
        <v>-59200</v>
      </c>
      <c r="U11" s="44">
        <f t="shared" si="6"/>
        <v>-4800</v>
      </c>
      <c r="V11" s="65">
        <f>HLOOKUP($V$4,VP_NEP_PK,18,FALSE)</f>
        <v>864512</v>
      </c>
      <c r="W11" s="66">
        <f>HLOOKUP($V$4,VP_NEP_PK,17,FALSE)</f>
        <v>-807904</v>
      </c>
      <c r="X11" s="56">
        <f t="shared" si="7"/>
        <v>56608</v>
      </c>
      <c r="Y11" s="65">
        <f t="shared" si="0"/>
        <v>3621248</v>
      </c>
      <c r="Z11" s="66">
        <f t="shared" si="0"/>
        <v>-3409216</v>
      </c>
      <c r="AA11" s="56">
        <f t="shared" si="8"/>
        <v>212032</v>
      </c>
    </row>
    <row r="12" spans="1:27" customFormat="1" x14ac:dyDescent="0.2">
      <c r="A12" t="s">
        <v>1</v>
      </c>
      <c r="B12" t="s">
        <v>68</v>
      </c>
      <c r="C12" t="s">
        <v>76</v>
      </c>
      <c r="D12" s="45">
        <f>HLOOKUP($D$4,VP_NEP_OFF,18,FALSE)</f>
        <v>27200</v>
      </c>
      <c r="E12" s="46">
        <f>HLOOKUP($D$4,VP_NEP_OFF,17,FALSE)</f>
        <v>-29600</v>
      </c>
      <c r="F12" s="44">
        <f t="shared" si="1"/>
        <v>-2400</v>
      </c>
      <c r="G12" s="65">
        <f>HLOOKUP($G$4,VP_NEP_OFF,18,FALSE)</f>
        <v>27200</v>
      </c>
      <c r="H12" s="66">
        <f>HLOOKUP($G$4,VP_NEP_OFF,17,FALSE)</f>
        <v>-29600</v>
      </c>
      <c r="I12" s="56">
        <f t="shared" si="2"/>
        <v>-2400</v>
      </c>
      <c r="J12" s="65">
        <f>HLOOKUP($J$4,VP_NEP_OFF,18,FALSE)</f>
        <v>27200</v>
      </c>
      <c r="K12" s="66">
        <f>HLOOKUP($J$4,VP_NEP_OFF,17,FALSE)</f>
        <v>-29600</v>
      </c>
      <c r="L12" s="56">
        <f t="shared" si="3"/>
        <v>-2400</v>
      </c>
      <c r="M12" s="65">
        <f>HLOOKUP($M$4,VP_NEP_OFF,18,FALSE)</f>
        <v>27200</v>
      </c>
      <c r="N12" s="66">
        <f>HLOOKUP($M$4,VP_NEP_OFF,17,FALSE)</f>
        <v>-29600</v>
      </c>
      <c r="O12" s="56">
        <f t="shared" si="4"/>
        <v>-2400</v>
      </c>
      <c r="P12" s="45">
        <f>HLOOKUP($P$4,VP_NEP_OFF,18,FALSE)</f>
        <v>27200</v>
      </c>
      <c r="Q12" s="46">
        <f>HLOOKUP($P$4,VP_NEP_OFF,17,FALSE)</f>
        <v>-29600</v>
      </c>
      <c r="R12" s="44">
        <f t="shared" si="5"/>
        <v>-2400</v>
      </c>
      <c r="S12" s="45">
        <f>HLOOKUP($S$4,VP_NEP_OFF,18,FALSE)</f>
        <v>27200</v>
      </c>
      <c r="T12" s="46">
        <f>HLOOKUP($S$4,VP_NEP_OFF,17,FALSE)</f>
        <v>-29600</v>
      </c>
      <c r="U12" s="44">
        <f t="shared" si="6"/>
        <v>-2400</v>
      </c>
      <c r="V12" s="65">
        <f>HLOOKUP($V$4,VP_NEP_OFF,18,FALSE)</f>
        <v>27200</v>
      </c>
      <c r="W12" s="66">
        <f>HLOOKUP($V$4,VP_NEP_OFF,17,FALSE)</f>
        <v>-29600</v>
      </c>
      <c r="X12" s="56">
        <f t="shared" si="7"/>
        <v>-2400</v>
      </c>
      <c r="Y12" s="65">
        <f t="shared" si="0"/>
        <v>190400</v>
      </c>
      <c r="Z12" s="66">
        <f t="shared" si="0"/>
        <v>-207200</v>
      </c>
      <c r="AA12" s="56">
        <f t="shared" si="8"/>
        <v>-16800</v>
      </c>
    </row>
    <row r="13" spans="1:27" customFormat="1" ht="6" customHeight="1" x14ac:dyDescent="0.2">
      <c r="D13" s="74"/>
      <c r="E13" s="72"/>
      <c r="F13" s="73"/>
      <c r="G13" s="83"/>
      <c r="H13" s="84"/>
      <c r="I13" s="85"/>
      <c r="J13" s="83"/>
      <c r="K13" s="84"/>
      <c r="L13" s="85"/>
      <c r="M13" s="83"/>
      <c r="N13" s="84"/>
      <c r="O13" s="85"/>
      <c r="P13" s="74"/>
      <c r="Q13" s="72"/>
      <c r="R13" s="73"/>
      <c r="S13" s="74"/>
      <c r="T13" s="72"/>
      <c r="U13" s="73"/>
      <c r="V13" s="83"/>
      <c r="W13" s="84"/>
      <c r="X13" s="85"/>
      <c r="Y13" s="83"/>
      <c r="Z13" s="84"/>
      <c r="AA13" s="85"/>
    </row>
    <row r="14" spans="1:27" customFormat="1" x14ac:dyDescent="0.2">
      <c r="A14" s="1" t="s">
        <v>1</v>
      </c>
      <c r="B14" s="31" t="s">
        <v>73</v>
      </c>
      <c r="D14" s="45">
        <f t="shared" ref="D14:L14" si="9">SUM(D6:D11)</f>
        <v>104920</v>
      </c>
      <c r="E14" s="46">
        <f t="shared" si="9"/>
        <v>-114100</v>
      </c>
      <c r="F14" s="44">
        <f t="shared" si="9"/>
        <v>-9180</v>
      </c>
      <c r="G14" s="65">
        <f t="shared" si="9"/>
        <v>2200864</v>
      </c>
      <c r="H14" s="66">
        <f t="shared" si="9"/>
        <v>-1975692</v>
      </c>
      <c r="I14" s="56">
        <f t="shared" si="9"/>
        <v>225172</v>
      </c>
      <c r="J14" s="65">
        <f t="shared" si="9"/>
        <v>2200864</v>
      </c>
      <c r="K14" s="66">
        <f t="shared" si="9"/>
        <v>-1975692</v>
      </c>
      <c r="L14" s="56">
        <f t="shared" si="9"/>
        <v>225172</v>
      </c>
      <c r="M14" s="65">
        <f t="shared" ref="M14:X14" si="10">SUM(M6:M11)</f>
        <v>2200864</v>
      </c>
      <c r="N14" s="66">
        <f t="shared" si="10"/>
        <v>-1975692</v>
      </c>
      <c r="O14" s="56">
        <f t="shared" si="10"/>
        <v>225172</v>
      </c>
      <c r="P14" s="45">
        <f t="shared" si="10"/>
        <v>104920</v>
      </c>
      <c r="Q14" s="46">
        <f t="shared" si="10"/>
        <v>-114100</v>
      </c>
      <c r="R14" s="44">
        <f t="shared" si="10"/>
        <v>-9180</v>
      </c>
      <c r="S14" s="45">
        <f t="shared" si="10"/>
        <v>104920</v>
      </c>
      <c r="T14" s="46">
        <f t="shared" si="10"/>
        <v>-114100</v>
      </c>
      <c r="U14" s="44">
        <f t="shared" si="10"/>
        <v>-9180</v>
      </c>
      <c r="V14" s="65">
        <f t="shared" si="10"/>
        <v>2200864</v>
      </c>
      <c r="W14" s="66">
        <f t="shared" si="10"/>
        <v>-1975692</v>
      </c>
      <c r="X14" s="56">
        <f t="shared" si="10"/>
        <v>225172</v>
      </c>
      <c r="Y14" s="65">
        <f>SUM(Y6:Y13)</f>
        <v>9308616</v>
      </c>
      <c r="Z14" s="66">
        <f>SUM(Z6:Z13)</f>
        <v>-8452268</v>
      </c>
      <c r="AA14" s="56">
        <f>SUM(AA6:AA12)</f>
        <v>856348</v>
      </c>
    </row>
    <row r="15" spans="1:27" x14ac:dyDescent="0.2">
      <c r="D15" s="68"/>
      <c r="E15" s="69"/>
      <c r="F15" s="70"/>
      <c r="G15" s="80"/>
      <c r="H15" s="81"/>
      <c r="I15" s="82"/>
      <c r="J15" s="80"/>
      <c r="K15" s="81"/>
      <c r="L15" s="82"/>
      <c r="M15" s="80"/>
      <c r="N15" s="81"/>
      <c r="O15" s="82"/>
      <c r="P15" s="68"/>
      <c r="Q15" s="69"/>
      <c r="R15" s="70"/>
      <c r="S15" s="68"/>
      <c r="T15" s="69"/>
      <c r="U15" s="70"/>
      <c r="V15" s="80"/>
      <c r="W15" s="81"/>
      <c r="X15" s="82"/>
      <c r="Y15" s="80"/>
      <c r="Z15" s="81"/>
      <c r="AA15" s="82"/>
    </row>
    <row r="16" spans="1:27" customFormat="1" x14ac:dyDescent="0.2">
      <c r="A16" t="s">
        <v>17</v>
      </c>
      <c r="B16" t="s">
        <v>62</v>
      </c>
      <c r="C16" t="s">
        <v>78</v>
      </c>
      <c r="D16" s="45">
        <f>HLOOKUP($D$4,SEL_PJM_PK,18,FALSE)</f>
        <v>0</v>
      </c>
      <c r="E16" s="46">
        <f>HLOOKUP($D$4,SEL_PJM_PK,17,FALSE)</f>
        <v>0</v>
      </c>
      <c r="F16" s="44">
        <f>SUM(D16:E16)</f>
        <v>0</v>
      </c>
      <c r="G16" s="65">
        <f>HLOOKUP($G$4,SEL_PJM_PK,18,FALSE)</f>
        <v>373984</v>
      </c>
      <c r="H16" s="66">
        <f>HLOOKUP($G$4,SEL_PJM_PK,17,FALSE)</f>
        <v>-404896</v>
      </c>
      <c r="I16" s="56">
        <f>SUM(G16:H16)</f>
        <v>-30912</v>
      </c>
      <c r="J16" s="65">
        <f>HLOOKUP($J$4,SEL_PJM_PK,18,FALSE)</f>
        <v>373984</v>
      </c>
      <c r="K16" s="66">
        <f>HLOOKUP($J$4,SEL_PJM_PK,17,FALSE)</f>
        <v>-404896</v>
      </c>
      <c r="L16" s="56">
        <f>SUM(J16:K16)</f>
        <v>-30912</v>
      </c>
      <c r="M16" s="65">
        <f>HLOOKUP($M$4,SEL_PJM_PK,18,FALSE)</f>
        <v>373984</v>
      </c>
      <c r="N16" s="66">
        <f>HLOOKUP($M$4,SEL_PJM_PK,17,FALSE)</f>
        <v>-404896</v>
      </c>
      <c r="O16" s="56">
        <f>SUM(M16:N16)</f>
        <v>-30912</v>
      </c>
      <c r="P16" s="45">
        <f>HLOOKUP($P$4,SEL_PJM_PK,18,FALSE)</f>
        <v>0</v>
      </c>
      <c r="Q16" s="46">
        <f>HLOOKUP($P$4,SEL_PJM_PK,17,FALSE)</f>
        <v>0</v>
      </c>
      <c r="R16" s="44">
        <f>F16</f>
        <v>0</v>
      </c>
      <c r="S16" s="45">
        <f>HLOOKUP($S$4,SEL_PJM_PK,18,FALSE)</f>
        <v>0</v>
      </c>
      <c r="T16" s="46">
        <f>HLOOKUP($S$4,SEL_PJM_PK,17,FALSE)</f>
        <v>0</v>
      </c>
      <c r="U16" s="44">
        <f>R16</f>
        <v>0</v>
      </c>
      <c r="V16" s="65">
        <f>HLOOKUP($V$4,SEL_PJM_PK,18,FALSE)</f>
        <v>373984</v>
      </c>
      <c r="W16" s="66">
        <f>HLOOKUP($V$4,SEL_PJM_PK,17,FALSE)</f>
        <v>-404896</v>
      </c>
      <c r="X16" s="56">
        <f>SUM(V16:W16)</f>
        <v>-30912</v>
      </c>
      <c r="Y16" s="65">
        <f t="shared" ref="Y16:Z19" si="11">SUM(D16,G16,J16,M16,P16,S16,V16)</f>
        <v>1495936</v>
      </c>
      <c r="Z16" s="66">
        <f t="shared" si="11"/>
        <v>-1619584</v>
      </c>
      <c r="AA16" s="56">
        <f>SUM(Y16:Z16)</f>
        <v>-123648</v>
      </c>
    </row>
    <row r="17" spans="1:27" customFormat="1" x14ac:dyDescent="0.2">
      <c r="A17" t="s">
        <v>17</v>
      </c>
      <c r="B17" t="s">
        <v>64</v>
      </c>
      <c r="C17" t="s">
        <v>78</v>
      </c>
      <c r="D17" s="45">
        <f>HLOOKUP($D$4,SEL_CIN_PK,18,FALSE)</f>
        <v>0</v>
      </c>
      <c r="E17" s="46">
        <f>HLOOKUP($D$4,SEL_CIN_PK,17,FALSE)</f>
        <v>0</v>
      </c>
      <c r="F17" s="44">
        <f>SUM(D17:E17)</f>
        <v>0</v>
      </c>
      <c r="G17" s="65">
        <f>HLOOKUP($G$4,SEL_CIN_PK,18,FALSE)</f>
        <v>244728</v>
      </c>
      <c r="H17" s="66">
        <f>HLOOKUP($G$4,SEL_CIN_PK,17,FALSE)</f>
        <v>-246752</v>
      </c>
      <c r="I17" s="56">
        <f>SUM(G17:H17)</f>
        <v>-2024</v>
      </c>
      <c r="J17" s="65">
        <f>HLOOKUP($J$4,SEL_CIN_PK,18,FALSE)</f>
        <v>244728</v>
      </c>
      <c r="K17" s="66">
        <f>HLOOKUP($J$4,SEL_CIN_PK,17,FALSE)</f>
        <v>-246752</v>
      </c>
      <c r="L17" s="56">
        <f>SUM(J17:K17)</f>
        <v>-2024</v>
      </c>
      <c r="M17" s="65">
        <f>HLOOKUP($M$4,SEL_CIN_PK,18,FALSE)</f>
        <v>244728</v>
      </c>
      <c r="N17" s="66">
        <f>HLOOKUP($M$4,SEL_CIN_PK,17,FALSE)</f>
        <v>-246752</v>
      </c>
      <c r="O17" s="56">
        <f>SUM(M17:N17)</f>
        <v>-2024</v>
      </c>
      <c r="P17" s="45">
        <f>HLOOKUP($P$4,SEL_CIN_PK,18,FALSE)</f>
        <v>0</v>
      </c>
      <c r="Q17" s="46">
        <f>HLOOKUP($P$4,SEL_CIN_PK,17,FALSE)</f>
        <v>0</v>
      </c>
      <c r="R17" s="44">
        <f>F17</f>
        <v>0</v>
      </c>
      <c r="S17" s="45">
        <f>HLOOKUP($S$4,SEL_CIN_PK,18,FALSE)</f>
        <v>0</v>
      </c>
      <c r="T17" s="46">
        <f>HLOOKUP($S$4,SEL_CIN_PK,17,FALSE)</f>
        <v>0</v>
      </c>
      <c r="U17" s="44">
        <f>R17</f>
        <v>0</v>
      </c>
      <c r="V17" s="65">
        <f>HLOOKUP($V$4,SEL_CIN_PK,18,FALSE)</f>
        <v>244728</v>
      </c>
      <c r="W17" s="66">
        <f>HLOOKUP($V$4,SEL_CIN_PK,17,FALSE)</f>
        <v>-246752</v>
      </c>
      <c r="X17" s="56">
        <f>SUM(V17:W17)</f>
        <v>-2024</v>
      </c>
      <c r="Y17" s="65">
        <f t="shared" si="11"/>
        <v>978912</v>
      </c>
      <c r="Z17" s="66">
        <f t="shared" si="11"/>
        <v>-987008</v>
      </c>
      <c r="AA17" s="56">
        <f>SUM(Y17:Z17)</f>
        <v>-8096</v>
      </c>
    </row>
    <row r="18" spans="1:27" customFormat="1" x14ac:dyDescent="0.2">
      <c r="A18" t="s">
        <v>17</v>
      </c>
      <c r="B18" t="s">
        <v>68</v>
      </c>
      <c r="C18" t="s">
        <v>78</v>
      </c>
      <c r="D18" s="45">
        <f>HLOOKUP($D$4,SEL_NEP_PK,18,FALSE)</f>
        <v>170744</v>
      </c>
      <c r="E18" s="46">
        <f>HLOOKUP($D$4,SEL_NEP_PK,17,FALSE)</f>
        <v>-168000</v>
      </c>
      <c r="F18" s="44">
        <f>SUM(D18:E18)</f>
        <v>2744</v>
      </c>
      <c r="G18" s="65">
        <f>HLOOKUP($G$4,SEL_NEP_PK,18,FALSE)</f>
        <v>452732</v>
      </c>
      <c r="H18" s="66">
        <f>HLOOKUP($G$4,SEL_NEP_PK,17,FALSE)</f>
        <v>-424112</v>
      </c>
      <c r="I18" s="56">
        <f>SUM(G18:H18)</f>
        <v>28620</v>
      </c>
      <c r="J18" s="65">
        <f>HLOOKUP($J$4,SEL_NEP_PK,18,FALSE)</f>
        <v>452732</v>
      </c>
      <c r="K18" s="66">
        <f>HLOOKUP($J$4,SEL_NEP_PK,17,FALSE)</f>
        <v>-424112</v>
      </c>
      <c r="L18" s="56">
        <f>SUM(J18:K18)</f>
        <v>28620</v>
      </c>
      <c r="M18" s="65">
        <f>HLOOKUP($M$4,SEL_NEP_PK,18,FALSE)</f>
        <v>452732</v>
      </c>
      <c r="N18" s="66">
        <f>HLOOKUP($M$4,SEL_NEP_PK,17,FALSE)</f>
        <v>-424112</v>
      </c>
      <c r="O18" s="56">
        <f>SUM(M18:N18)</f>
        <v>28620</v>
      </c>
      <c r="P18" s="45">
        <f>HLOOKUP($P$4,SEL_NEP_PK,18,FALSE)</f>
        <v>170744</v>
      </c>
      <c r="Q18" s="46">
        <f>HLOOKUP($P$4,SEL_NEP_PK,17,FALSE)</f>
        <v>-168000</v>
      </c>
      <c r="R18" s="44">
        <f>F18</f>
        <v>2744</v>
      </c>
      <c r="S18" s="45">
        <f>HLOOKUP($S$4,SEL_NEP_PK,18,FALSE)</f>
        <v>170744</v>
      </c>
      <c r="T18" s="46">
        <f>HLOOKUP($S$4,SEL_NEP_PK,17,FALSE)</f>
        <v>-168000</v>
      </c>
      <c r="U18" s="44">
        <f>R18</f>
        <v>2744</v>
      </c>
      <c r="V18" s="65">
        <f>HLOOKUP($V$4,SEL_NEP_PK,18,FALSE)</f>
        <v>452732</v>
      </c>
      <c r="W18" s="66">
        <f>HLOOKUP($V$4,SEL_NEP_PK,17,FALSE)</f>
        <v>-424112</v>
      </c>
      <c r="X18" s="56">
        <f>SUM(V18:W18)</f>
        <v>28620</v>
      </c>
      <c r="Y18" s="65">
        <f t="shared" si="11"/>
        <v>2323160</v>
      </c>
      <c r="Z18" s="66">
        <f t="shared" si="11"/>
        <v>-2200448</v>
      </c>
      <c r="AA18" s="56">
        <f>SUM(Y18:Z18)</f>
        <v>122712</v>
      </c>
    </row>
    <row r="19" spans="1:27" customFormat="1" x14ac:dyDescent="0.2">
      <c r="A19" t="s">
        <v>17</v>
      </c>
      <c r="B19" t="s">
        <v>68</v>
      </c>
      <c r="C19" t="s">
        <v>76</v>
      </c>
      <c r="D19" s="45">
        <f>HLOOKUP($D$4,SEL_NEP_OFF,18,FALSE)</f>
        <v>85372</v>
      </c>
      <c r="E19" s="46">
        <f>HLOOKUP($D$4,SEL_NEP_OFF,17,FALSE)</f>
        <v>-84000</v>
      </c>
      <c r="F19" s="44">
        <f>SUM(D19:E19)</f>
        <v>1372</v>
      </c>
      <c r="G19" s="65">
        <f>HLOOKUP($G$4,SEL_NEP_OFF,18,FALSE)</f>
        <v>85372</v>
      </c>
      <c r="H19" s="66">
        <f>HLOOKUP($G$4,SEL_NEP_OFF,17,FALSE)</f>
        <v>-84000</v>
      </c>
      <c r="I19" s="56">
        <f>SUM(G19:H19)</f>
        <v>1372</v>
      </c>
      <c r="J19" s="65">
        <f>HLOOKUP($J$4,SEL_NEP_OFF,18,FALSE)</f>
        <v>85372</v>
      </c>
      <c r="K19" s="66">
        <f>HLOOKUP($J$4,SEL_NEP_OFF,17,FALSE)</f>
        <v>-84000</v>
      </c>
      <c r="L19" s="56">
        <f>SUM(J19:K19)</f>
        <v>1372</v>
      </c>
      <c r="M19" s="65">
        <f>HLOOKUP($M$4,SEL_NEP_OFF,18,FALSE)</f>
        <v>85372</v>
      </c>
      <c r="N19" s="66">
        <f>HLOOKUP($M$4,SEL_NEP_OFF,17,FALSE)</f>
        <v>-84000</v>
      </c>
      <c r="O19" s="56">
        <f>SUM(M19:N19)</f>
        <v>1372</v>
      </c>
      <c r="P19" s="45">
        <f>HLOOKUP($P$4,SEL_NEP_OFF,18,FALSE)</f>
        <v>85372</v>
      </c>
      <c r="Q19" s="46">
        <f>HLOOKUP($P$4,SEL_NEP_OFF,17,FALSE)</f>
        <v>-84000</v>
      </c>
      <c r="R19" s="44">
        <f>F19</f>
        <v>1372</v>
      </c>
      <c r="S19" s="45">
        <f>HLOOKUP($S$4,SEL_NEP_OFF,18,FALSE)</f>
        <v>85372</v>
      </c>
      <c r="T19" s="46">
        <f>HLOOKUP($S$4,SEL_NEP_OFF,17,FALSE)</f>
        <v>-84000</v>
      </c>
      <c r="U19" s="44">
        <f>R19</f>
        <v>1372</v>
      </c>
      <c r="V19" s="65">
        <f>HLOOKUP($V$4,SEL_NEP_OFF,18,FALSE)</f>
        <v>85372</v>
      </c>
      <c r="W19" s="66">
        <f>HLOOKUP($V$4,SEL_NEP_OFF,17,FALSE)</f>
        <v>-84000</v>
      </c>
      <c r="X19" s="56">
        <f>SUM(V19:W19)</f>
        <v>1372</v>
      </c>
      <c r="Y19" s="65">
        <f t="shared" si="11"/>
        <v>597604</v>
      </c>
      <c r="Z19" s="66">
        <f t="shared" si="11"/>
        <v>-588000</v>
      </c>
      <c r="AA19" s="56">
        <f>SUM(Y19:Z19)</f>
        <v>9604</v>
      </c>
    </row>
    <row r="20" spans="1:27" customFormat="1" ht="6" customHeight="1" x14ac:dyDescent="0.2">
      <c r="D20" s="74"/>
      <c r="E20" s="72"/>
      <c r="F20" s="73"/>
      <c r="G20" s="83"/>
      <c r="H20" s="84"/>
      <c r="I20" s="85"/>
      <c r="J20" s="83"/>
      <c r="K20" s="84"/>
      <c r="L20" s="85"/>
      <c r="M20" s="83"/>
      <c r="N20" s="84"/>
      <c r="O20" s="85"/>
      <c r="P20" s="74"/>
      <c r="Q20" s="72"/>
      <c r="R20" s="73"/>
      <c r="S20" s="74"/>
      <c r="T20" s="72"/>
      <c r="U20" s="73"/>
      <c r="V20" s="83"/>
      <c r="W20" s="84"/>
      <c r="X20" s="85"/>
      <c r="Y20" s="83"/>
      <c r="Z20" s="84"/>
      <c r="AA20" s="85"/>
    </row>
    <row r="21" spans="1:27" customFormat="1" x14ac:dyDescent="0.2">
      <c r="A21" s="1" t="s">
        <v>17</v>
      </c>
      <c r="B21" s="31" t="s">
        <v>73</v>
      </c>
      <c r="D21" s="45">
        <f t="shared" ref="D21:AA21" si="12">SUM(D16:D19)</f>
        <v>256116</v>
      </c>
      <c r="E21" s="46">
        <f t="shared" si="12"/>
        <v>-252000</v>
      </c>
      <c r="F21" s="44">
        <f t="shared" si="12"/>
        <v>4116</v>
      </c>
      <c r="G21" s="65">
        <f t="shared" si="12"/>
        <v>1156816</v>
      </c>
      <c r="H21" s="66">
        <f t="shared" si="12"/>
        <v>-1159760</v>
      </c>
      <c r="I21" s="56">
        <f t="shared" si="12"/>
        <v>-2944</v>
      </c>
      <c r="J21" s="65">
        <f t="shared" si="12"/>
        <v>1156816</v>
      </c>
      <c r="K21" s="66">
        <f t="shared" si="12"/>
        <v>-1159760</v>
      </c>
      <c r="L21" s="56">
        <f t="shared" si="12"/>
        <v>-2944</v>
      </c>
      <c r="M21" s="65">
        <f t="shared" ref="M21:X21" si="13">SUM(M16:M19)</f>
        <v>1156816</v>
      </c>
      <c r="N21" s="66">
        <f t="shared" si="13"/>
        <v>-1159760</v>
      </c>
      <c r="O21" s="56">
        <f t="shared" si="13"/>
        <v>-2944</v>
      </c>
      <c r="P21" s="45">
        <f t="shared" si="13"/>
        <v>256116</v>
      </c>
      <c r="Q21" s="46">
        <f t="shared" si="13"/>
        <v>-252000</v>
      </c>
      <c r="R21" s="44">
        <f t="shared" si="13"/>
        <v>4116</v>
      </c>
      <c r="S21" s="45">
        <f t="shared" si="13"/>
        <v>256116</v>
      </c>
      <c r="T21" s="46">
        <f t="shared" si="13"/>
        <v>-252000</v>
      </c>
      <c r="U21" s="44">
        <f t="shared" si="13"/>
        <v>4116</v>
      </c>
      <c r="V21" s="65">
        <f t="shared" si="13"/>
        <v>1156816</v>
      </c>
      <c r="W21" s="66">
        <f t="shared" si="13"/>
        <v>-1159760</v>
      </c>
      <c r="X21" s="56">
        <f t="shared" si="13"/>
        <v>-2944</v>
      </c>
      <c r="Y21" s="65">
        <f t="shared" si="12"/>
        <v>5395612</v>
      </c>
      <c r="Z21" s="66">
        <f t="shared" si="12"/>
        <v>-5395040</v>
      </c>
      <c r="AA21" s="56">
        <f t="shared" si="12"/>
        <v>572</v>
      </c>
    </row>
    <row r="22" spans="1:27" customFormat="1" x14ac:dyDescent="0.2">
      <c r="D22" s="68"/>
      <c r="E22" s="69"/>
      <c r="F22" s="70"/>
      <c r="G22" s="80"/>
      <c r="H22" s="81"/>
      <c r="I22" s="82"/>
      <c r="J22" s="80"/>
      <c r="K22" s="81"/>
      <c r="L22" s="82"/>
      <c r="M22" s="80"/>
      <c r="N22" s="81"/>
      <c r="O22" s="82"/>
      <c r="P22" s="68"/>
      <c r="Q22" s="69"/>
      <c r="R22" s="70"/>
      <c r="S22" s="68"/>
      <c r="T22" s="69"/>
      <c r="U22" s="70"/>
      <c r="V22" s="80"/>
      <c r="W22" s="81"/>
      <c r="X22" s="82"/>
      <c r="Y22" s="80"/>
      <c r="Z22" s="81"/>
      <c r="AA22" s="82"/>
    </row>
    <row r="23" spans="1:27" customFormat="1" x14ac:dyDescent="0.2">
      <c r="A23" t="s">
        <v>43</v>
      </c>
      <c r="B23" t="s">
        <v>62</v>
      </c>
      <c r="C23" t="s">
        <v>78</v>
      </c>
      <c r="D23" s="45">
        <f>HLOOKUP($D$4,TXU_PJM_PK,18,FALSE)</f>
        <v>0</v>
      </c>
      <c r="E23" s="46">
        <f>HLOOKUP($D$4,TXU_PJM_PK,17,FALSE)</f>
        <v>-1600</v>
      </c>
      <c r="F23" s="44">
        <f>SUM(D23:E23)</f>
        <v>-1600</v>
      </c>
      <c r="G23" s="65">
        <f>HLOOKUP($G$4,TXU_PJM_PK,18,FALSE)</f>
        <v>167160</v>
      </c>
      <c r="H23" s="66">
        <f>HLOOKUP($G$4,TXU_PJM_PK,17,FALSE)</f>
        <v>-221728</v>
      </c>
      <c r="I23" s="56">
        <f>SUM(G23:H23)</f>
        <v>-54568</v>
      </c>
      <c r="J23" s="65">
        <f>HLOOKUP($J$4,TXU_PJM_PK,18,FALSE)</f>
        <v>167160</v>
      </c>
      <c r="K23" s="66">
        <f>HLOOKUP($J$4,TXU_PJM_PK,17,FALSE)</f>
        <v>-221728</v>
      </c>
      <c r="L23" s="56">
        <f>SUM(J23:K23)</f>
        <v>-54568</v>
      </c>
      <c r="M23" s="65">
        <f>HLOOKUP($M$4,TXU_PJM_PK,18,FALSE)</f>
        <v>167160</v>
      </c>
      <c r="N23" s="66">
        <f>HLOOKUP($M$4,TXU_PJM_PK,17,FALSE)</f>
        <v>-221728</v>
      </c>
      <c r="O23" s="56">
        <f>SUM(M23:N23)</f>
        <v>-54568</v>
      </c>
      <c r="P23" s="45">
        <f>HLOOKUP($P$4,TXU_PJM_PK,18,FALSE)</f>
        <v>0</v>
      </c>
      <c r="Q23" s="46">
        <f>HLOOKUP($P$4,TXU_PJM_PK,17,FALSE)</f>
        <v>-1600</v>
      </c>
      <c r="R23" s="44">
        <f>F23</f>
        <v>-1600</v>
      </c>
      <c r="S23" s="45">
        <f>HLOOKUP($S$4,TXU_PJM_PK,18,FALSE)</f>
        <v>0</v>
      </c>
      <c r="T23" s="46">
        <f>HLOOKUP($S$4,TXU_PJM_PK,17,FALSE)</f>
        <v>-1600</v>
      </c>
      <c r="U23" s="44">
        <f>R23</f>
        <v>-1600</v>
      </c>
      <c r="V23" s="65">
        <f>HLOOKUP($V$4,TXU_PJM_PK,18,FALSE)</f>
        <v>167160</v>
      </c>
      <c r="W23" s="66">
        <f>HLOOKUP($V$4,TXU_PJM_PK,17,FALSE)</f>
        <v>-221728</v>
      </c>
      <c r="X23" s="56">
        <f>SUM(V23:W23)</f>
        <v>-54568</v>
      </c>
      <c r="Y23" s="65">
        <f t="shared" ref="Y23:Z26" si="14">SUM(D23,G23,J23,M23,P23,S23,V23)</f>
        <v>668640</v>
      </c>
      <c r="Z23" s="66">
        <f t="shared" si="14"/>
        <v>-891712</v>
      </c>
      <c r="AA23" s="56">
        <f>SUM(Y23:Z23)</f>
        <v>-223072</v>
      </c>
    </row>
    <row r="24" spans="1:27" customFormat="1" x14ac:dyDescent="0.2">
      <c r="A24" t="s">
        <v>43</v>
      </c>
      <c r="B24" t="s">
        <v>62</v>
      </c>
      <c r="C24" t="s">
        <v>76</v>
      </c>
      <c r="D24" s="45">
        <f>HLOOKUP($D$4,TXU_PJM_OFF,18,FALSE)</f>
        <v>0</v>
      </c>
      <c r="E24" s="46">
        <f>HLOOKUP($D$4,TXU_PJM_OFF,17,FALSE)</f>
        <v>-800</v>
      </c>
      <c r="F24" s="44">
        <f>SUM(D24:E24)</f>
        <v>-800</v>
      </c>
      <c r="G24" s="65">
        <f>HLOOKUP($G$4,TXU_PJM_OFF,18,FALSE)</f>
        <v>0</v>
      </c>
      <c r="H24" s="66">
        <f>HLOOKUP($G$4,TXU_PJM_OFF,17,FALSE)</f>
        <v>-800</v>
      </c>
      <c r="I24" s="56">
        <f>SUM(G24:H24)</f>
        <v>-800</v>
      </c>
      <c r="J24" s="65">
        <f>HLOOKUP($J$4,TXU_PJM_OFF,18,FALSE)</f>
        <v>0</v>
      </c>
      <c r="K24" s="66">
        <f>HLOOKUP($J$4,TXU_PJM_OFF,17,FALSE)</f>
        <v>-800</v>
      </c>
      <c r="L24" s="56">
        <f>SUM(J24:K24)</f>
        <v>-800</v>
      </c>
      <c r="M24" s="65">
        <f>HLOOKUP($M$4,TXU_PJM_OFF,18,FALSE)</f>
        <v>0</v>
      </c>
      <c r="N24" s="66">
        <f>HLOOKUP($M$4,TXU_PJM_OFF,17,FALSE)</f>
        <v>-800</v>
      </c>
      <c r="O24" s="56">
        <f>SUM(M24:N24)</f>
        <v>-800</v>
      </c>
      <c r="P24" s="45">
        <f>HLOOKUP($P$4,TXU_PJM_OFF,18,FALSE)</f>
        <v>0</v>
      </c>
      <c r="Q24" s="46">
        <f>HLOOKUP($P$4,TXU_PJM_OFF,17,FALSE)</f>
        <v>-800</v>
      </c>
      <c r="R24" s="44">
        <f>F24</f>
        <v>-800</v>
      </c>
      <c r="S24" s="45">
        <f>HLOOKUP($S$4,TXU_PJM_OFF,18,FALSE)</f>
        <v>0</v>
      </c>
      <c r="T24" s="46">
        <f>HLOOKUP($S$4,TXU_PJM_OFF,17,FALSE)</f>
        <v>-800</v>
      </c>
      <c r="U24" s="44">
        <f>R24</f>
        <v>-800</v>
      </c>
      <c r="V24" s="65">
        <f>HLOOKUP($V$4,TXU_PJM_OFF,18,FALSE)</f>
        <v>0</v>
      </c>
      <c r="W24" s="66">
        <f>HLOOKUP($V$4,TXU_PJM_OFF,17,FALSE)</f>
        <v>-800</v>
      </c>
      <c r="X24" s="56">
        <f>SUM(V24:W24)</f>
        <v>-800</v>
      </c>
      <c r="Y24" s="65">
        <f t="shared" si="14"/>
        <v>0</v>
      </c>
      <c r="Z24" s="66">
        <f t="shared" si="14"/>
        <v>-5600</v>
      </c>
      <c r="AA24" s="56">
        <f>SUM(Y24:Z24)</f>
        <v>-5600</v>
      </c>
    </row>
    <row r="25" spans="1:27" customFormat="1" x14ac:dyDescent="0.2">
      <c r="A25" t="s">
        <v>43</v>
      </c>
      <c r="B25" t="s">
        <v>68</v>
      </c>
      <c r="C25" t="s">
        <v>78</v>
      </c>
      <c r="D25" s="45">
        <f>HLOOKUP($D$4,TXU_NEP_PK,18,FALSE)</f>
        <v>0</v>
      </c>
      <c r="E25" s="46">
        <f>HLOOKUP($D$4,TXU_NEP_PK,17,FALSE)</f>
        <v>0</v>
      </c>
      <c r="F25" s="44">
        <f>SUM(D25:E25)</f>
        <v>0</v>
      </c>
      <c r="G25" s="65">
        <f>HLOOKUP($G$4,TXU_NEP_PK,18,FALSE)</f>
        <v>108192</v>
      </c>
      <c r="H25" s="66">
        <f>HLOOKUP($G$4,TXU_NEP_PK,17,FALSE)</f>
        <v>-129408</v>
      </c>
      <c r="I25" s="56">
        <f>SUM(G25:H25)</f>
        <v>-21216</v>
      </c>
      <c r="J25" s="65">
        <f>HLOOKUP($J$4,TXU_NEP_PK,18,FALSE)</f>
        <v>108192</v>
      </c>
      <c r="K25" s="66">
        <f>HLOOKUP($J$4,TXU_NEP_PK,17,FALSE)</f>
        <v>-129408</v>
      </c>
      <c r="L25" s="56">
        <f>SUM(J25:K25)</f>
        <v>-21216</v>
      </c>
      <c r="M25" s="65">
        <f>HLOOKUP($M$4,TXU_NEP_PK,18,FALSE)</f>
        <v>108192</v>
      </c>
      <c r="N25" s="66">
        <f>HLOOKUP($M$4,TXU_NEP_PK,17,FALSE)</f>
        <v>-129408</v>
      </c>
      <c r="O25" s="56">
        <f>SUM(M25:N25)</f>
        <v>-21216</v>
      </c>
      <c r="P25" s="45">
        <f>HLOOKUP($P$4,TXU_NEP_PK,18,FALSE)</f>
        <v>0</v>
      </c>
      <c r="Q25" s="46">
        <f>HLOOKUP($P$4,TXU_NEP_PK,17,FALSE)</f>
        <v>0</v>
      </c>
      <c r="R25" s="44">
        <f>F25</f>
        <v>0</v>
      </c>
      <c r="S25" s="45">
        <f>HLOOKUP($S$4,TXU_NEP_PK,18,FALSE)</f>
        <v>0</v>
      </c>
      <c r="T25" s="46">
        <f>HLOOKUP($S$4,TXU_NEP_PK,17,FALSE)</f>
        <v>0</v>
      </c>
      <c r="U25" s="44">
        <f>R25</f>
        <v>0</v>
      </c>
      <c r="V25" s="65">
        <f>HLOOKUP($V$4,TXU_NEP_PK,18,FALSE)</f>
        <v>108192</v>
      </c>
      <c r="W25" s="66">
        <f>HLOOKUP($V$4,TXU_NEP_PK,17,FALSE)</f>
        <v>-129408</v>
      </c>
      <c r="X25" s="56">
        <f>SUM(V25:W25)</f>
        <v>-21216</v>
      </c>
      <c r="Y25" s="65">
        <f t="shared" si="14"/>
        <v>432768</v>
      </c>
      <c r="Z25" s="66">
        <f t="shared" si="14"/>
        <v>-517632</v>
      </c>
      <c r="AA25" s="56">
        <f>SUM(Y25:Z25)</f>
        <v>-84864</v>
      </c>
    </row>
    <row r="26" spans="1:27" customFormat="1" x14ac:dyDescent="0.2">
      <c r="A26" t="s">
        <v>43</v>
      </c>
      <c r="B26" t="s">
        <v>64</v>
      </c>
      <c r="C26" t="s">
        <v>78</v>
      </c>
      <c r="D26" s="45">
        <f>HLOOKUP($D$4,TXU_CIN_PK,18,FALSE)</f>
        <v>0</v>
      </c>
      <c r="E26" s="46">
        <f>HLOOKUP($D$4,TXU_CIN_PK,17,FALSE)</f>
        <v>0</v>
      </c>
      <c r="F26" s="44">
        <f>SUM(D26:E26)</f>
        <v>0</v>
      </c>
      <c r="G26" s="65">
        <f>HLOOKUP($G$4,TXU_CIN_PK,18,FALSE)</f>
        <v>158480</v>
      </c>
      <c r="H26" s="66">
        <f>HLOOKUP($G$4,TXU_CIN_PK,17,FALSE)</f>
        <v>-163200</v>
      </c>
      <c r="I26" s="56">
        <f>SUM(G26:H26)</f>
        <v>-4720</v>
      </c>
      <c r="J26" s="65">
        <f>HLOOKUP($J$4,TXU_CIN_PK,18,FALSE)</f>
        <v>158480</v>
      </c>
      <c r="K26" s="66">
        <f>HLOOKUP($J$4,TXU_CIN_PK,17,FALSE)</f>
        <v>-163200</v>
      </c>
      <c r="L26" s="56">
        <f>SUM(J26:K26)</f>
        <v>-4720</v>
      </c>
      <c r="M26" s="65">
        <f>HLOOKUP($M$4,TXU_CIN_PK,18,FALSE)</f>
        <v>158480</v>
      </c>
      <c r="N26" s="66">
        <f>HLOOKUP($M$4,TXU_CIN_PK,17,FALSE)</f>
        <v>-163200</v>
      </c>
      <c r="O26" s="56">
        <f>SUM(M26:N26)</f>
        <v>-4720</v>
      </c>
      <c r="P26" s="45">
        <f>HLOOKUP($P$4,TXU_CIN_PK,18,FALSE)</f>
        <v>0</v>
      </c>
      <c r="Q26" s="46">
        <f>HLOOKUP($P$4,TXU_CIN_PK,17,FALSE)</f>
        <v>0</v>
      </c>
      <c r="R26" s="44">
        <f>F26</f>
        <v>0</v>
      </c>
      <c r="S26" s="45">
        <f>HLOOKUP($S$4,TXU_CIN_PK,18,FALSE)</f>
        <v>0</v>
      </c>
      <c r="T26" s="46">
        <f>HLOOKUP($S$4,TXU_CIN_PK,17,FALSE)</f>
        <v>0</v>
      </c>
      <c r="U26" s="44">
        <f>R26</f>
        <v>0</v>
      </c>
      <c r="V26" s="65">
        <f>HLOOKUP($V$4,TXU_CIN_PK,18,FALSE)</f>
        <v>158480</v>
      </c>
      <c r="W26" s="66">
        <f>HLOOKUP($V$4,TXU_CIN_PK,17,FALSE)</f>
        <v>-163200</v>
      </c>
      <c r="X26" s="56">
        <f>SUM(V26:W26)</f>
        <v>-4720</v>
      </c>
      <c r="Y26" s="65">
        <f t="shared" si="14"/>
        <v>633920</v>
      </c>
      <c r="Z26" s="66">
        <f t="shared" si="14"/>
        <v>-652800</v>
      </c>
      <c r="AA26" s="56">
        <f>SUM(Y26:Z26)</f>
        <v>-18880</v>
      </c>
    </row>
    <row r="27" spans="1:27" customFormat="1" ht="6" customHeight="1" x14ac:dyDescent="0.2">
      <c r="D27" s="74"/>
      <c r="E27" s="72"/>
      <c r="F27" s="73"/>
      <c r="G27" s="83"/>
      <c r="H27" s="84"/>
      <c r="I27" s="85"/>
      <c r="J27" s="83"/>
      <c r="K27" s="84"/>
      <c r="L27" s="85"/>
      <c r="M27" s="83"/>
      <c r="N27" s="84"/>
      <c r="O27" s="85"/>
      <c r="P27" s="74"/>
      <c r="Q27" s="72"/>
      <c r="R27" s="73"/>
      <c r="S27" s="74"/>
      <c r="T27" s="72"/>
      <c r="U27" s="73"/>
      <c r="V27" s="83"/>
      <c r="W27" s="84"/>
      <c r="X27" s="85"/>
      <c r="Y27" s="83"/>
      <c r="Z27" s="84"/>
      <c r="AA27" s="85"/>
    </row>
    <row r="28" spans="1:27" customFormat="1" x14ac:dyDescent="0.2">
      <c r="A28" s="1" t="s">
        <v>43</v>
      </c>
      <c r="B28" s="31" t="s">
        <v>73</v>
      </c>
      <c r="D28" s="45">
        <f t="shared" ref="D28:AA28" si="15">SUM(D23:D26)</f>
        <v>0</v>
      </c>
      <c r="E28" s="46">
        <f t="shared" si="15"/>
        <v>-2400</v>
      </c>
      <c r="F28" s="44">
        <f t="shared" si="15"/>
        <v>-2400</v>
      </c>
      <c r="G28" s="65">
        <f t="shared" si="15"/>
        <v>433832</v>
      </c>
      <c r="H28" s="66">
        <f t="shared" si="15"/>
        <v>-515136</v>
      </c>
      <c r="I28" s="56">
        <f t="shared" si="15"/>
        <v>-81304</v>
      </c>
      <c r="J28" s="65">
        <f t="shared" si="15"/>
        <v>433832</v>
      </c>
      <c r="K28" s="66">
        <f t="shared" si="15"/>
        <v>-515136</v>
      </c>
      <c r="L28" s="56">
        <f t="shared" si="15"/>
        <v>-81304</v>
      </c>
      <c r="M28" s="65">
        <f t="shared" si="15"/>
        <v>433832</v>
      </c>
      <c r="N28" s="66">
        <f t="shared" si="15"/>
        <v>-515136</v>
      </c>
      <c r="O28" s="56">
        <f t="shared" si="15"/>
        <v>-81304</v>
      </c>
      <c r="P28" s="45">
        <f t="shared" si="15"/>
        <v>0</v>
      </c>
      <c r="Q28" s="46">
        <f t="shared" si="15"/>
        <v>-2400</v>
      </c>
      <c r="R28" s="44">
        <f t="shared" si="15"/>
        <v>-2400</v>
      </c>
      <c r="S28" s="45">
        <f t="shared" si="15"/>
        <v>0</v>
      </c>
      <c r="T28" s="46">
        <f t="shared" si="15"/>
        <v>-2400</v>
      </c>
      <c r="U28" s="44">
        <f t="shared" si="15"/>
        <v>-2400</v>
      </c>
      <c r="V28" s="65">
        <f t="shared" si="15"/>
        <v>433832</v>
      </c>
      <c r="W28" s="66">
        <f t="shared" si="15"/>
        <v>-515136</v>
      </c>
      <c r="X28" s="56">
        <f t="shared" si="15"/>
        <v>-81304</v>
      </c>
      <c r="Y28" s="65">
        <f t="shared" si="15"/>
        <v>1735328</v>
      </c>
      <c r="Z28" s="66">
        <f t="shared" si="15"/>
        <v>-2067744</v>
      </c>
      <c r="AA28" s="56">
        <f t="shared" si="15"/>
        <v>-332416</v>
      </c>
    </row>
    <row r="29" spans="1:27" customFormat="1" x14ac:dyDescent="0.2">
      <c r="D29" s="68"/>
      <c r="E29" s="69"/>
      <c r="F29" s="70"/>
      <c r="G29" s="80"/>
      <c r="H29" s="81"/>
      <c r="I29" s="82"/>
      <c r="J29" s="80"/>
      <c r="K29" s="81"/>
      <c r="L29" s="82"/>
      <c r="M29" s="80"/>
      <c r="N29" s="81"/>
      <c r="O29" s="82"/>
      <c r="P29" s="68"/>
      <c r="Q29" s="69"/>
      <c r="R29" s="70"/>
      <c r="S29" s="68"/>
      <c r="T29" s="69"/>
      <c r="U29" s="70"/>
      <c r="V29" s="80"/>
      <c r="W29" s="81"/>
      <c r="X29" s="82"/>
      <c r="Y29" s="80"/>
      <c r="Z29" s="81"/>
      <c r="AA29" s="82"/>
    </row>
    <row r="30" spans="1:27" customFormat="1" x14ac:dyDescent="0.2">
      <c r="A30" t="s">
        <v>41</v>
      </c>
      <c r="B30" t="s">
        <v>65</v>
      </c>
      <c r="C30" t="s">
        <v>78</v>
      </c>
      <c r="D30" s="45">
        <f>HLOOKUP($D$4,MPI_COMED_PK,18,FALSE)</f>
        <v>0</v>
      </c>
      <c r="E30" s="46">
        <f>HLOOKUP($D$4,MPI_COMED_PK,17,FALSE)</f>
        <v>0</v>
      </c>
      <c r="F30" s="44">
        <f>SUM(D30:E30)</f>
        <v>0</v>
      </c>
      <c r="G30" s="65">
        <f>HLOOKUP($G$4,MPI_COMED_PK,18,FALSE)</f>
        <v>30600</v>
      </c>
      <c r="H30" s="66">
        <f>HLOOKUP($G$4,MPI_COMED_PK,17,FALSE)</f>
        <v>-21600</v>
      </c>
      <c r="I30" s="56">
        <f>SUM(G30:H30)</f>
        <v>9000</v>
      </c>
      <c r="J30" s="65">
        <f>HLOOKUP($J$4,MPI_COMED_PK,18,FALSE)</f>
        <v>30600</v>
      </c>
      <c r="K30" s="66">
        <f>HLOOKUP($J$4,MPI_COMED_PK,17,FALSE)</f>
        <v>-21600</v>
      </c>
      <c r="L30" s="56">
        <f>SUM(J30:K30)</f>
        <v>9000</v>
      </c>
      <c r="M30" s="65">
        <f>HLOOKUP($M$4,MPI_COMED_PK,18,FALSE)</f>
        <v>30600</v>
      </c>
      <c r="N30" s="66">
        <f>HLOOKUP($M$4,MPI_COMED_PK,17,FALSE)</f>
        <v>-21600</v>
      </c>
      <c r="O30" s="56">
        <f>SUM(M30:N30)</f>
        <v>9000</v>
      </c>
      <c r="P30" s="45">
        <f>HLOOKUP($P$4,MPI_COMED_PK,18,FALSE)</f>
        <v>0</v>
      </c>
      <c r="Q30" s="46">
        <f>HLOOKUP($P$4,MPI_COMED_PK,17,FALSE)</f>
        <v>0</v>
      </c>
      <c r="R30" s="44">
        <f>F30</f>
        <v>0</v>
      </c>
      <c r="S30" s="45">
        <f>HLOOKUP($S$4,MPI_COMED_PK,18,FALSE)</f>
        <v>0</v>
      </c>
      <c r="T30" s="46">
        <f>HLOOKUP($S$4,MPI_COMED_PK,17,FALSE)</f>
        <v>0</v>
      </c>
      <c r="U30" s="44">
        <f>R30</f>
        <v>0</v>
      </c>
      <c r="V30" s="65">
        <f>HLOOKUP($V$4,MPI_COMED_PK,18,FALSE)</f>
        <v>30600</v>
      </c>
      <c r="W30" s="66">
        <f>HLOOKUP($V$4,MPI_COMED_PK,17,FALSE)</f>
        <v>-21600</v>
      </c>
      <c r="X30" s="56">
        <f>SUM(V30:W30)</f>
        <v>9000</v>
      </c>
      <c r="Y30" s="65">
        <f>SUM(D30,G30,J30,M30,P30,S30,V30)</f>
        <v>122400</v>
      </c>
      <c r="Z30" s="66">
        <f>SUM(E30,H30,K30,N30,Q30,T30,W30)</f>
        <v>-86400</v>
      </c>
      <c r="AA30" s="56">
        <f>SUM(Y30:Z30)</f>
        <v>36000</v>
      </c>
    </row>
    <row r="31" spans="1:27" customFormat="1" ht="6" customHeight="1" x14ac:dyDescent="0.2">
      <c r="D31" s="74"/>
      <c r="E31" s="72"/>
      <c r="F31" s="73"/>
      <c r="G31" s="83"/>
      <c r="H31" s="84"/>
      <c r="I31" s="85"/>
      <c r="J31" s="83"/>
      <c r="K31" s="84"/>
      <c r="L31" s="85"/>
      <c r="M31" s="83"/>
      <c r="N31" s="84"/>
      <c r="O31" s="85"/>
      <c r="P31" s="74"/>
      <c r="Q31" s="72"/>
      <c r="R31" s="73"/>
      <c r="S31" s="74"/>
      <c r="T31" s="72"/>
      <c r="U31" s="73"/>
      <c r="V31" s="83"/>
      <c r="W31" s="84"/>
      <c r="X31" s="85"/>
      <c r="Y31" s="83"/>
      <c r="Z31" s="84"/>
      <c r="AA31" s="85"/>
    </row>
    <row r="32" spans="1:27" customFormat="1" x14ac:dyDescent="0.2">
      <c r="A32" s="1" t="s">
        <v>41</v>
      </c>
      <c r="B32" s="31" t="s">
        <v>73</v>
      </c>
      <c r="D32" s="45">
        <f t="shared" ref="D32:AA32" si="16">SUM(D30:D30)</f>
        <v>0</v>
      </c>
      <c r="E32" s="46">
        <f t="shared" si="16"/>
        <v>0</v>
      </c>
      <c r="F32" s="44">
        <f t="shared" si="16"/>
        <v>0</v>
      </c>
      <c r="G32" s="65">
        <f t="shared" si="16"/>
        <v>30600</v>
      </c>
      <c r="H32" s="66">
        <f t="shared" si="16"/>
        <v>-21600</v>
      </c>
      <c r="I32" s="56">
        <f t="shared" si="16"/>
        <v>9000</v>
      </c>
      <c r="J32" s="65">
        <f t="shared" si="16"/>
        <v>30600</v>
      </c>
      <c r="K32" s="66">
        <f t="shared" si="16"/>
        <v>-21600</v>
      </c>
      <c r="L32" s="56">
        <f t="shared" si="16"/>
        <v>9000</v>
      </c>
      <c r="M32" s="65">
        <f t="shared" si="16"/>
        <v>30600</v>
      </c>
      <c r="N32" s="66">
        <f t="shared" si="16"/>
        <v>-21600</v>
      </c>
      <c r="O32" s="56">
        <f t="shared" si="16"/>
        <v>9000</v>
      </c>
      <c r="P32" s="45">
        <f t="shared" si="16"/>
        <v>0</v>
      </c>
      <c r="Q32" s="46">
        <f t="shared" si="16"/>
        <v>0</v>
      </c>
      <c r="R32" s="44">
        <f t="shared" si="16"/>
        <v>0</v>
      </c>
      <c r="S32" s="45">
        <f t="shared" si="16"/>
        <v>0</v>
      </c>
      <c r="T32" s="46">
        <f t="shared" si="16"/>
        <v>0</v>
      </c>
      <c r="U32" s="44">
        <f t="shared" si="16"/>
        <v>0</v>
      </c>
      <c r="V32" s="65">
        <f t="shared" si="16"/>
        <v>30600</v>
      </c>
      <c r="W32" s="66">
        <f t="shared" si="16"/>
        <v>-21600</v>
      </c>
      <c r="X32" s="56">
        <f t="shared" si="16"/>
        <v>9000</v>
      </c>
      <c r="Y32" s="65">
        <f t="shared" si="16"/>
        <v>122400</v>
      </c>
      <c r="Z32" s="66">
        <f t="shared" si="16"/>
        <v>-86400</v>
      </c>
      <c r="AA32" s="56">
        <f t="shared" si="16"/>
        <v>36000</v>
      </c>
    </row>
    <row r="33" spans="1:27" customFormat="1" x14ac:dyDescent="0.2">
      <c r="D33" s="68"/>
      <c r="E33" s="69"/>
      <c r="F33" s="70"/>
      <c r="G33" s="80"/>
      <c r="H33" s="81"/>
      <c r="I33" s="82"/>
      <c r="J33" s="80"/>
      <c r="K33" s="81"/>
      <c r="L33" s="82"/>
      <c r="M33" s="80"/>
      <c r="N33" s="81"/>
      <c r="O33" s="82"/>
      <c r="P33" s="68"/>
      <c r="Q33" s="69"/>
      <c r="R33" s="70"/>
      <c r="S33" s="68"/>
      <c r="T33" s="69"/>
      <c r="U33" s="70"/>
      <c r="V33" s="80"/>
      <c r="W33" s="81"/>
      <c r="X33" s="82"/>
      <c r="Y33" s="80"/>
      <c r="Z33" s="81"/>
      <c r="AA33" s="82"/>
    </row>
    <row r="34" spans="1:27" customFormat="1" x14ac:dyDescent="0.2">
      <c r="A34" t="s">
        <v>42</v>
      </c>
      <c r="B34" t="s">
        <v>65</v>
      </c>
      <c r="C34" t="s">
        <v>78</v>
      </c>
      <c r="D34" s="45">
        <f>HLOOKUP($D$4,WEPC_COMED_PK,18,FALSE)</f>
        <v>0</v>
      </c>
      <c r="E34" s="46">
        <f>HLOOKUP($D$4,WEPC_COMED_PK,17,FALSE)</f>
        <v>0</v>
      </c>
      <c r="F34" s="44">
        <f>SUM(D34:E34)</f>
        <v>0</v>
      </c>
      <c r="G34" s="65">
        <f>HLOOKUP($G$4,WEPC_COMED_PK,18,FALSE)</f>
        <v>27800</v>
      </c>
      <c r="H34" s="66">
        <f>HLOOKUP($G$4,WEPC_COMED_PK,17,FALSE)</f>
        <v>-21600</v>
      </c>
      <c r="I34" s="56">
        <f>SUM(G34:H34)</f>
        <v>6200</v>
      </c>
      <c r="J34" s="65">
        <f>HLOOKUP($J$4,WEPC_COMED_PK,18,FALSE)</f>
        <v>27800</v>
      </c>
      <c r="K34" s="66">
        <f>HLOOKUP($J$4,WEPC_COMED_PK,17,FALSE)</f>
        <v>-21600</v>
      </c>
      <c r="L34" s="56">
        <f>SUM(J34:K34)</f>
        <v>6200</v>
      </c>
      <c r="M34" s="65">
        <f>HLOOKUP($M$4,WEPC_COMED_PK,18,FALSE)</f>
        <v>27800</v>
      </c>
      <c r="N34" s="66">
        <f>HLOOKUP($M$4,WEPC_COMED_PK,17,FALSE)</f>
        <v>-21600</v>
      </c>
      <c r="O34" s="56">
        <f>SUM(M34:N34)</f>
        <v>6200</v>
      </c>
      <c r="P34" s="45">
        <f>HLOOKUP($P$4,WEPC_COMED_PK,18,FALSE)</f>
        <v>0</v>
      </c>
      <c r="Q34" s="46">
        <f>HLOOKUP($P$4,WEPC_COMED_PK,17,FALSE)</f>
        <v>0</v>
      </c>
      <c r="R34" s="44">
        <f>F34</f>
        <v>0</v>
      </c>
      <c r="S34" s="45">
        <f>HLOOKUP($S$4,WEPC_COMED_PK,18,FALSE)</f>
        <v>0</v>
      </c>
      <c r="T34" s="46">
        <f>HLOOKUP($S$4,WEPC_COMED_PK,17,FALSE)</f>
        <v>0</v>
      </c>
      <c r="U34" s="44">
        <f>R34</f>
        <v>0</v>
      </c>
      <c r="V34" s="65">
        <f>HLOOKUP($V$4,WEPC_COMED_PK,18,FALSE)</f>
        <v>27800</v>
      </c>
      <c r="W34" s="66">
        <f>HLOOKUP($V$4,WEPC_COMED_PK,17,FALSE)</f>
        <v>-21600</v>
      </c>
      <c r="X34" s="56">
        <f>SUM(V34:W34)</f>
        <v>6200</v>
      </c>
      <c r="Y34" s="65">
        <f>SUM(D34,G34,J34,M34,P34,S34,V34)</f>
        <v>111200</v>
      </c>
      <c r="Z34" s="66">
        <f>SUM(E34,H34,K34,N34,Q34,T34,W34)</f>
        <v>-86400</v>
      </c>
      <c r="AA34" s="56">
        <f>SUM(Y34:Z34)</f>
        <v>24800</v>
      </c>
    </row>
    <row r="35" spans="1:27" customFormat="1" ht="6" customHeight="1" x14ac:dyDescent="0.2">
      <c r="D35" s="74"/>
      <c r="E35" s="72"/>
      <c r="F35" s="73"/>
      <c r="G35" s="83"/>
      <c r="H35" s="84"/>
      <c r="I35" s="85"/>
      <c r="J35" s="83"/>
      <c r="K35" s="84"/>
      <c r="L35" s="85"/>
      <c r="M35" s="83"/>
      <c r="N35" s="84"/>
      <c r="O35" s="85"/>
      <c r="P35" s="74"/>
      <c r="Q35" s="72"/>
      <c r="R35" s="73"/>
      <c r="S35" s="74"/>
      <c r="T35" s="72"/>
      <c r="U35" s="73"/>
      <c r="V35" s="83"/>
      <c r="W35" s="84"/>
      <c r="X35" s="85"/>
      <c r="Y35" s="83"/>
      <c r="Z35" s="84"/>
      <c r="AA35" s="85"/>
    </row>
    <row r="36" spans="1:27" customFormat="1" x14ac:dyDescent="0.2">
      <c r="A36" s="1" t="s">
        <v>42</v>
      </c>
      <c r="B36" s="31" t="s">
        <v>73</v>
      </c>
      <c r="D36" s="45">
        <f t="shared" ref="D36:AA36" si="17">SUM(D34:D34)</f>
        <v>0</v>
      </c>
      <c r="E36" s="46">
        <f t="shared" si="17"/>
        <v>0</v>
      </c>
      <c r="F36" s="44">
        <f t="shared" si="17"/>
        <v>0</v>
      </c>
      <c r="G36" s="65">
        <f t="shared" si="17"/>
        <v>27800</v>
      </c>
      <c r="H36" s="66">
        <f t="shared" si="17"/>
        <v>-21600</v>
      </c>
      <c r="I36" s="56">
        <f t="shared" si="17"/>
        <v>6200</v>
      </c>
      <c r="J36" s="65">
        <f t="shared" si="17"/>
        <v>27800</v>
      </c>
      <c r="K36" s="66">
        <f t="shared" si="17"/>
        <v>-21600</v>
      </c>
      <c r="L36" s="56">
        <f t="shared" si="17"/>
        <v>6200</v>
      </c>
      <c r="M36" s="65">
        <f t="shared" si="17"/>
        <v>27800</v>
      </c>
      <c r="N36" s="66">
        <f t="shared" si="17"/>
        <v>-21600</v>
      </c>
      <c r="O36" s="56">
        <f t="shared" si="17"/>
        <v>6200</v>
      </c>
      <c r="P36" s="45">
        <f t="shared" si="17"/>
        <v>0</v>
      </c>
      <c r="Q36" s="46">
        <f t="shared" si="17"/>
        <v>0</v>
      </c>
      <c r="R36" s="44">
        <f t="shared" si="17"/>
        <v>0</v>
      </c>
      <c r="S36" s="45">
        <f t="shared" si="17"/>
        <v>0</v>
      </c>
      <c r="T36" s="46">
        <f t="shared" si="17"/>
        <v>0</v>
      </c>
      <c r="U36" s="44">
        <f t="shared" si="17"/>
        <v>0</v>
      </c>
      <c r="V36" s="65">
        <f t="shared" si="17"/>
        <v>27800</v>
      </c>
      <c r="W36" s="66">
        <f t="shared" si="17"/>
        <v>-21600</v>
      </c>
      <c r="X36" s="56">
        <f t="shared" si="17"/>
        <v>6200</v>
      </c>
      <c r="Y36" s="65">
        <f t="shared" si="17"/>
        <v>111200</v>
      </c>
      <c r="Z36" s="66">
        <f t="shared" si="17"/>
        <v>-86400</v>
      </c>
      <c r="AA36" s="56">
        <f t="shared" si="17"/>
        <v>24800</v>
      </c>
    </row>
    <row r="37" spans="1:27" customFormat="1" x14ac:dyDescent="0.2">
      <c r="D37" s="68"/>
      <c r="E37" s="69"/>
      <c r="F37" s="70"/>
      <c r="G37" s="80"/>
      <c r="H37" s="81"/>
      <c r="I37" s="82"/>
      <c r="J37" s="80"/>
      <c r="K37" s="81"/>
      <c r="L37" s="82"/>
      <c r="M37" s="80"/>
      <c r="N37" s="81"/>
      <c r="O37" s="82"/>
      <c r="P37" s="68"/>
      <c r="Q37" s="69"/>
      <c r="R37" s="70"/>
      <c r="S37" s="68"/>
      <c r="T37" s="69"/>
      <c r="U37" s="70"/>
      <c r="V37" s="80"/>
      <c r="W37" s="81"/>
      <c r="X37" s="82"/>
      <c r="Y37" s="80"/>
      <c r="Z37" s="81"/>
      <c r="AA37" s="82"/>
    </row>
    <row r="38" spans="1:27" customFormat="1" x14ac:dyDescent="0.2">
      <c r="A38" t="s">
        <v>86</v>
      </c>
      <c r="B38" t="s">
        <v>68</v>
      </c>
      <c r="C38" t="s">
        <v>78</v>
      </c>
      <c r="D38" s="45">
        <f>HLOOKUP($D$4,TAUNT_NEP_PK,18,FALSE)</f>
        <v>15380.000000000002</v>
      </c>
      <c r="E38" s="46">
        <f>HLOOKUP($D$4,TAUNT_NEP_PK,17,FALSE)</f>
        <v>-12000</v>
      </c>
      <c r="F38" s="44">
        <f>SUM(D38:E38)</f>
        <v>3380.0000000000018</v>
      </c>
      <c r="G38" s="65">
        <f>HLOOKUP($G$4,TAUNT_NEP_PK,18,FALSE)</f>
        <v>15380.000000000002</v>
      </c>
      <c r="H38" s="66">
        <f>HLOOKUP($G$4,TAUNT_NEP_PK,17,FALSE)</f>
        <v>-16000</v>
      </c>
      <c r="I38" s="56">
        <f>SUM(G38:H38)</f>
        <v>-619.99999999999818</v>
      </c>
      <c r="J38" s="65">
        <f>HLOOKUP($J$4,TAUNT_NEP_PK,18,FALSE)</f>
        <v>15380.000000000002</v>
      </c>
      <c r="K38" s="66">
        <f>HLOOKUP($J$4,TAUNT_NEP_PK,17,FALSE)</f>
        <v>-16000</v>
      </c>
      <c r="L38" s="56">
        <f>SUM(J38:K38)</f>
        <v>-619.99999999999818</v>
      </c>
      <c r="M38" s="65">
        <f>HLOOKUP($M$4,TAUNT_NEP_PK,18,FALSE)</f>
        <v>15380.000000000002</v>
      </c>
      <c r="N38" s="66">
        <f>HLOOKUP($M$4,TAUNT_NEP_PK,17,FALSE)</f>
        <v>-16000</v>
      </c>
      <c r="O38" s="56">
        <f>SUM(M38:N38)</f>
        <v>-619.99999999999818</v>
      </c>
      <c r="P38" s="45">
        <f>HLOOKUP($P$4,TAUNT_NEP_PK,18,FALSE)</f>
        <v>15380.000000000002</v>
      </c>
      <c r="Q38" s="46">
        <f>HLOOKUP($P$4,TAUNT_NEP_PK,17,FALSE)</f>
        <v>-12000</v>
      </c>
      <c r="R38" s="44">
        <f>F38</f>
        <v>3380.0000000000018</v>
      </c>
      <c r="S38" s="45">
        <f>HLOOKUP($S$4,TAUNT_NEP_PK,18,FALSE)</f>
        <v>15380.000000000002</v>
      </c>
      <c r="T38" s="46">
        <f>HLOOKUP($S$4,TAUNT_NEP_PK,17,FALSE)</f>
        <v>-12000</v>
      </c>
      <c r="U38" s="44">
        <f>R38</f>
        <v>3380.0000000000018</v>
      </c>
      <c r="V38" s="65">
        <f>HLOOKUP($V$4,TAUNT_NEP_PK,18,FALSE)</f>
        <v>15380.000000000002</v>
      </c>
      <c r="W38" s="66">
        <f>HLOOKUP($V$4,TAUNT_NEP_PK,17,FALSE)</f>
        <v>-16000</v>
      </c>
      <c r="X38" s="56">
        <f>SUM(V38:W38)</f>
        <v>-619.99999999999818</v>
      </c>
      <c r="Y38" s="65">
        <f>SUM(D38,G38,J38,M38,P38,S38,V38)</f>
        <v>107660.00000000001</v>
      </c>
      <c r="Z38" s="66">
        <f>SUM(E38,H38,K38,N38,Q38,T38,W38)</f>
        <v>-100000</v>
      </c>
      <c r="AA38" s="56">
        <f>SUM(Y38:Z38)</f>
        <v>7660.0000000000146</v>
      </c>
    </row>
    <row r="39" spans="1:27" customFormat="1" x14ac:dyDescent="0.2">
      <c r="A39" t="s">
        <v>86</v>
      </c>
      <c r="B39" t="s">
        <v>68</v>
      </c>
      <c r="C39" t="s">
        <v>76</v>
      </c>
      <c r="D39" s="45">
        <f>HLOOKUP($D$4,TAUNT_NEP_OFF,18,FALSE)</f>
        <v>7690.0000000000009</v>
      </c>
      <c r="E39" s="46">
        <f>HLOOKUP($D$4,TAUNT_NEP_OFF,17,FALSE)</f>
        <v>-6000</v>
      </c>
      <c r="F39" s="44">
        <f>SUM(D39:E39)</f>
        <v>1690.0000000000009</v>
      </c>
      <c r="G39" s="65">
        <f>HLOOKUP($G$4,TAUNT_NEP_OFF,18,FALSE)</f>
        <v>7690.0000000000009</v>
      </c>
      <c r="H39" s="66">
        <f>HLOOKUP($G$4,TAUNT_NEP_OFF,17,FALSE)</f>
        <v>-6000</v>
      </c>
      <c r="I39" s="56">
        <f>SUM(G39:H39)</f>
        <v>1690.0000000000009</v>
      </c>
      <c r="J39" s="65">
        <f>HLOOKUP($J$4,TAUNT_NEP_OFF,18,FALSE)</f>
        <v>7690.0000000000009</v>
      </c>
      <c r="K39" s="66">
        <f>HLOOKUP($J$4,TAUNT_NEP_OFF,17,FALSE)</f>
        <v>-6000</v>
      </c>
      <c r="L39" s="56">
        <f>SUM(J39:K39)</f>
        <v>1690.0000000000009</v>
      </c>
      <c r="M39" s="65">
        <f>HLOOKUP($M$4,TAUNT_NEP_OFF,18,FALSE)</f>
        <v>7690.0000000000009</v>
      </c>
      <c r="N39" s="66">
        <f>HLOOKUP($M$4,TAUNT_NEP_OFF,17,FALSE)</f>
        <v>-6000</v>
      </c>
      <c r="O39" s="56">
        <f>SUM(M39:N39)</f>
        <v>1690.0000000000009</v>
      </c>
      <c r="P39" s="45">
        <f>HLOOKUP($P$4,TAUNT_NEP_OFF,18,FALSE)</f>
        <v>7690.0000000000009</v>
      </c>
      <c r="Q39" s="46">
        <f>HLOOKUP($P$4,TAUNT_NEP_OFF,17,FALSE)</f>
        <v>-6000</v>
      </c>
      <c r="R39" s="44">
        <f>F39</f>
        <v>1690.0000000000009</v>
      </c>
      <c r="S39" s="45">
        <f>HLOOKUP($S$4,TAUNT_NEP_OFF,18,FALSE)</f>
        <v>7690.0000000000009</v>
      </c>
      <c r="T39" s="46">
        <f>HLOOKUP($S$4,TAUNT_NEP_OFF,17,FALSE)</f>
        <v>-6000</v>
      </c>
      <c r="U39" s="44">
        <f>R39</f>
        <v>1690.0000000000009</v>
      </c>
      <c r="V39" s="65">
        <f>HLOOKUP($V$4,TAUNT_NEP_OFF,18,FALSE)</f>
        <v>7690.0000000000009</v>
      </c>
      <c r="W39" s="66">
        <f>HLOOKUP($V$4,TAUNT_NEP_OFF,17,FALSE)</f>
        <v>-6000</v>
      </c>
      <c r="X39" s="56">
        <f>SUM(V39:W39)</f>
        <v>1690.0000000000009</v>
      </c>
      <c r="Y39" s="65">
        <f>SUM(D39,G39,J39,M39,P39,S39,V39)</f>
        <v>53830.000000000007</v>
      </c>
      <c r="Z39" s="66">
        <f>SUM(E39,H39,K39,N39,Q39,T39,W39)</f>
        <v>-42000</v>
      </c>
      <c r="AA39" s="56">
        <f>SUM(Y39:Z39)</f>
        <v>11830.000000000007</v>
      </c>
    </row>
    <row r="40" spans="1:27" customFormat="1" ht="6" customHeight="1" x14ac:dyDescent="0.2">
      <c r="D40" s="74"/>
      <c r="E40" s="72"/>
      <c r="F40" s="73"/>
      <c r="G40" s="83"/>
      <c r="H40" s="84"/>
      <c r="I40" s="85"/>
      <c r="J40" s="83"/>
      <c r="K40" s="84"/>
      <c r="L40" s="85"/>
      <c r="M40" s="83"/>
      <c r="N40" s="84"/>
      <c r="O40" s="85"/>
      <c r="P40" s="74"/>
      <c r="Q40" s="72"/>
      <c r="R40" s="73"/>
      <c r="S40" s="74"/>
      <c r="T40" s="72"/>
      <c r="U40" s="73"/>
      <c r="V40" s="83"/>
      <c r="W40" s="84"/>
      <c r="X40" s="85"/>
      <c r="Y40" s="83"/>
      <c r="Z40" s="84"/>
      <c r="AA40" s="85"/>
    </row>
    <row r="41" spans="1:27" customFormat="1" x14ac:dyDescent="0.2">
      <c r="A41" s="1" t="s">
        <v>86</v>
      </c>
      <c r="B41" s="31" t="s">
        <v>73</v>
      </c>
      <c r="D41" s="45">
        <f t="shared" ref="D41:X41" si="18">SUM(D36:D39)</f>
        <v>23070.000000000004</v>
      </c>
      <c r="E41" s="46">
        <f t="shared" si="18"/>
        <v>-18000</v>
      </c>
      <c r="F41" s="44">
        <f t="shared" si="18"/>
        <v>5070.0000000000027</v>
      </c>
      <c r="G41" s="65">
        <f t="shared" si="18"/>
        <v>50870</v>
      </c>
      <c r="H41" s="66">
        <f t="shared" si="18"/>
        <v>-43600</v>
      </c>
      <c r="I41" s="56">
        <f t="shared" si="18"/>
        <v>7270.0000000000027</v>
      </c>
      <c r="J41" s="65">
        <f t="shared" si="18"/>
        <v>50870</v>
      </c>
      <c r="K41" s="66">
        <f t="shared" si="18"/>
        <v>-43600</v>
      </c>
      <c r="L41" s="56">
        <f t="shared" si="18"/>
        <v>7270.0000000000027</v>
      </c>
      <c r="M41" s="65">
        <f t="shared" si="18"/>
        <v>50870</v>
      </c>
      <c r="N41" s="66">
        <f t="shared" si="18"/>
        <v>-43600</v>
      </c>
      <c r="O41" s="56">
        <f t="shared" si="18"/>
        <v>7270.0000000000027</v>
      </c>
      <c r="P41" s="45">
        <f t="shared" si="18"/>
        <v>23070.000000000004</v>
      </c>
      <c r="Q41" s="46">
        <f t="shared" si="18"/>
        <v>-18000</v>
      </c>
      <c r="R41" s="44">
        <f t="shared" si="18"/>
        <v>5070.0000000000027</v>
      </c>
      <c r="S41" s="45">
        <f t="shared" si="18"/>
        <v>23070.000000000004</v>
      </c>
      <c r="T41" s="46">
        <f t="shared" si="18"/>
        <v>-18000</v>
      </c>
      <c r="U41" s="44">
        <f t="shared" si="18"/>
        <v>5070.0000000000027</v>
      </c>
      <c r="V41" s="65">
        <f t="shared" si="18"/>
        <v>50870</v>
      </c>
      <c r="W41" s="66">
        <f t="shared" si="18"/>
        <v>-43600</v>
      </c>
      <c r="X41" s="56">
        <f t="shared" si="18"/>
        <v>7270.0000000000027</v>
      </c>
      <c r="Y41" s="65">
        <f>SUM(Y38:Y40)</f>
        <v>161490.00000000003</v>
      </c>
      <c r="Z41" s="66">
        <f>SUM(Z38:Z40)</f>
        <v>-142000</v>
      </c>
      <c r="AA41" s="56">
        <f>SUM(AA38:AA39)</f>
        <v>19490.000000000022</v>
      </c>
    </row>
    <row r="42" spans="1:27" customFormat="1" x14ac:dyDescent="0.2">
      <c r="D42" s="68"/>
      <c r="E42" s="69"/>
      <c r="F42" s="70"/>
      <c r="G42" s="80"/>
      <c r="H42" s="81"/>
      <c r="I42" s="82"/>
      <c r="J42" s="80"/>
      <c r="K42" s="81"/>
      <c r="L42" s="82"/>
      <c r="M42" s="80"/>
      <c r="N42" s="81"/>
      <c r="O42" s="82"/>
      <c r="P42" s="68"/>
      <c r="Q42" s="69"/>
      <c r="R42" s="70"/>
      <c r="S42" s="68"/>
      <c r="T42" s="69"/>
      <c r="U42" s="70"/>
      <c r="V42" s="80"/>
      <c r="W42" s="81"/>
      <c r="X42" s="82"/>
      <c r="Y42" s="80"/>
      <c r="Z42" s="81"/>
      <c r="AA42" s="82"/>
    </row>
    <row r="43" spans="1:27" customFormat="1" x14ac:dyDescent="0.2">
      <c r="D43" s="45"/>
      <c r="E43" s="46"/>
      <c r="F43" s="44"/>
      <c r="G43" s="65"/>
      <c r="H43" s="66"/>
      <c r="I43" s="56"/>
      <c r="J43" s="65"/>
      <c r="K43" s="66"/>
      <c r="L43" s="56"/>
      <c r="M43" s="65"/>
      <c r="N43" s="66"/>
      <c r="O43" s="56"/>
      <c r="P43" s="45"/>
      <c r="Q43" s="46"/>
      <c r="R43" s="44"/>
      <c r="S43" s="45"/>
      <c r="T43" s="46"/>
      <c r="U43" s="44"/>
      <c r="V43" s="65"/>
      <c r="W43" s="66"/>
      <c r="X43" s="56"/>
      <c r="Y43" s="65"/>
      <c r="Z43" s="66"/>
      <c r="AA43" s="56"/>
    </row>
    <row r="44" spans="1:27" customFormat="1" x14ac:dyDescent="0.2">
      <c r="A44" t="s">
        <v>46</v>
      </c>
      <c r="B44" t="s">
        <v>69</v>
      </c>
      <c r="C44" t="s">
        <v>78</v>
      </c>
      <c r="D44" s="45">
        <f>HLOOKUP($D$4,ALCO_SIG_PK,18,FALSE)</f>
        <v>30480</v>
      </c>
      <c r="E44" s="46">
        <f>HLOOKUP($D$4,ALCO_SIG_PK,17,FALSE)</f>
        <v>-24000</v>
      </c>
      <c r="F44" s="44">
        <f>SUM(D44:E44)</f>
        <v>6480</v>
      </c>
      <c r="G44" s="65">
        <f>HLOOKUP($G$4,ALCO_SIG_PK,18,FALSE)</f>
        <v>0</v>
      </c>
      <c r="H44" s="66">
        <f>HLOOKUP($G$4,ALCO_SIG_PK,17,FALSE)</f>
        <v>0</v>
      </c>
      <c r="I44" s="56">
        <f>SUM(G44:H44)</f>
        <v>0</v>
      </c>
      <c r="J44" s="65">
        <f>HLOOKUP($J$4,ALCO_SIG_PK,18,FALSE)</f>
        <v>0</v>
      </c>
      <c r="K44" s="66">
        <f>HLOOKUP($J$4,ALCO_SIG_PK,17,FALSE)</f>
        <v>0</v>
      </c>
      <c r="L44" s="56">
        <f>SUM(J44:K44)</f>
        <v>0</v>
      </c>
      <c r="M44" s="65">
        <f>HLOOKUP($M$4,ALCO_SIG_PK,18,FALSE)</f>
        <v>0</v>
      </c>
      <c r="N44" s="66">
        <f>HLOOKUP($M$4,ALCO_SIG_PK,17,FALSE)</f>
        <v>0</v>
      </c>
      <c r="O44" s="56">
        <f>SUM(M44:N44)</f>
        <v>0</v>
      </c>
      <c r="P44" s="45">
        <f>HLOOKUP($P$4,ALCO_SIG_PK,18,FALSE)</f>
        <v>30480</v>
      </c>
      <c r="Q44" s="46">
        <f>HLOOKUP($P$4,ALCO_SIG_PK,17,FALSE)</f>
        <v>-24000</v>
      </c>
      <c r="R44" s="44">
        <f>F44</f>
        <v>6480</v>
      </c>
      <c r="S44" s="45">
        <f>HLOOKUP($S$4,ALCO_SIG_PK,18,FALSE)</f>
        <v>30480</v>
      </c>
      <c r="T44" s="46">
        <f>HLOOKUP($S$4,ALCO_SIG_PK,17,FALSE)</f>
        <v>-24000</v>
      </c>
      <c r="U44" s="44">
        <f>R44</f>
        <v>6480</v>
      </c>
      <c r="V44" s="65">
        <f>HLOOKUP($V$4,ALCO_SIG_PK,18,FALSE)</f>
        <v>0</v>
      </c>
      <c r="W44" s="66">
        <f>HLOOKUP($V$4,ALCO_SIG_PK,17,FALSE)</f>
        <v>0</v>
      </c>
      <c r="X44" s="56">
        <f>SUM(V44:W44)</f>
        <v>0</v>
      </c>
      <c r="Y44" s="65">
        <f>SUM(D44,G44,J44,M44,P44,S44,V44)</f>
        <v>91440</v>
      </c>
      <c r="Z44" s="66">
        <f>SUM(E44,H44,K44,N44,Q44,T44,W44)</f>
        <v>-72000</v>
      </c>
      <c r="AA44" s="56">
        <f>SUM(Y44:Z44)</f>
        <v>19440</v>
      </c>
    </row>
    <row r="45" spans="1:27" customFormat="1" x14ac:dyDescent="0.2">
      <c r="A45" t="s">
        <v>46</v>
      </c>
      <c r="B45" t="s">
        <v>69</v>
      </c>
      <c r="C45" t="s">
        <v>76</v>
      </c>
      <c r="D45" s="45">
        <f>HLOOKUP($D$4,ALCO_SIG_OFF,18,FALSE)</f>
        <v>15240</v>
      </c>
      <c r="E45" s="46">
        <f>HLOOKUP($D$4,ALCO_SIG_OFF,17,FALSE)</f>
        <v>-12000</v>
      </c>
      <c r="F45" s="44">
        <f>SUM(D45:E45)</f>
        <v>3240</v>
      </c>
      <c r="G45" s="65">
        <f>HLOOKUP($G$4,ALCO_SIG_OFF,18,FALSE)</f>
        <v>0</v>
      </c>
      <c r="H45" s="66">
        <f>HLOOKUP($G$4,ALCO_SIG_OFF,17,FALSE)</f>
        <v>0</v>
      </c>
      <c r="I45" s="56">
        <f>SUM(G45:H45)</f>
        <v>0</v>
      </c>
      <c r="J45" s="65">
        <f>HLOOKUP($J$4,ALCO_SIG_OFF,18,FALSE)</f>
        <v>0</v>
      </c>
      <c r="K45" s="66">
        <f>HLOOKUP($J$4,ALCO_SIG_OFF,17,FALSE)</f>
        <v>0</v>
      </c>
      <c r="L45" s="56">
        <f>SUM(J45:K45)</f>
        <v>0</v>
      </c>
      <c r="M45" s="65">
        <f>HLOOKUP($M$4,ALCO_SIG_OFF,18,FALSE)</f>
        <v>0</v>
      </c>
      <c r="N45" s="66">
        <f>HLOOKUP($M$4,ALCO_SIG_OFF,17,FALSE)</f>
        <v>0</v>
      </c>
      <c r="O45" s="56">
        <f>SUM(M45:N45)</f>
        <v>0</v>
      </c>
      <c r="P45" s="45">
        <f>HLOOKUP($P$4,ALCO_SIG_OFF,18,FALSE)</f>
        <v>15240</v>
      </c>
      <c r="Q45" s="46">
        <f>HLOOKUP($P$4,ALCO_SIG_OFF,17,FALSE)</f>
        <v>-12000</v>
      </c>
      <c r="R45" s="44">
        <f>F45</f>
        <v>3240</v>
      </c>
      <c r="S45" s="45">
        <f>HLOOKUP($S$4,ALCO_SIG_OFF,18,FALSE)</f>
        <v>15240</v>
      </c>
      <c r="T45" s="46">
        <f>HLOOKUP($S$4,ALCO_SIG_OFF,17,FALSE)</f>
        <v>-12000</v>
      </c>
      <c r="U45" s="44">
        <f>R45</f>
        <v>3240</v>
      </c>
      <c r="V45" s="65">
        <f>HLOOKUP($V$4,ALCO_SIG_OFF,18,FALSE)</f>
        <v>0</v>
      </c>
      <c r="W45" s="66">
        <f>HLOOKUP($V$4,ALCO_SIG_OFF,17,FALSE)</f>
        <v>0</v>
      </c>
      <c r="X45" s="56">
        <f>SUM(V45:W45)</f>
        <v>0</v>
      </c>
      <c r="Y45" s="65">
        <f>SUM(D45,G45,J45,M45,P45,S45,V45)</f>
        <v>45720</v>
      </c>
      <c r="Z45" s="66">
        <f>SUM(E45,H45,K45,N45,Q45,T45,W45)</f>
        <v>-36000</v>
      </c>
      <c r="AA45" s="56">
        <f>SUM(Y45:Z45)</f>
        <v>9720</v>
      </c>
    </row>
    <row r="46" spans="1:27" customFormat="1" ht="6" customHeight="1" x14ac:dyDescent="0.2">
      <c r="D46" s="74"/>
      <c r="E46" s="72"/>
      <c r="F46" s="73"/>
      <c r="G46" s="83"/>
      <c r="H46" s="84"/>
      <c r="I46" s="85"/>
      <c r="J46" s="83"/>
      <c r="K46" s="84"/>
      <c r="L46" s="85"/>
      <c r="M46" s="83"/>
      <c r="N46" s="84"/>
      <c r="O46" s="85"/>
      <c r="P46" s="74"/>
      <c r="Q46" s="72"/>
      <c r="R46" s="73"/>
      <c r="S46" s="74"/>
      <c r="T46" s="72"/>
      <c r="U46" s="73"/>
      <c r="V46" s="83"/>
      <c r="W46" s="84"/>
      <c r="X46" s="85"/>
      <c r="Y46" s="83"/>
      <c r="Z46" s="84"/>
      <c r="AA46" s="85"/>
    </row>
    <row r="47" spans="1:27" customFormat="1" x14ac:dyDescent="0.2">
      <c r="A47" s="1" t="s">
        <v>46</v>
      </c>
      <c r="B47" s="31" t="s">
        <v>73</v>
      </c>
      <c r="D47" s="45">
        <f t="shared" ref="D47:AA47" si="19">SUM(D42:D45)</f>
        <v>45720</v>
      </c>
      <c r="E47" s="46">
        <f t="shared" si="19"/>
        <v>-36000</v>
      </c>
      <c r="F47" s="44">
        <f t="shared" si="19"/>
        <v>9720</v>
      </c>
      <c r="G47" s="65">
        <f t="shared" si="19"/>
        <v>0</v>
      </c>
      <c r="H47" s="66">
        <f t="shared" si="19"/>
        <v>0</v>
      </c>
      <c r="I47" s="56">
        <f t="shared" si="19"/>
        <v>0</v>
      </c>
      <c r="J47" s="65">
        <f t="shared" si="19"/>
        <v>0</v>
      </c>
      <c r="K47" s="66">
        <f t="shared" si="19"/>
        <v>0</v>
      </c>
      <c r="L47" s="56">
        <f t="shared" si="19"/>
        <v>0</v>
      </c>
      <c r="M47" s="65">
        <f t="shared" si="19"/>
        <v>0</v>
      </c>
      <c r="N47" s="66">
        <f t="shared" si="19"/>
        <v>0</v>
      </c>
      <c r="O47" s="56">
        <f t="shared" si="19"/>
        <v>0</v>
      </c>
      <c r="P47" s="45">
        <f t="shared" si="19"/>
        <v>45720</v>
      </c>
      <c r="Q47" s="46">
        <f t="shared" si="19"/>
        <v>-36000</v>
      </c>
      <c r="R47" s="44">
        <f t="shared" si="19"/>
        <v>9720</v>
      </c>
      <c r="S47" s="45">
        <f t="shared" si="19"/>
        <v>45720</v>
      </c>
      <c r="T47" s="46">
        <f t="shared" si="19"/>
        <v>-36000</v>
      </c>
      <c r="U47" s="44">
        <f t="shared" si="19"/>
        <v>9720</v>
      </c>
      <c r="V47" s="65">
        <f t="shared" si="19"/>
        <v>0</v>
      </c>
      <c r="W47" s="66">
        <f t="shared" si="19"/>
        <v>0</v>
      </c>
      <c r="X47" s="56">
        <f t="shared" si="19"/>
        <v>0</v>
      </c>
      <c r="Y47" s="65">
        <f t="shared" si="19"/>
        <v>137160</v>
      </c>
      <c r="Z47" s="66">
        <f t="shared" si="19"/>
        <v>-108000</v>
      </c>
      <c r="AA47" s="56">
        <f t="shared" si="19"/>
        <v>29160</v>
      </c>
    </row>
    <row r="48" spans="1:27" customFormat="1" x14ac:dyDescent="0.2">
      <c r="D48" s="68"/>
      <c r="E48" s="69"/>
      <c r="F48" s="70"/>
      <c r="G48" s="80"/>
      <c r="H48" s="81"/>
      <c r="I48" s="82"/>
      <c r="J48" s="80"/>
      <c r="K48" s="81"/>
      <c r="L48" s="82"/>
      <c r="M48" s="80"/>
      <c r="N48" s="81"/>
      <c r="O48" s="82"/>
      <c r="P48" s="68"/>
      <c r="Q48" s="69"/>
      <c r="R48" s="70"/>
      <c r="S48" s="68"/>
      <c r="T48" s="69"/>
      <c r="U48" s="70"/>
      <c r="V48" s="80"/>
      <c r="W48" s="81"/>
      <c r="X48" s="82"/>
      <c r="Y48" s="80"/>
      <c r="Z48" s="81"/>
      <c r="AA48" s="82"/>
    </row>
    <row r="49" spans="1:27" customFormat="1" x14ac:dyDescent="0.2">
      <c r="A49" t="s">
        <v>20</v>
      </c>
      <c r="B49" t="s">
        <v>62</v>
      </c>
      <c r="C49" t="s">
        <v>78</v>
      </c>
      <c r="D49" s="45">
        <f>HLOOKUP($D$4,GPU_PJM_PK,18,FALSE)</f>
        <v>0</v>
      </c>
      <c r="E49" s="46">
        <f>HLOOKUP($D$4,GPU_PJM_PK,17,FALSE)</f>
        <v>0</v>
      </c>
      <c r="F49" s="44">
        <f>SUM(D49:E49)</f>
        <v>0</v>
      </c>
      <c r="G49" s="65">
        <f>HLOOKUP($G$4,GPU_PJM_PK,18,FALSE)</f>
        <v>233280</v>
      </c>
      <c r="H49" s="66">
        <f>HLOOKUP($G$4,GPU_PJM_PK,17,FALSE)</f>
        <v>-134400</v>
      </c>
      <c r="I49" s="56">
        <f>SUM(G49:H49)</f>
        <v>98880</v>
      </c>
      <c r="J49" s="65">
        <f>HLOOKUP($J$4,GPU_PJM_PK,18,FALSE)</f>
        <v>233280</v>
      </c>
      <c r="K49" s="66">
        <f>HLOOKUP($J$4,GPU_PJM_PK,17,FALSE)</f>
        <v>-134400</v>
      </c>
      <c r="L49" s="56">
        <f>SUM(J49:K49)</f>
        <v>98880</v>
      </c>
      <c r="M49" s="65">
        <f>HLOOKUP($M$4,GPU_PJM_PK,18,FALSE)</f>
        <v>233280</v>
      </c>
      <c r="N49" s="66">
        <f>HLOOKUP($M$4,GPU_PJM_PK,17,FALSE)</f>
        <v>-134400</v>
      </c>
      <c r="O49" s="56">
        <f>SUM(M49:N49)</f>
        <v>98880</v>
      </c>
      <c r="P49" s="45">
        <f>HLOOKUP($P$4,GPU_PJM_PK,18,FALSE)</f>
        <v>0</v>
      </c>
      <c r="Q49" s="46">
        <f>HLOOKUP($P$4,GPU_PJM_PK,17,FALSE)</f>
        <v>0</v>
      </c>
      <c r="R49" s="44">
        <f>F49</f>
        <v>0</v>
      </c>
      <c r="S49" s="45">
        <f>HLOOKUP($S$4,GPU_PJM_PK,18,FALSE)</f>
        <v>0</v>
      </c>
      <c r="T49" s="46">
        <f>HLOOKUP($S$4,GPU_PJM_PK,17,FALSE)</f>
        <v>0</v>
      </c>
      <c r="U49" s="44">
        <f>R49</f>
        <v>0</v>
      </c>
      <c r="V49" s="65">
        <f>HLOOKUP($V$4,GPU_PJM_PK,18,FALSE)</f>
        <v>233280</v>
      </c>
      <c r="W49" s="66">
        <f>HLOOKUP($V$4,GPU_PJM_PK,17,FALSE)</f>
        <v>-134400</v>
      </c>
      <c r="X49" s="56">
        <f>SUM(V49:W49)</f>
        <v>98880</v>
      </c>
      <c r="Y49" s="65">
        <f>SUM(D49,G49,J49,M49,P49,S49,V49)</f>
        <v>933120</v>
      </c>
      <c r="Z49" s="66">
        <f>SUM(E49,H49,K49,N49,Q49,T49,W49)</f>
        <v>-537600</v>
      </c>
      <c r="AA49" s="56">
        <f>SUM(Y49:Z49)</f>
        <v>395520</v>
      </c>
    </row>
    <row r="50" spans="1:27" customFormat="1" ht="5.25" customHeight="1" x14ac:dyDescent="0.2">
      <c r="D50" s="74"/>
      <c r="E50" s="72"/>
      <c r="F50" s="73"/>
      <c r="G50" s="83"/>
      <c r="H50" s="84"/>
      <c r="I50" s="85"/>
      <c r="J50" s="83"/>
      <c r="K50" s="84"/>
      <c r="L50" s="85"/>
      <c r="M50" s="83"/>
      <c r="N50" s="84"/>
      <c r="O50" s="85"/>
      <c r="P50" s="74"/>
      <c r="Q50" s="72"/>
      <c r="R50" s="73"/>
      <c r="S50" s="74"/>
      <c r="T50" s="72"/>
      <c r="U50" s="73"/>
      <c r="V50" s="83"/>
      <c r="W50" s="84"/>
      <c r="X50" s="85"/>
      <c r="Y50" s="83"/>
      <c r="Z50" s="84"/>
      <c r="AA50" s="85"/>
    </row>
    <row r="51" spans="1:27" customFormat="1" x14ac:dyDescent="0.2">
      <c r="A51" s="1" t="s">
        <v>20</v>
      </c>
      <c r="B51" s="31" t="s">
        <v>73</v>
      </c>
      <c r="D51" s="45">
        <f t="shared" ref="D51:AA51" si="20">SUM(D49:D49)</f>
        <v>0</v>
      </c>
      <c r="E51" s="46">
        <f t="shared" si="20"/>
        <v>0</v>
      </c>
      <c r="F51" s="44">
        <f t="shared" si="20"/>
        <v>0</v>
      </c>
      <c r="G51" s="65">
        <f t="shared" si="20"/>
        <v>233280</v>
      </c>
      <c r="H51" s="66">
        <f t="shared" si="20"/>
        <v>-134400</v>
      </c>
      <c r="I51" s="56">
        <f t="shared" si="20"/>
        <v>98880</v>
      </c>
      <c r="J51" s="65">
        <f t="shared" si="20"/>
        <v>233280</v>
      </c>
      <c r="K51" s="66">
        <f t="shared" si="20"/>
        <v>-134400</v>
      </c>
      <c r="L51" s="56">
        <f t="shared" si="20"/>
        <v>98880</v>
      </c>
      <c r="M51" s="65">
        <f t="shared" si="20"/>
        <v>233280</v>
      </c>
      <c r="N51" s="66">
        <f t="shared" si="20"/>
        <v>-134400</v>
      </c>
      <c r="O51" s="56">
        <f t="shared" si="20"/>
        <v>98880</v>
      </c>
      <c r="P51" s="45">
        <f t="shared" si="20"/>
        <v>0</v>
      </c>
      <c r="Q51" s="46">
        <f t="shared" si="20"/>
        <v>0</v>
      </c>
      <c r="R51" s="44">
        <f t="shared" si="20"/>
        <v>0</v>
      </c>
      <c r="S51" s="45">
        <f t="shared" si="20"/>
        <v>0</v>
      </c>
      <c r="T51" s="46">
        <f t="shared" si="20"/>
        <v>0</v>
      </c>
      <c r="U51" s="44">
        <f t="shared" si="20"/>
        <v>0</v>
      </c>
      <c r="V51" s="65">
        <f t="shared" si="20"/>
        <v>233280</v>
      </c>
      <c r="W51" s="66">
        <f t="shared" si="20"/>
        <v>-134400</v>
      </c>
      <c r="X51" s="56">
        <f t="shared" si="20"/>
        <v>98880</v>
      </c>
      <c r="Y51" s="65">
        <f t="shared" si="20"/>
        <v>933120</v>
      </c>
      <c r="Z51" s="66">
        <f t="shared" si="20"/>
        <v>-537600</v>
      </c>
      <c r="AA51" s="56">
        <f t="shared" si="20"/>
        <v>395520</v>
      </c>
    </row>
    <row r="52" spans="1:27" customFormat="1" x14ac:dyDescent="0.2">
      <c r="D52" s="68"/>
      <c r="E52" s="69"/>
      <c r="F52" s="70"/>
      <c r="G52" s="80"/>
      <c r="H52" s="81"/>
      <c r="I52" s="82"/>
      <c r="J52" s="80"/>
      <c r="K52" s="81"/>
      <c r="L52" s="82"/>
      <c r="M52" s="80"/>
      <c r="N52" s="81"/>
      <c r="O52" s="82"/>
      <c r="P52" s="68"/>
      <c r="Q52" s="69"/>
      <c r="R52" s="70"/>
      <c r="S52" s="68"/>
      <c r="T52" s="69"/>
      <c r="U52" s="70"/>
      <c r="V52" s="80"/>
      <c r="W52" s="81"/>
      <c r="X52" s="82"/>
      <c r="Y52" s="80"/>
      <c r="Z52" s="81"/>
      <c r="AA52" s="82"/>
    </row>
    <row r="53" spans="1:27" customFormat="1" x14ac:dyDescent="0.2">
      <c r="A53" t="s">
        <v>49</v>
      </c>
      <c r="B53" t="s">
        <v>68</v>
      </c>
      <c r="C53" t="s">
        <v>78</v>
      </c>
      <c r="D53" s="45">
        <f>HLOOKUP($D$4,UI_NEP_PK,18,FALSE)</f>
        <v>469820</v>
      </c>
      <c r="E53" s="46">
        <f>HLOOKUP($D$4,UI_NEP_PK,17,FALSE)</f>
        <v>-333600</v>
      </c>
      <c r="F53" s="44">
        <f>SUM(D53:E53)</f>
        <v>136220</v>
      </c>
      <c r="G53" s="65">
        <f>HLOOKUP($G$4,UI_NEP_PK,18,FALSE)</f>
        <v>469820</v>
      </c>
      <c r="H53" s="66">
        <f>HLOOKUP($G$4,UI_NEP_PK,17,FALSE)</f>
        <v>-444800</v>
      </c>
      <c r="I53" s="56">
        <f>SUM(G53:H53)</f>
        <v>25020</v>
      </c>
      <c r="J53" s="65">
        <f>HLOOKUP($J$4,UI_NEP_PK,18,FALSE)</f>
        <v>469820</v>
      </c>
      <c r="K53" s="66">
        <f>HLOOKUP($J$4,UI_NEP_PK,17,FALSE)</f>
        <v>-444800</v>
      </c>
      <c r="L53" s="56">
        <f>SUM(J53:K53)</f>
        <v>25020</v>
      </c>
      <c r="M53" s="65">
        <f>HLOOKUP($M$4,UI_NEP_PK,18,FALSE)</f>
        <v>469820</v>
      </c>
      <c r="N53" s="66">
        <f>HLOOKUP($M$4,UI_NEP_PK,17,FALSE)</f>
        <v>-444800</v>
      </c>
      <c r="O53" s="56">
        <f>SUM(M53:N53)</f>
        <v>25020</v>
      </c>
      <c r="P53" s="45">
        <f>HLOOKUP($P$4,UI_NEP_PK,18,FALSE)</f>
        <v>469820</v>
      </c>
      <c r="Q53" s="46">
        <f>HLOOKUP($P$4,UI_NEP_PK,17,FALSE)</f>
        <v>-333600</v>
      </c>
      <c r="R53" s="44">
        <f>F53</f>
        <v>136220</v>
      </c>
      <c r="S53" s="45">
        <f>HLOOKUP($S$4,UI_NEP_PK,18,FALSE)</f>
        <v>469820</v>
      </c>
      <c r="T53" s="46">
        <f>HLOOKUP($S$4,UI_NEP_PK,17,FALSE)</f>
        <v>-333600</v>
      </c>
      <c r="U53" s="44">
        <f>R53</f>
        <v>136220</v>
      </c>
      <c r="V53" s="65">
        <f>HLOOKUP($V$4,UI_NEP_PK,18,FALSE)</f>
        <v>469820</v>
      </c>
      <c r="W53" s="66">
        <f>HLOOKUP($V$4,UI_NEP_PK,17,FALSE)</f>
        <v>-444800</v>
      </c>
      <c r="X53" s="56">
        <f>SUM(V53:W53)</f>
        <v>25020</v>
      </c>
      <c r="Y53" s="65">
        <f>SUM(D53,G53,J53,M53,P53,S53,V53)</f>
        <v>3288740</v>
      </c>
      <c r="Z53" s="66">
        <f>SUM(E53,H53,K53,N53,Q53,T53,W53)</f>
        <v>-2780000</v>
      </c>
      <c r="AA53" s="56">
        <f>SUM(Y53:Z53)</f>
        <v>508740</v>
      </c>
    </row>
    <row r="54" spans="1:27" customFormat="1" x14ac:dyDescent="0.2">
      <c r="A54" t="s">
        <v>49</v>
      </c>
      <c r="B54" t="s">
        <v>68</v>
      </c>
      <c r="C54" t="s">
        <v>76</v>
      </c>
      <c r="D54" s="45">
        <f>HLOOKUP($D$4,UI_NEP_OFF,18,FALSE)</f>
        <v>234910</v>
      </c>
      <c r="E54" s="46">
        <f>HLOOKUP($D$4,UI_NEP_OFF,17,FALSE)</f>
        <v>-166800</v>
      </c>
      <c r="F54" s="44">
        <f>SUM(D54:E54)</f>
        <v>68110</v>
      </c>
      <c r="G54" s="65">
        <f>HLOOKUP($G$4,UI_NEP_OFF,18,FALSE)</f>
        <v>234910</v>
      </c>
      <c r="H54" s="66">
        <f>HLOOKUP($G$4,UI_NEP_OFF,17,FALSE)</f>
        <v>-166800</v>
      </c>
      <c r="I54" s="56">
        <f>SUM(G54:H54)</f>
        <v>68110</v>
      </c>
      <c r="J54" s="65">
        <f>HLOOKUP($J$4,UI_NEP_OFF,18,FALSE)</f>
        <v>234910</v>
      </c>
      <c r="K54" s="66">
        <f>HLOOKUP($J$4,UI_NEP_OFF,17,FALSE)</f>
        <v>-166800</v>
      </c>
      <c r="L54" s="56">
        <f>SUM(J54:K54)</f>
        <v>68110</v>
      </c>
      <c r="M54" s="65">
        <f>HLOOKUP($M$4,UI_NEP_OFF,18,FALSE)</f>
        <v>234910</v>
      </c>
      <c r="N54" s="66">
        <f>HLOOKUP($M$4,UI_NEP_OFF,17,FALSE)</f>
        <v>-166800</v>
      </c>
      <c r="O54" s="56">
        <f>SUM(M54:N54)</f>
        <v>68110</v>
      </c>
      <c r="P54" s="45">
        <f>HLOOKUP($P$4,UI_NEP_OFF,18,FALSE)</f>
        <v>234910</v>
      </c>
      <c r="Q54" s="46">
        <f>HLOOKUP($P$4,UI_NEP_OFF,17,FALSE)</f>
        <v>-166800</v>
      </c>
      <c r="R54" s="44">
        <f>F54</f>
        <v>68110</v>
      </c>
      <c r="S54" s="45">
        <f>HLOOKUP($S$4,UI_NEP_OFF,18,FALSE)</f>
        <v>234910</v>
      </c>
      <c r="T54" s="46">
        <f>HLOOKUP($S$4,UI_NEP_OFF,17,FALSE)</f>
        <v>-166800</v>
      </c>
      <c r="U54" s="44">
        <f>R54</f>
        <v>68110</v>
      </c>
      <c r="V54" s="65">
        <f>HLOOKUP($V$4,UI_NEP_OFF,18,FALSE)</f>
        <v>234910</v>
      </c>
      <c r="W54" s="66">
        <f>HLOOKUP($V$4,UI_NEP_OFF,17,FALSE)</f>
        <v>-166800</v>
      </c>
      <c r="X54" s="56">
        <f>SUM(V54:W54)</f>
        <v>68110</v>
      </c>
      <c r="Y54" s="65">
        <f>SUM(D54,G54,J54,M54,P54,S54,V54)</f>
        <v>1644370</v>
      </c>
      <c r="Z54" s="66">
        <f>SUM(E54,H54,K54,N54,Q54,T54,W54)</f>
        <v>-1167600</v>
      </c>
      <c r="AA54" s="56">
        <f>SUM(Y54:Z54)</f>
        <v>476770</v>
      </c>
    </row>
    <row r="55" spans="1:27" customFormat="1" ht="6" customHeight="1" x14ac:dyDescent="0.2">
      <c r="D55" s="74"/>
      <c r="E55" s="72"/>
      <c r="F55" s="73"/>
      <c r="G55" s="83"/>
      <c r="H55" s="84"/>
      <c r="I55" s="85"/>
      <c r="J55" s="83"/>
      <c r="K55" s="84"/>
      <c r="L55" s="85"/>
      <c r="M55" s="83"/>
      <c r="N55" s="84"/>
      <c r="O55" s="85"/>
      <c r="P55" s="74"/>
      <c r="Q55" s="72"/>
      <c r="R55" s="73"/>
      <c r="S55" s="74"/>
      <c r="T55" s="72"/>
      <c r="U55" s="73"/>
      <c r="V55" s="83"/>
      <c r="W55" s="84"/>
      <c r="X55" s="85"/>
      <c r="Y55" s="83"/>
      <c r="Z55" s="84"/>
      <c r="AA55" s="85"/>
    </row>
    <row r="56" spans="1:27" customFormat="1" x14ac:dyDescent="0.2">
      <c r="A56" s="1" t="s">
        <v>49</v>
      </c>
      <c r="B56" s="31" t="s">
        <v>73</v>
      </c>
      <c r="D56" s="45">
        <f t="shared" ref="D56:X56" si="21">SUM(D51:D54)</f>
        <v>704730</v>
      </c>
      <c r="E56" s="46">
        <f t="shared" si="21"/>
        <v>-500400</v>
      </c>
      <c r="F56" s="44">
        <f t="shared" si="21"/>
        <v>204330</v>
      </c>
      <c r="G56" s="65">
        <f t="shared" si="21"/>
        <v>938010</v>
      </c>
      <c r="H56" s="66">
        <f t="shared" si="21"/>
        <v>-746000</v>
      </c>
      <c r="I56" s="56">
        <f t="shared" si="21"/>
        <v>192010</v>
      </c>
      <c r="J56" s="65">
        <f t="shared" si="21"/>
        <v>938010</v>
      </c>
      <c r="K56" s="66">
        <f t="shared" si="21"/>
        <v>-746000</v>
      </c>
      <c r="L56" s="56">
        <f t="shared" si="21"/>
        <v>192010</v>
      </c>
      <c r="M56" s="65">
        <f t="shared" si="21"/>
        <v>938010</v>
      </c>
      <c r="N56" s="66">
        <f t="shared" si="21"/>
        <v>-746000</v>
      </c>
      <c r="O56" s="56">
        <f t="shared" si="21"/>
        <v>192010</v>
      </c>
      <c r="P56" s="45">
        <f t="shared" si="21"/>
        <v>704730</v>
      </c>
      <c r="Q56" s="46">
        <f t="shared" si="21"/>
        <v>-500400</v>
      </c>
      <c r="R56" s="44">
        <f t="shared" si="21"/>
        <v>204330</v>
      </c>
      <c r="S56" s="45">
        <f t="shared" si="21"/>
        <v>704730</v>
      </c>
      <c r="T56" s="46">
        <f t="shared" si="21"/>
        <v>-500400</v>
      </c>
      <c r="U56" s="44">
        <f t="shared" si="21"/>
        <v>204330</v>
      </c>
      <c r="V56" s="65">
        <f t="shared" si="21"/>
        <v>938010</v>
      </c>
      <c r="W56" s="66">
        <f t="shared" si="21"/>
        <v>-746000</v>
      </c>
      <c r="X56" s="56">
        <f t="shared" si="21"/>
        <v>192010</v>
      </c>
      <c r="Y56" s="65">
        <f>SUM(Y53:Y55)</f>
        <v>4933110</v>
      </c>
      <c r="Z56" s="66">
        <f>SUM(Z53:Z55)</f>
        <v>-3947600</v>
      </c>
      <c r="AA56" s="56">
        <f>SUM(AA53:AA54)</f>
        <v>985510</v>
      </c>
    </row>
    <row r="57" spans="1:27" customFormat="1" x14ac:dyDescent="0.2">
      <c r="D57" s="68"/>
      <c r="E57" s="69"/>
      <c r="F57" s="70"/>
      <c r="G57" s="80"/>
      <c r="H57" s="81"/>
      <c r="I57" s="82"/>
      <c r="J57" s="80"/>
      <c r="K57" s="81"/>
      <c r="L57" s="82"/>
      <c r="M57" s="80"/>
      <c r="N57" s="81"/>
      <c r="O57" s="82"/>
      <c r="P57" s="68"/>
      <c r="Q57" s="69"/>
      <c r="R57" s="70"/>
      <c r="S57" s="68"/>
      <c r="T57" s="69"/>
      <c r="U57" s="70"/>
      <c r="V57" s="80"/>
      <c r="W57" s="81"/>
      <c r="X57" s="82"/>
      <c r="Y57" s="80"/>
      <c r="Z57" s="81"/>
      <c r="AA57" s="82"/>
    </row>
    <row r="58" spans="1:27" customFormat="1" x14ac:dyDescent="0.2">
      <c r="A58" t="s">
        <v>50</v>
      </c>
      <c r="B58" t="s">
        <v>68</v>
      </c>
      <c r="C58" t="s">
        <v>78</v>
      </c>
      <c r="D58" s="45">
        <f>HLOOKUP($D$4,NSTAR_NEP_PK,18,FALSE)</f>
        <v>76582.400000000009</v>
      </c>
      <c r="E58" s="46">
        <f>HLOOKUP($D$4,NSTAR_NEP_PK,17,FALSE)</f>
        <v>-29760</v>
      </c>
      <c r="F58" s="44">
        <f>SUM(D58:E58)</f>
        <v>46822.400000000009</v>
      </c>
      <c r="G58" s="65">
        <f>HLOOKUP($G$4,NSTAR_NEP_PK,18,FALSE)</f>
        <v>76582.400000000009</v>
      </c>
      <c r="H58" s="66">
        <f>HLOOKUP($G$4,NSTAR_NEP_PK,17,FALSE)</f>
        <v>-39680</v>
      </c>
      <c r="I58" s="56">
        <f>SUM(G58:H58)</f>
        <v>36902.400000000009</v>
      </c>
      <c r="J58" s="65">
        <f>HLOOKUP($J$4,NSTAR_NEP_PK,18,FALSE)</f>
        <v>76582.400000000009</v>
      </c>
      <c r="K58" s="66">
        <f>HLOOKUP($J$4,NSTAR_NEP_PK,17,FALSE)</f>
        <v>-39680</v>
      </c>
      <c r="L58" s="56">
        <f>SUM(J58:K58)</f>
        <v>36902.400000000009</v>
      </c>
      <c r="M58" s="65">
        <f>HLOOKUP($M$4,NSTAR_NEP_PK,18,FALSE)</f>
        <v>76582.400000000009</v>
      </c>
      <c r="N58" s="66">
        <f>HLOOKUP($M$4,NSTAR_NEP_PK,17,FALSE)</f>
        <v>-39680</v>
      </c>
      <c r="O58" s="56">
        <f>SUM(M58:N58)</f>
        <v>36902.400000000009</v>
      </c>
      <c r="P58" s="45">
        <f>HLOOKUP($P$4,NSTAR_NEP_PK,18,FALSE)</f>
        <v>76582.400000000009</v>
      </c>
      <c r="Q58" s="46">
        <f>HLOOKUP($P$4,NSTAR_NEP_PK,17,FALSE)</f>
        <v>-29760</v>
      </c>
      <c r="R58" s="44">
        <f>F58</f>
        <v>46822.400000000009</v>
      </c>
      <c r="S58" s="45">
        <f>HLOOKUP($S$4,NSTAR_NEP_PK,18,FALSE)</f>
        <v>76582.400000000009</v>
      </c>
      <c r="T58" s="46">
        <f>HLOOKUP($S$4,NSTAR_NEP_PK,17,FALSE)</f>
        <v>-29760</v>
      </c>
      <c r="U58" s="44">
        <f>R58</f>
        <v>46822.400000000009</v>
      </c>
      <c r="V58" s="65">
        <f>HLOOKUP($V$4,NSTAR_NEP_PK,18,FALSE)</f>
        <v>76582.400000000009</v>
      </c>
      <c r="W58" s="66">
        <f>HLOOKUP($V$4,NSTAR_NEP_PK,17,FALSE)</f>
        <v>-39680</v>
      </c>
      <c r="X58" s="56">
        <f>SUM(V58:W58)</f>
        <v>36902.400000000009</v>
      </c>
      <c r="Y58" s="65">
        <f>SUM(D58,G58,J58,M58,P58,S58,V58)</f>
        <v>536076.80000000005</v>
      </c>
      <c r="Z58" s="66">
        <f>SUM(E58,H58,K58,N58,Q58,T58,W58)</f>
        <v>-248000</v>
      </c>
      <c r="AA58" s="56">
        <f>SUM(Y58:Z58)</f>
        <v>288076.80000000005</v>
      </c>
    </row>
    <row r="59" spans="1:27" customFormat="1" x14ac:dyDescent="0.2">
      <c r="A59" t="s">
        <v>50</v>
      </c>
      <c r="B59" t="s">
        <v>68</v>
      </c>
      <c r="C59" t="s">
        <v>76</v>
      </c>
      <c r="D59" s="45">
        <f>HLOOKUP($D$4,NSTAR_NEP_OFF,18,FALSE)</f>
        <v>38291.200000000004</v>
      </c>
      <c r="E59" s="46">
        <f>HLOOKUP($D$4,NSTAR_NEP_OFF,17,FALSE)</f>
        <v>-14880</v>
      </c>
      <c r="F59" s="44">
        <f>SUM(D59:E59)</f>
        <v>23411.200000000004</v>
      </c>
      <c r="G59" s="65">
        <f>HLOOKUP($G$4,NSTAR_NEP_OFF,18,FALSE)</f>
        <v>38291.200000000004</v>
      </c>
      <c r="H59" s="66">
        <f>HLOOKUP($G$4,NSTAR_NEP_OFF,17,FALSE)</f>
        <v>-14880</v>
      </c>
      <c r="I59" s="56">
        <f>SUM(G59:H59)</f>
        <v>23411.200000000004</v>
      </c>
      <c r="J59" s="65">
        <f>HLOOKUP($J$4,NSTAR_NEP_OFF,18,FALSE)</f>
        <v>38291.200000000004</v>
      </c>
      <c r="K59" s="66">
        <f>HLOOKUP($J$4,NSTAR_NEP_OFF,17,FALSE)</f>
        <v>-14880</v>
      </c>
      <c r="L59" s="56">
        <f>SUM(J59:K59)</f>
        <v>23411.200000000004</v>
      </c>
      <c r="M59" s="65">
        <f>HLOOKUP($M$4,NSTAR_NEP_OFF,18,FALSE)</f>
        <v>38291.200000000004</v>
      </c>
      <c r="N59" s="66">
        <f>HLOOKUP($M$4,NSTAR_NEP_OFF,17,FALSE)</f>
        <v>-14880</v>
      </c>
      <c r="O59" s="56">
        <f>SUM(M59:N59)</f>
        <v>23411.200000000004</v>
      </c>
      <c r="P59" s="45">
        <f>HLOOKUP($P$4,NSTAR_NEP_OFF,18,FALSE)</f>
        <v>38291.200000000004</v>
      </c>
      <c r="Q59" s="46">
        <f>HLOOKUP($P$4,NSTAR_NEP_OFF,17,FALSE)</f>
        <v>-14880</v>
      </c>
      <c r="R59" s="44">
        <f>F59</f>
        <v>23411.200000000004</v>
      </c>
      <c r="S59" s="45">
        <f>HLOOKUP($S$4,NSTAR_NEP_OFF,18,FALSE)</f>
        <v>38291.200000000004</v>
      </c>
      <c r="T59" s="46">
        <f>HLOOKUP($S$4,NSTAR_NEP_OFF,17,FALSE)</f>
        <v>-14880</v>
      </c>
      <c r="U59" s="44">
        <f>R59</f>
        <v>23411.200000000004</v>
      </c>
      <c r="V59" s="65">
        <f>HLOOKUP($V$4,NSTAR_NEP_OFF,18,FALSE)</f>
        <v>38291.200000000004</v>
      </c>
      <c r="W59" s="66">
        <f>HLOOKUP($V$4,NSTAR_NEP_OFF,17,FALSE)</f>
        <v>-14880</v>
      </c>
      <c r="X59" s="56">
        <f>SUM(V59:W59)</f>
        <v>23411.200000000004</v>
      </c>
      <c r="Y59" s="65">
        <f>SUM(D59,G59,J59,M59,P59,S59,V59)</f>
        <v>268038.40000000002</v>
      </c>
      <c r="Z59" s="66">
        <f>SUM(E59,H59,K59,N59,Q59,T59,W59)</f>
        <v>-104160</v>
      </c>
      <c r="AA59" s="56">
        <f>SUM(Y59:Z59)</f>
        <v>163878.40000000002</v>
      </c>
    </row>
    <row r="60" spans="1:27" customFormat="1" ht="6" customHeight="1" x14ac:dyDescent="0.2">
      <c r="D60" s="74"/>
      <c r="E60" s="72"/>
      <c r="F60" s="73"/>
      <c r="G60" s="83"/>
      <c r="H60" s="84"/>
      <c r="I60" s="85"/>
      <c r="J60" s="83"/>
      <c r="K60" s="84"/>
      <c r="L60" s="85"/>
      <c r="M60" s="83"/>
      <c r="N60" s="84"/>
      <c r="O60" s="85"/>
      <c r="P60" s="74"/>
      <c r="Q60" s="72"/>
      <c r="R60" s="73"/>
      <c r="S60" s="74"/>
      <c r="T60" s="72"/>
      <c r="U60" s="73"/>
      <c r="V60" s="83"/>
      <c r="W60" s="84"/>
      <c r="X60" s="85"/>
      <c r="Y60" s="83"/>
      <c r="Z60" s="84"/>
      <c r="AA60" s="85"/>
    </row>
    <row r="61" spans="1:27" customFormat="1" x14ac:dyDescent="0.2">
      <c r="A61" s="1" t="s">
        <v>50</v>
      </c>
      <c r="B61" s="31" t="s">
        <v>73</v>
      </c>
      <c r="D61" s="45">
        <f t="shared" ref="D61:X61" si="22">SUM(D56:D59)</f>
        <v>819603.6</v>
      </c>
      <c r="E61" s="46">
        <f t="shared" si="22"/>
        <v>-545040</v>
      </c>
      <c r="F61" s="44">
        <f t="shared" si="22"/>
        <v>274563.60000000003</v>
      </c>
      <c r="G61" s="65">
        <f t="shared" si="22"/>
        <v>1052883.6000000001</v>
      </c>
      <c r="H61" s="66">
        <f t="shared" si="22"/>
        <v>-800560</v>
      </c>
      <c r="I61" s="56">
        <f t="shared" si="22"/>
        <v>252323.60000000003</v>
      </c>
      <c r="J61" s="65">
        <f t="shared" si="22"/>
        <v>1052883.6000000001</v>
      </c>
      <c r="K61" s="66">
        <f t="shared" si="22"/>
        <v>-800560</v>
      </c>
      <c r="L61" s="56">
        <f t="shared" si="22"/>
        <v>252323.60000000003</v>
      </c>
      <c r="M61" s="65">
        <f t="shared" si="22"/>
        <v>1052883.6000000001</v>
      </c>
      <c r="N61" s="66">
        <f t="shared" si="22"/>
        <v>-800560</v>
      </c>
      <c r="O61" s="56">
        <f t="shared" si="22"/>
        <v>252323.60000000003</v>
      </c>
      <c r="P61" s="45">
        <f t="shared" si="22"/>
        <v>819603.6</v>
      </c>
      <c r="Q61" s="46">
        <f t="shared" si="22"/>
        <v>-545040</v>
      </c>
      <c r="R61" s="44">
        <f t="shared" si="22"/>
        <v>274563.60000000003</v>
      </c>
      <c r="S61" s="45">
        <f t="shared" si="22"/>
        <v>819603.6</v>
      </c>
      <c r="T61" s="46">
        <f t="shared" si="22"/>
        <v>-545040</v>
      </c>
      <c r="U61" s="44">
        <f t="shared" si="22"/>
        <v>274563.60000000003</v>
      </c>
      <c r="V61" s="65">
        <f t="shared" si="22"/>
        <v>1052883.6000000001</v>
      </c>
      <c r="W61" s="66">
        <f t="shared" si="22"/>
        <v>-800560</v>
      </c>
      <c r="X61" s="56">
        <f t="shared" si="22"/>
        <v>252323.60000000003</v>
      </c>
      <c r="Y61" s="65">
        <f>SUM(Y58:Y59)</f>
        <v>804115.20000000007</v>
      </c>
      <c r="Z61" s="66">
        <f>SUM(Z58:Z60)</f>
        <v>-352160</v>
      </c>
      <c r="AA61" s="56">
        <f>SUM(AA58:AA59)</f>
        <v>451955.20000000007</v>
      </c>
    </row>
    <row r="62" spans="1:27" customFormat="1" x14ac:dyDescent="0.2">
      <c r="D62" s="68"/>
      <c r="E62" s="69"/>
      <c r="F62" s="70"/>
      <c r="G62" s="80"/>
      <c r="H62" s="81"/>
      <c r="I62" s="82"/>
      <c r="J62" s="80"/>
      <c r="K62" s="81"/>
      <c r="L62" s="82"/>
      <c r="M62" s="80"/>
      <c r="N62" s="81"/>
      <c r="O62" s="82"/>
      <c r="P62" s="68"/>
      <c r="Q62" s="69"/>
      <c r="R62" s="70"/>
      <c r="S62" s="68"/>
      <c r="T62" s="69"/>
      <c r="U62" s="70"/>
      <c r="V62" s="80"/>
      <c r="W62" s="81"/>
      <c r="X62" s="82"/>
      <c r="Y62" s="80"/>
      <c r="Z62" s="81"/>
      <c r="AA62" s="82"/>
    </row>
    <row r="63" spans="1:27" customFormat="1" x14ac:dyDescent="0.2">
      <c r="A63" t="s">
        <v>21</v>
      </c>
      <c r="B63" t="s">
        <v>62</v>
      </c>
      <c r="C63" t="s">
        <v>78</v>
      </c>
      <c r="D63" s="45">
        <f>HLOOKUP($D$4,HQ_PJM_PK,18,FALSE)</f>
        <v>0</v>
      </c>
      <c r="E63" s="46">
        <f>HLOOKUP($D$4,HQ_PJM_PK,17,FALSE)</f>
        <v>0</v>
      </c>
      <c r="F63" s="44">
        <f>SUM(D63:E63)</f>
        <v>0</v>
      </c>
      <c r="G63" s="65">
        <f>HLOOKUP($G$4,HQ_PJM_PK,18,FALSE)</f>
        <v>63967.999999999993</v>
      </c>
      <c r="H63" s="66">
        <f>HLOOKUP($G$4,HQ_PJM_PK,17,FALSE)</f>
        <v>-60079.999999999993</v>
      </c>
      <c r="I63" s="56">
        <f>SUM(G63:H63)</f>
        <v>3888</v>
      </c>
      <c r="J63" s="65">
        <f>HLOOKUP($J$4,HQ_PJM_PK,18,FALSE)</f>
        <v>63967.999999999993</v>
      </c>
      <c r="K63" s="66">
        <f>HLOOKUP($J$4,HQ_PJM_PK,17,FALSE)</f>
        <v>-60079.999999999993</v>
      </c>
      <c r="L63" s="56">
        <f>SUM(J63:K63)</f>
        <v>3888</v>
      </c>
      <c r="M63" s="65">
        <f>HLOOKUP($M$4,HQ_PJM_PK,18,FALSE)</f>
        <v>63967.999999999993</v>
      </c>
      <c r="N63" s="66">
        <f>HLOOKUP($M$4,HQ_PJM_PK,17,FALSE)</f>
        <v>-60079.999999999993</v>
      </c>
      <c r="O63" s="56">
        <f>SUM(M63:N63)</f>
        <v>3888</v>
      </c>
      <c r="P63" s="45">
        <f>HLOOKUP($P$4,HQ_PJM_PK,18,FALSE)</f>
        <v>0</v>
      </c>
      <c r="Q63" s="46">
        <f>HLOOKUP($P$4,HQ_PJM_PK,17,FALSE)</f>
        <v>0</v>
      </c>
      <c r="R63" s="44">
        <f>F63</f>
        <v>0</v>
      </c>
      <c r="S63" s="45">
        <f>HLOOKUP($S$4,HQ_PJM_PK,18,FALSE)</f>
        <v>0</v>
      </c>
      <c r="T63" s="46">
        <f>HLOOKUP($S$4,HQ_PJM_PK,17,FALSE)</f>
        <v>0</v>
      </c>
      <c r="U63" s="44">
        <f>R63</f>
        <v>0</v>
      </c>
      <c r="V63" s="65">
        <f>HLOOKUP($V$4,HQ_PJM_PK,18,FALSE)</f>
        <v>63967.999999999993</v>
      </c>
      <c r="W63" s="66">
        <f>HLOOKUP($V$4,HQ_PJM_PK,17,FALSE)</f>
        <v>-60079.999999999993</v>
      </c>
      <c r="X63" s="56">
        <f>SUM(V63:W63)</f>
        <v>3888</v>
      </c>
      <c r="Y63" s="65">
        <f t="shared" ref="Y63:Z65" si="23">SUM(D63,G63,J63,M63,P63,S63,V63)</f>
        <v>255871.99999999997</v>
      </c>
      <c r="Z63" s="66">
        <f t="shared" si="23"/>
        <v>-240319.99999999997</v>
      </c>
      <c r="AA63" s="56">
        <f>SUM(Y63:Z63)</f>
        <v>15552</v>
      </c>
    </row>
    <row r="64" spans="1:27" customFormat="1" x14ac:dyDescent="0.2">
      <c r="A64" t="s">
        <v>21</v>
      </c>
      <c r="B64" t="s">
        <v>68</v>
      </c>
      <c r="C64" t="s">
        <v>78</v>
      </c>
      <c r="D64" s="45">
        <f>HLOOKUP($D$4,HQ_NEP_PK,18,FALSE)</f>
        <v>96312</v>
      </c>
      <c r="E64" s="46">
        <f>HLOOKUP($D$4,HQ_NEP_PK,17,FALSE)</f>
        <v>-73968</v>
      </c>
      <c r="F64" s="44">
        <f>SUM(D64:E64)</f>
        <v>22344</v>
      </c>
      <c r="G64" s="65">
        <f>HLOOKUP($G$4,HQ_NEP_PK,18,FALSE)</f>
        <v>450720</v>
      </c>
      <c r="H64" s="66">
        <f>HLOOKUP($G$4,HQ_NEP_PK,17,FALSE)</f>
        <v>-458624</v>
      </c>
      <c r="I64" s="56">
        <f>SUM(G64:H64)</f>
        <v>-7904</v>
      </c>
      <c r="J64" s="65">
        <f>HLOOKUP($J$4,HQ_NEP_PK,18,FALSE)</f>
        <v>450720</v>
      </c>
      <c r="K64" s="66">
        <f>HLOOKUP($J$4,HQ_NEP_PK,17,FALSE)</f>
        <v>-458624</v>
      </c>
      <c r="L64" s="56">
        <f>SUM(J64:K64)</f>
        <v>-7904</v>
      </c>
      <c r="M64" s="65">
        <f>HLOOKUP($M$4,HQ_NEP_PK,18,FALSE)</f>
        <v>450720</v>
      </c>
      <c r="N64" s="66">
        <f>HLOOKUP($M$4,HQ_NEP_PK,17,FALSE)</f>
        <v>-458624</v>
      </c>
      <c r="O64" s="56">
        <f>SUM(M64:N64)</f>
        <v>-7904</v>
      </c>
      <c r="P64" s="45">
        <f>HLOOKUP($P$4,HQ_NEP_PK,18,FALSE)</f>
        <v>96312</v>
      </c>
      <c r="Q64" s="46">
        <f>HLOOKUP($P$4,HQ_NEP_PK,17,FALSE)</f>
        <v>-73968</v>
      </c>
      <c r="R64" s="44">
        <f>F64</f>
        <v>22344</v>
      </c>
      <c r="S64" s="45">
        <f>HLOOKUP($S$4,HQ_NEP_PK,18,FALSE)</f>
        <v>96312</v>
      </c>
      <c r="T64" s="46">
        <f>HLOOKUP($S$4,HQ_NEP_PK,17,FALSE)</f>
        <v>-73968</v>
      </c>
      <c r="U64" s="44">
        <f>R64</f>
        <v>22344</v>
      </c>
      <c r="V64" s="65">
        <f>HLOOKUP($V$4,HQ_NEP_PK,18,FALSE)</f>
        <v>450720</v>
      </c>
      <c r="W64" s="66">
        <f>HLOOKUP($V$4,HQ_NEP_PK,17,FALSE)</f>
        <v>-458624</v>
      </c>
      <c r="X64" s="56">
        <f>SUM(V64:W64)</f>
        <v>-7904</v>
      </c>
      <c r="Y64" s="65">
        <f t="shared" si="23"/>
        <v>2091816</v>
      </c>
      <c r="Z64" s="66">
        <f t="shared" si="23"/>
        <v>-2056400</v>
      </c>
      <c r="AA64" s="56">
        <f>SUM(Y64:Z64)</f>
        <v>35416</v>
      </c>
    </row>
    <row r="65" spans="1:27" customFormat="1" x14ac:dyDescent="0.2">
      <c r="A65" t="s">
        <v>21</v>
      </c>
      <c r="B65" t="s">
        <v>68</v>
      </c>
      <c r="C65" t="s">
        <v>76</v>
      </c>
      <c r="D65" s="45">
        <f>HLOOKUP($D$4,HQ_NEP_OFF,18,FALSE)</f>
        <v>48156</v>
      </c>
      <c r="E65" s="46">
        <f>HLOOKUP($D$4,HQ_NEP_OFF,17,FALSE)</f>
        <v>-36984</v>
      </c>
      <c r="F65" s="44">
        <f>SUM(D65:E65)</f>
        <v>11172</v>
      </c>
      <c r="G65" s="65">
        <f>HLOOKUP($G$4,HQ_NEP_OFF,18,FALSE)</f>
        <v>48156</v>
      </c>
      <c r="H65" s="66">
        <f>HLOOKUP($G$4,HQ_NEP_OFF,17,FALSE)</f>
        <v>-36984</v>
      </c>
      <c r="I65" s="56">
        <f>SUM(G65:H65)</f>
        <v>11172</v>
      </c>
      <c r="J65" s="65">
        <f>HLOOKUP($J$4,HQ_NEP_OFF,18,FALSE)</f>
        <v>48156</v>
      </c>
      <c r="K65" s="66">
        <f>HLOOKUP($J$4,HQ_NEP_OFF,17,FALSE)</f>
        <v>-36984</v>
      </c>
      <c r="L65" s="56">
        <f>SUM(J65:K65)</f>
        <v>11172</v>
      </c>
      <c r="M65" s="65">
        <f>HLOOKUP($M$4,HQ_NEP_OFF,18,FALSE)</f>
        <v>48156</v>
      </c>
      <c r="N65" s="66">
        <f>HLOOKUP($M$4,HQ_NEP_OFF,17,FALSE)</f>
        <v>-36984</v>
      </c>
      <c r="O65" s="56">
        <f>SUM(M65:N65)</f>
        <v>11172</v>
      </c>
      <c r="P65" s="45">
        <f>HLOOKUP($P$4,HQ_NEP_OFF,18,FALSE)</f>
        <v>48156</v>
      </c>
      <c r="Q65" s="46">
        <f>HLOOKUP($P$4,HQ_NEP_OFF,17,FALSE)</f>
        <v>-36984</v>
      </c>
      <c r="R65" s="44">
        <f>F65</f>
        <v>11172</v>
      </c>
      <c r="S65" s="45">
        <f>HLOOKUP($S$4,HQ_NEP_OFF,18,FALSE)</f>
        <v>48156</v>
      </c>
      <c r="T65" s="46">
        <f>HLOOKUP($S$4,HQ_NEP_OFF,17,FALSE)</f>
        <v>-36984</v>
      </c>
      <c r="U65" s="44">
        <f>R65</f>
        <v>11172</v>
      </c>
      <c r="V65" s="65">
        <f>HLOOKUP($V$4,HQ_NEP_OFF,18,FALSE)</f>
        <v>48156</v>
      </c>
      <c r="W65" s="66">
        <f>HLOOKUP($V$4,HQ_NEP_OFF,17,FALSE)</f>
        <v>-36984</v>
      </c>
      <c r="X65" s="56">
        <f>SUM(V65:W65)</f>
        <v>11172</v>
      </c>
      <c r="Y65" s="65">
        <f t="shared" si="23"/>
        <v>337092</v>
      </c>
      <c r="Z65" s="66">
        <f t="shared" si="23"/>
        <v>-258888</v>
      </c>
      <c r="AA65" s="56">
        <f>SUM(Y65:Z65)</f>
        <v>78204</v>
      </c>
    </row>
    <row r="66" spans="1:27" customFormat="1" ht="6" customHeight="1" x14ac:dyDescent="0.2">
      <c r="D66" s="74"/>
      <c r="E66" s="72"/>
      <c r="F66" s="73"/>
      <c r="G66" s="83"/>
      <c r="H66" s="84"/>
      <c r="I66" s="85"/>
      <c r="J66" s="83"/>
      <c r="K66" s="84"/>
      <c r="L66" s="85"/>
      <c r="M66" s="83"/>
      <c r="N66" s="84"/>
      <c r="O66" s="85"/>
      <c r="P66" s="74"/>
      <c r="Q66" s="72"/>
      <c r="R66" s="73"/>
      <c r="S66" s="74"/>
      <c r="T66" s="72"/>
      <c r="U66" s="73"/>
      <c r="V66" s="83"/>
      <c r="W66" s="84"/>
      <c r="X66" s="85"/>
      <c r="Y66" s="83"/>
      <c r="Z66" s="84"/>
      <c r="AA66" s="85"/>
    </row>
    <row r="67" spans="1:27" customFormat="1" x14ac:dyDescent="0.2">
      <c r="A67" s="1" t="s">
        <v>21</v>
      </c>
      <c r="B67" s="31" t="s">
        <v>73</v>
      </c>
      <c r="D67" s="45">
        <f t="shared" ref="D67:L67" si="24">SUM(D63:D65)</f>
        <v>144468</v>
      </c>
      <c r="E67" s="46">
        <f t="shared" si="24"/>
        <v>-110952</v>
      </c>
      <c r="F67" s="44">
        <f t="shared" si="24"/>
        <v>33516</v>
      </c>
      <c r="G67" s="65">
        <f t="shared" si="24"/>
        <v>562844</v>
      </c>
      <c r="H67" s="66">
        <f t="shared" si="24"/>
        <v>-555688</v>
      </c>
      <c r="I67" s="56">
        <f t="shared" si="24"/>
        <v>7156</v>
      </c>
      <c r="J67" s="65">
        <f t="shared" si="24"/>
        <v>562844</v>
      </c>
      <c r="K67" s="66">
        <f t="shared" si="24"/>
        <v>-555688</v>
      </c>
      <c r="L67" s="56">
        <f t="shared" si="24"/>
        <v>7156</v>
      </c>
      <c r="M67" s="65">
        <f t="shared" ref="M67:X67" si="25">SUM(M63:M65)</f>
        <v>562844</v>
      </c>
      <c r="N67" s="66">
        <f t="shared" si="25"/>
        <v>-555688</v>
      </c>
      <c r="O67" s="56">
        <f t="shared" si="25"/>
        <v>7156</v>
      </c>
      <c r="P67" s="45">
        <f t="shared" si="25"/>
        <v>144468</v>
      </c>
      <c r="Q67" s="46">
        <f t="shared" si="25"/>
        <v>-110952</v>
      </c>
      <c r="R67" s="44">
        <f t="shared" si="25"/>
        <v>33516</v>
      </c>
      <c r="S67" s="45">
        <f t="shared" si="25"/>
        <v>144468</v>
      </c>
      <c r="T67" s="46">
        <f t="shared" si="25"/>
        <v>-110952</v>
      </c>
      <c r="U67" s="44">
        <f t="shared" si="25"/>
        <v>33516</v>
      </c>
      <c r="V67" s="65">
        <f t="shared" si="25"/>
        <v>562844</v>
      </c>
      <c r="W67" s="66">
        <f t="shared" si="25"/>
        <v>-555688</v>
      </c>
      <c r="X67" s="56">
        <f t="shared" si="25"/>
        <v>7156</v>
      </c>
      <c r="Y67" s="65">
        <f>SUM(Y63:Y66)</f>
        <v>2684780</v>
      </c>
      <c r="Z67" s="66">
        <f>SUM(Z63:Z66)</f>
        <v>-2555608</v>
      </c>
      <c r="AA67" s="56">
        <f>SUM(AA63:AA65)</f>
        <v>129172</v>
      </c>
    </row>
    <row r="68" spans="1:27" customFormat="1" x14ac:dyDescent="0.2">
      <c r="D68" s="68"/>
      <c r="E68" s="69"/>
      <c r="F68" s="70"/>
      <c r="G68" s="80"/>
      <c r="H68" s="81"/>
      <c r="I68" s="82"/>
      <c r="J68" s="80"/>
      <c r="K68" s="81"/>
      <c r="L68" s="82"/>
      <c r="M68" s="80"/>
      <c r="N68" s="81"/>
      <c r="O68" s="82"/>
      <c r="P68" s="68"/>
      <c r="Q68" s="69"/>
      <c r="R68" s="70"/>
      <c r="S68" s="68"/>
      <c r="T68" s="69"/>
      <c r="U68" s="70"/>
      <c r="V68" s="80"/>
      <c r="W68" s="81"/>
      <c r="X68" s="82"/>
      <c r="Y68" s="80"/>
      <c r="Z68" s="81"/>
      <c r="AA68" s="82"/>
    </row>
    <row r="69" spans="1:27" customFormat="1" x14ac:dyDescent="0.2">
      <c r="A69" t="s">
        <v>22</v>
      </c>
      <c r="B69" t="s">
        <v>66</v>
      </c>
      <c r="C69" t="s">
        <v>78</v>
      </c>
      <c r="D69" s="45">
        <f>HLOOKUP($D$4,LEM_TVA_PK,18,FALSE)</f>
        <v>0</v>
      </c>
      <c r="E69" s="46">
        <f>HLOOKUP($D$4,LEM_TVA_PK,17,FALSE)</f>
        <v>0</v>
      </c>
      <c r="F69" s="44">
        <f>SUM(D69:E69)</f>
        <v>0</v>
      </c>
      <c r="G69" s="65">
        <f>HLOOKUP($G$4,LEM_TVA_PK,18,FALSE)</f>
        <v>25600</v>
      </c>
      <c r="H69" s="66">
        <f>HLOOKUP($G$4,LEM_TVA_PK,17,FALSE)</f>
        <v>-22400</v>
      </c>
      <c r="I69" s="56">
        <f>SUM(G69:H69)</f>
        <v>3200</v>
      </c>
      <c r="J69" s="65">
        <f>HLOOKUP($J$4,LEM_TVA_PK,18,FALSE)</f>
        <v>25600</v>
      </c>
      <c r="K69" s="66">
        <f>HLOOKUP($J$4,LEM_TVA_PK,17,FALSE)</f>
        <v>-22400</v>
      </c>
      <c r="L69" s="56">
        <f>SUM(J69:K69)</f>
        <v>3200</v>
      </c>
      <c r="M69" s="65">
        <f>HLOOKUP($M$4,LEM_TVA_PK,18,FALSE)</f>
        <v>25600</v>
      </c>
      <c r="N69" s="66">
        <f>HLOOKUP($M$4,LEM_TVA_PK,17,FALSE)</f>
        <v>-22400</v>
      </c>
      <c r="O69" s="56">
        <f>SUM(M69:N69)</f>
        <v>3200</v>
      </c>
      <c r="P69" s="45">
        <f>HLOOKUP($P$4,LEM_TVA_PK,18,FALSE)</f>
        <v>0</v>
      </c>
      <c r="Q69" s="46">
        <f>HLOOKUP($P$4,LEM_TVA_PK,17,FALSE)</f>
        <v>0</v>
      </c>
      <c r="R69" s="44">
        <f>F69</f>
        <v>0</v>
      </c>
      <c r="S69" s="45">
        <f>HLOOKUP($S$4,LEM_TVA_PK,18,FALSE)</f>
        <v>0</v>
      </c>
      <c r="T69" s="46">
        <f>HLOOKUP($S$4,LEM_TVA_PK,17,FALSE)</f>
        <v>0</v>
      </c>
      <c r="U69" s="44">
        <f>R69</f>
        <v>0</v>
      </c>
      <c r="V69" s="65">
        <f>HLOOKUP($V$4,LEM_TVA_PK,18,FALSE)</f>
        <v>25600</v>
      </c>
      <c r="W69" s="66">
        <f>HLOOKUP($V$4,LEM_TVA_PK,17,FALSE)</f>
        <v>-22400</v>
      </c>
      <c r="X69" s="56">
        <f>SUM(V69:W69)</f>
        <v>3200</v>
      </c>
      <c r="Y69" s="65">
        <f>SUM(D69,G69,J69,M69,P69,S69,V69)</f>
        <v>102400</v>
      </c>
      <c r="Z69" s="66">
        <f>SUM(E69,H69,K69,N69,Q69,T69,W69)</f>
        <v>-89600</v>
      </c>
      <c r="AA69" s="56">
        <f>SUM(Y69:Z69)</f>
        <v>12800</v>
      </c>
    </row>
    <row r="70" spans="1:27" customFormat="1" x14ac:dyDescent="0.2">
      <c r="A70" t="s">
        <v>22</v>
      </c>
      <c r="B70" t="s">
        <v>64</v>
      </c>
      <c r="C70" t="s">
        <v>78</v>
      </c>
      <c r="D70" s="45">
        <f>HLOOKUP($D$4,LEM_CIN_PK,18,FALSE)</f>
        <v>0</v>
      </c>
      <c r="E70" s="46">
        <f>HLOOKUP($D$4,LEM_CIN_PK,17,FALSE)</f>
        <v>0</v>
      </c>
      <c r="F70" s="44">
        <f>SUM(D70:E70)</f>
        <v>0</v>
      </c>
      <c r="G70" s="65">
        <f>HLOOKUP($G$4,LEM_CIN_PK,18,FALSE)</f>
        <v>104800</v>
      </c>
      <c r="H70" s="66">
        <f>HLOOKUP($G$4,LEM_CIN_PK,17,FALSE)</f>
        <v>-89600</v>
      </c>
      <c r="I70" s="56">
        <f>SUM(G70:H70)</f>
        <v>15200</v>
      </c>
      <c r="J70" s="65">
        <f>HLOOKUP($J$4,LEM_CIN_PK,18,FALSE)</f>
        <v>104800</v>
      </c>
      <c r="K70" s="66">
        <f>HLOOKUP($J$4,LEM_CIN_PK,17,FALSE)</f>
        <v>-89600</v>
      </c>
      <c r="L70" s="56">
        <f>SUM(J70:K70)</f>
        <v>15200</v>
      </c>
      <c r="M70" s="65">
        <f>HLOOKUP($M$4,LEM_CIN_PK,18,FALSE)</f>
        <v>104800</v>
      </c>
      <c r="N70" s="66">
        <f>HLOOKUP($M$4,LEM_CIN_PK,17,FALSE)</f>
        <v>-89600</v>
      </c>
      <c r="O70" s="56">
        <f>SUM(M70:N70)</f>
        <v>15200</v>
      </c>
      <c r="P70" s="45">
        <f>HLOOKUP($P$4,LEM_CIN_PK,18,FALSE)</f>
        <v>0</v>
      </c>
      <c r="Q70" s="46">
        <f>HLOOKUP($P$4,LEM_CIN_PK,17,FALSE)</f>
        <v>0</v>
      </c>
      <c r="R70" s="44">
        <f>F70</f>
        <v>0</v>
      </c>
      <c r="S70" s="45">
        <f>HLOOKUP($S$4,LEM_CIN_PK,18,FALSE)</f>
        <v>0</v>
      </c>
      <c r="T70" s="46">
        <f>HLOOKUP($S$4,LEM_CIN_PK,17,FALSE)</f>
        <v>0</v>
      </c>
      <c r="U70" s="44">
        <f>R70</f>
        <v>0</v>
      </c>
      <c r="V70" s="65">
        <f>HLOOKUP($V$4,LEM_CIN_PK,18,FALSE)</f>
        <v>104800</v>
      </c>
      <c r="W70" s="66">
        <f>HLOOKUP($V$4,LEM_CIN_PK,17,FALSE)</f>
        <v>-89600</v>
      </c>
      <c r="X70" s="56">
        <f>SUM(V70:W70)</f>
        <v>15200</v>
      </c>
      <c r="Y70" s="65">
        <f>SUM(D70,G70,J70,M70,P70,S70,V70)</f>
        <v>419200</v>
      </c>
      <c r="Z70" s="66">
        <f>SUM(E70,H70,K70,N70,Q70,T70,W70)</f>
        <v>-358400</v>
      </c>
      <c r="AA70" s="56">
        <f>SUM(Y70:Z70)</f>
        <v>60800</v>
      </c>
    </row>
    <row r="71" spans="1:27" customFormat="1" ht="6" customHeight="1" x14ac:dyDescent="0.2">
      <c r="D71" s="74"/>
      <c r="E71" s="72"/>
      <c r="F71" s="73"/>
      <c r="G71" s="83"/>
      <c r="H71" s="84"/>
      <c r="I71" s="85"/>
      <c r="J71" s="83"/>
      <c r="K71" s="84"/>
      <c r="L71" s="85"/>
      <c r="M71" s="83"/>
      <c r="N71" s="84"/>
      <c r="O71" s="85"/>
      <c r="P71" s="74"/>
      <c r="Q71" s="72"/>
      <c r="R71" s="73"/>
      <c r="S71" s="74"/>
      <c r="T71" s="72"/>
      <c r="U71" s="73"/>
      <c r="V71" s="83"/>
      <c r="W71" s="84"/>
      <c r="X71" s="85"/>
      <c r="Y71" s="83"/>
      <c r="Z71" s="84"/>
      <c r="AA71" s="85"/>
    </row>
    <row r="72" spans="1:27" customFormat="1" x14ac:dyDescent="0.2">
      <c r="A72" s="1" t="s">
        <v>22</v>
      </c>
      <c r="B72" s="31" t="s">
        <v>73</v>
      </c>
      <c r="D72" s="45">
        <f t="shared" ref="D72:X72" si="26">SUM(D69:D70)</f>
        <v>0</v>
      </c>
      <c r="E72" s="46">
        <f t="shared" si="26"/>
        <v>0</v>
      </c>
      <c r="F72" s="44">
        <f t="shared" si="26"/>
        <v>0</v>
      </c>
      <c r="G72" s="65">
        <f t="shared" si="26"/>
        <v>130400</v>
      </c>
      <c r="H72" s="66">
        <f t="shared" si="26"/>
        <v>-112000</v>
      </c>
      <c r="I72" s="56">
        <f t="shared" si="26"/>
        <v>18400</v>
      </c>
      <c r="J72" s="65">
        <f t="shared" si="26"/>
        <v>130400</v>
      </c>
      <c r="K72" s="66">
        <f t="shared" si="26"/>
        <v>-112000</v>
      </c>
      <c r="L72" s="56">
        <f t="shared" si="26"/>
        <v>18400</v>
      </c>
      <c r="M72" s="65">
        <f t="shared" si="26"/>
        <v>130400</v>
      </c>
      <c r="N72" s="66">
        <f t="shared" si="26"/>
        <v>-112000</v>
      </c>
      <c r="O72" s="56">
        <f t="shared" si="26"/>
        <v>18400</v>
      </c>
      <c r="P72" s="45">
        <f t="shared" si="26"/>
        <v>0</v>
      </c>
      <c r="Q72" s="46">
        <f t="shared" si="26"/>
        <v>0</v>
      </c>
      <c r="R72" s="44">
        <f t="shared" si="26"/>
        <v>0</v>
      </c>
      <c r="S72" s="45">
        <f t="shared" si="26"/>
        <v>0</v>
      </c>
      <c r="T72" s="46">
        <f t="shared" si="26"/>
        <v>0</v>
      </c>
      <c r="U72" s="44">
        <f t="shared" si="26"/>
        <v>0</v>
      </c>
      <c r="V72" s="65">
        <f t="shared" si="26"/>
        <v>130400</v>
      </c>
      <c r="W72" s="66">
        <f t="shared" si="26"/>
        <v>-112000</v>
      </c>
      <c r="X72" s="56">
        <f t="shared" si="26"/>
        <v>18400</v>
      </c>
      <c r="Y72" s="65">
        <f>SUM(Y69:Y71)</f>
        <v>521600</v>
      </c>
      <c r="Z72" s="66">
        <f>SUM(Z69:Z71)</f>
        <v>-448000</v>
      </c>
      <c r="AA72" s="56">
        <f>SUM(AA69:AA70)</f>
        <v>73600</v>
      </c>
    </row>
    <row r="73" spans="1:27" customFormat="1" x14ac:dyDescent="0.2">
      <c r="D73" s="68"/>
      <c r="E73" s="69"/>
      <c r="F73" s="70"/>
      <c r="G73" s="80"/>
      <c r="H73" s="81"/>
      <c r="I73" s="82"/>
      <c r="J73" s="80"/>
      <c r="K73" s="81"/>
      <c r="L73" s="82"/>
      <c r="M73" s="80"/>
      <c r="N73" s="81"/>
      <c r="O73" s="82"/>
      <c r="P73" s="68"/>
      <c r="Q73" s="69"/>
      <c r="R73" s="70"/>
      <c r="S73" s="68"/>
      <c r="T73" s="69"/>
      <c r="U73" s="70"/>
      <c r="V73" s="80"/>
      <c r="W73" s="81"/>
      <c r="X73" s="82"/>
      <c r="Y73" s="80"/>
      <c r="Z73" s="81"/>
      <c r="AA73" s="82"/>
    </row>
    <row r="74" spans="1:27" customFormat="1" x14ac:dyDescent="0.2">
      <c r="A74" s="67" t="s">
        <v>23</v>
      </c>
      <c r="B74" t="s">
        <v>68</v>
      </c>
      <c r="C74" t="s">
        <v>78</v>
      </c>
      <c r="D74" s="45">
        <f>HLOOKUP($D$4,CMP_NEP_PK,18,FALSE)</f>
        <v>342320</v>
      </c>
      <c r="E74" s="46">
        <f>HLOOKUP($D$4,CMP_NEP_PK,17,FALSE)</f>
        <v>-132000</v>
      </c>
      <c r="F74" s="44">
        <f>SUM(D74:E74)</f>
        <v>210320</v>
      </c>
      <c r="G74" s="65">
        <f>HLOOKUP($G$4,CMP_NEP_PK,18,FALSE)</f>
        <v>342320</v>
      </c>
      <c r="H74" s="66">
        <f>HLOOKUP($G$4,CMP_NEP_PK,17,FALSE)</f>
        <v>-176000</v>
      </c>
      <c r="I74" s="56">
        <f>SUM(G74:H74)</f>
        <v>166320</v>
      </c>
      <c r="J74" s="65">
        <f>HLOOKUP($J$4,CMP_NEP_PK,18,FALSE)</f>
        <v>342320</v>
      </c>
      <c r="K74" s="66">
        <f>HLOOKUP($J$4,CMP_NEP_PK,17,FALSE)</f>
        <v>-176000</v>
      </c>
      <c r="L74" s="56">
        <f>SUM(J74:K74)</f>
        <v>166320</v>
      </c>
      <c r="M74" s="65">
        <f>HLOOKUP($M$4,CMP_NEP_PK,18,FALSE)</f>
        <v>342320</v>
      </c>
      <c r="N74" s="66">
        <f>HLOOKUP($M$4,CMP_NEP_PK,17,FALSE)</f>
        <v>-176000</v>
      </c>
      <c r="O74" s="56">
        <f>SUM(M74:N74)</f>
        <v>166320</v>
      </c>
      <c r="P74" s="45">
        <f>HLOOKUP($P$4,CMP_NEP_PK,18,FALSE)</f>
        <v>342320</v>
      </c>
      <c r="Q74" s="46">
        <f>HLOOKUP($P$4,CMP_NEP_PK,17,FALSE)</f>
        <v>-132000</v>
      </c>
      <c r="R74" s="44">
        <f>F74</f>
        <v>210320</v>
      </c>
      <c r="S74" s="45">
        <f>HLOOKUP($S$4,CMP_NEP_PK,18,FALSE)</f>
        <v>342320</v>
      </c>
      <c r="T74" s="46">
        <f>HLOOKUP($S$4,CMP_NEP_PK,17,FALSE)</f>
        <v>-132000</v>
      </c>
      <c r="U74" s="44">
        <f>R74</f>
        <v>210320</v>
      </c>
      <c r="V74" s="65">
        <f>HLOOKUP($V$4,CMP_NEP_PK,18,FALSE)</f>
        <v>342320</v>
      </c>
      <c r="W74" s="66">
        <f>HLOOKUP($V$4,CMP_NEP_PK,17,FALSE)</f>
        <v>-176000</v>
      </c>
      <c r="X74" s="56">
        <f>SUM(V74:W74)</f>
        <v>166320</v>
      </c>
      <c r="Y74" s="65">
        <f>SUM(D74,G74,J74,M74,P74,S74,V74)</f>
        <v>2396240</v>
      </c>
      <c r="Z74" s="66">
        <f>SUM(E74,H74,K74,N74,Q74,T74,W74)</f>
        <v>-1100000</v>
      </c>
      <c r="AA74" s="56">
        <f>SUM(Y74:Z74)</f>
        <v>1296240</v>
      </c>
    </row>
    <row r="75" spans="1:27" customFormat="1" ht="6" customHeight="1" x14ac:dyDescent="0.2">
      <c r="D75" s="74"/>
      <c r="E75" s="72"/>
      <c r="F75" s="73"/>
      <c r="G75" s="83"/>
      <c r="H75" s="84"/>
      <c r="I75" s="85"/>
      <c r="J75" s="83"/>
      <c r="K75" s="84"/>
      <c r="L75" s="85"/>
      <c r="M75" s="83"/>
      <c r="N75" s="84"/>
      <c r="O75" s="85"/>
      <c r="P75" s="74"/>
      <c r="Q75" s="72"/>
      <c r="R75" s="73"/>
      <c r="S75" s="74"/>
      <c r="T75" s="72"/>
      <c r="U75" s="73"/>
      <c r="V75" s="83"/>
      <c r="W75" s="84"/>
      <c r="X75" s="85"/>
      <c r="Y75" s="83"/>
      <c r="Z75" s="84"/>
      <c r="AA75" s="85"/>
    </row>
    <row r="76" spans="1:27" customFormat="1" x14ac:dyDescent="0.2">
      <c r="A76" s="1" t="s">
        <v>23</v>
      </c>
      <c r="B76" s="31" t="s">
        <v>73</v>
      </c>
      <c r="D76" s="45">
        <f t="shared" ref="D76:X76" si="27">SUM(D73:D74)</f>
        <v>342320</v>
      </c>
      <c r="E76" s="46">
        <f t="shared" si="27"/>
        <v>-132000</v>
      </c>
      <c r="F76" s="44">
        <f t="shared" si="27"/>
        <v>210320</v>
      </c>
      <c r="G76" s="65">
        <f t="shared" si="27"/>
        <v>342320</v>
      </c>
      <c r="H76" s="66">
        <f t="shared" si="27"/>
        <v>-176000</v>
      </c>
      <c r="I76" s="56">
        <f t="shared" si="27"/>
        <v>166320</v>
      </c>
      <c r="J76" s="65">
        <f t="shared" si="27"/>
        <v>342320</v>
      </c>
      <c r="K76" s="66">
        <f t="shared" si="27"/>
        <v>-176000</v>
      </c>
      <c r="L76" s="56">
        <f t="shared" si="27"/>
        <v>166320</v>
      </c>
      <c r="M76" s="65">
        <f t="shared" si="27"/>
        <v>342320</v>
      </c>
      <c r="N76" s="66">
        <f t="shared" si="27"/>
        <v>-176000</v>
      </c>
      <c r="O76" s="56">
        <f t="shared" si="27"/>
        <v>166320</v>
      </c>
      <c r="P76" s="45">
        <f t="shared" si="27"/>
        <v>342320</v>
      </c>
      <c r="Q76" s="46">
        <f t="shared" si="27"/>
        <v>-132000</v>
      </c>
      <c r="R76" s="44">
        <f t="shared" si="27"/>
        <v>210320</v>
      </c>
      <c r="S76" s="45">
        <f t="shared" si="27"/>
        <v>342320</v>
      </c>
      <c r="T76" s="46">
        <f t="shared" si="27"/>
        <v>-132000</v>
      </c>
      <c r="U76" s="44">
        <f t="shared" si="27"/>
        <v>210320</v>
      </c>
      <c r="V76" s="65">
        <f t="shared" si="27"/>
        <v>342320</v>
      </c>
      <c r="W76" s="66">
        <f t="shared" si="27"/>
        <v>-176000</v>
      </c>
      <c r="X76" s="56">
        <f t="shared" si="27"/>
        <v>166320</v>
      </c>
      <c r="Y76" s="65">
        <f>SUM(Y73:Y75)</f>
        <v>2396240</v>
      </c>
      <c r="Z76" s="66">
        <f>SUM(Z73:Z75)</f>
        <v>-1100000</v>
      </c>
      <c r="AA76" s="56">
        <f>SUM(AA73:AA74)</f>
        <v>1296240</v>
      </c>
    </row>
    <row r="77" spans="1:27" customFormat="1" x14ac:dyDescent="0.2">
      <c r="D77" s="68"/>
      <c r="E77" s="69"/>
      <c r="F77" s="70"/>
      <c r="G77" s="80"/>
      <c r="H77" s="81"/>
      <c r="I77" s="82"/>
      <c r="J77" s="80"/>
      <c r="K77" s="81"/>
      <c r="L77" s="82"/>
      <c r="M77" s="80"/>
      <c r="N77" s="81"/>
      <c r="O77" s="82"/>
      <c r="P77" s="68"/>
      <c r="Q77" s="69"/>
      <c r="R77" s="70"/>
      <c r="S77" s="68"/>
      <c r="T77" s="69"/>
      <c r="U77" s="70"/>
      <c r="V77" s="80"/>
      <c r="W77" s="81"/>
      <c r="X77" s="82"/>
      <c r="Y77" s="80"/>
      <c r="Z77" s="81"/>
      <c r="AA77" s="82"/>
    </row>
    <row r="78" spans="1:27" customFormat="1" x14ac:dyDescent="0.2">
      <c r="A78" t="s">
        <v>24</v>
      </c>
      <c r="B78" t="s">
        <v>66</v>
      </c>
      <c r="C78" t="s">
        <v>78</v>
      </c>
      <c r="D78" s="45">
        <f>HLOOKUP($D$4,AMRN_TVA_PK,18,FALSE)</f>
        <v>0</v>
      </c>
      <c r="E78" s="46">
        <f>HLOOKUP($D$4,AMRN_TVA_PK,17,FALSE)</f>
        <v>0</v>
      </c>
      <c r="F78" s="44">
        <f>SUM(D78:E78)</f>
        <v>0</v>
      </c>
      <c r="G78" s="65">
        <f>HLOOKUP($G$4,AMRN_TVA_PK,18,FALSE)</f>
        <v>0</v>
      </c>
      <c r="H78" s="66">
        <f>HLOOKUP($G$4,AMRN_TVA_PK,17,FALSE)</f>
        <v>-4800</v>
      </c>
      <c r="I78" s="56">
        <f>SUM(G78:H78)</f>
        <v>-4800</v>
      </c>
      <c r="J78" s="65">
        <f>HLOOKUP($J$4,AMRN_TVA_PK,18,FALSE)</f>
        <v>0</v>
      </c>
      <c r="K78" s="66">
        <f>HLOOKUP($J$4,AMRN_TVA_PK,17,FALSE)</f>
        <v>-4800</v>
      </c>
      <c r="L78" s="56">
        <f>SUM(J78:K78)</f>
        <v>-4800</v>
      </c>
      <c r="M78" s="65">
        <f>HLOOKUP($M$4,AMRN_TVA_PK,18,FALSE)</f>
        <v>0</v>
      </c>
      <c r="N78" s="66">
        <f>HLOOKUP($M$4,AMRN_TVA_PK,17,FALSE)</f>
        <v>-4800</v>
      </c>
      <c r="O78" s="56">
        <f>SUM(M78:N78)</f>
        <v>-4800</v>
      </c>
      <c r="P78" s="45">
        <f>HLOOKUP($P$4,AMRN_TVA_PK,18,FALSE)</f>
        <v>0</v>
      </c>
      <c r="Q78" s="46">
        <f>HLOOKUP($P$4,AMRN_TVA_PK,17,FALSE)</f>
        <v>0</v>
      </c>
      <c r="R78" s="44">
        <f>F78</f>
        <v>0</v>
      </c>
      <c r="S78" s="45">
        <f>HLOOKUP($S$4,AMRN_TVA_PK,18,FALSE)</f>
        <v>0</v>
      </c>
      <c r="T78" s="46">
        <f>HLOOKUP($S$4,AMRN_TVA_PK,17,FALSE)</f>
        <v>0</v>
      </c>
      <c r="U78" s="44">
        <f>R78</f>
        <v>0</v>
      </c>
      <c r="V78" s="65">
        <f>HLOOKUP($V$4,AMRN_TVA_PK,18,FALSE)</f>
        <v>0</v>
      </c>
      <c r="W78" s="66">
        <f>HLOOKUP($V$4,AMRN_TVA_PK,17,FALSE)</f>
        <v>-4800</v>
      </c>
      <c r="X78" s="56">
        <f>SUM(V78:W78)</f>
        <v>-4800</v>
      </c>
      <c r="Y78" s="65">
        <f t="shared" ref="Y78:Z80" si="28">SUM(D78,G78,J78,M78,P78,S78,V78)</f>
        <v>0</v>
      </c>
      <c r="Z78" s="66">
        <f t="shared" si="28"/>
        <v>-19200</v>
      </c>
      <c r="AA78" s="56">
        <f>SUM(Y78:Z78)</f>
        <v>-19200</v>
      </c>
    </row>
    <row r="79" spans="1:27" customFormat="1" x14ac:dyDescent="0.2">
      <c r="A79" t="s">
        <v>24</v>
      </c>
      <c r="B79" t="s">
        <v>63</v>
      </c>
      <c r="C79" t="s">
        <v>78</v>
      </c>
      <c r="D79" s="45">
        <f>HLOOKUP($D$4,AMRN_ENT_PK,18,FALSE)</f>
        <v>0</v>
      </c>
      <c r="E79" s="46">
        <f>HLOOKUP($D$4,AMRN_ENT_PK,17,FALSE)</f>
        <v>0</v>
      </c>
      <c r="F79" s="44">
        <f>SUM(D79:E79)</f>
        <v>0</v>
      </c>
      <c r="G79" s="65">
        <f>HLOOKUP($G$4,AMRN_ENT_PK,18,FALSE)</f>
        <v>126656</v>
      </c>
      <c r="H79" s="66">
        <f>HLOOKUP($G$4,AMRN_ENT_PK,17,FALSE)</f>
        <v>-83600</v>
      </c>
      <c r="I79" s="56">
        <f>SUM(G79:H79)</f>
        <v>43056</v>
      </c>
      <c r="J79" s="65">
        <f>HLOOKUP($J$4,AMRN_ENT_PK,18,FALSE)</f>
        <v>126656</v>
      </c>
      <c r="K79" s="66">
        <f>HLOOKUP($J$4,AMRN_ENT_PK,17,FALSE)</f>
        <v>-83600</v>
      </c>
      <c r="L79" s="56">
        <f>SUM(J79:K79)</f>
        <v>43056</v>
      </c>
      <c r="M79" s="65">
        <f>HLOOKUP($M$4,AMRN_ENT_PK,18,FALSE)</f>
        <v>126656</v>
      </c>
      <c r="N79" s="66">
        <f>HLOOKUP($M$4,AMRN_ENT_PK,17,FALSE)</f>
        <v>-83600</v>
      </c>
      <c r="O79" s="56">
        <f>SUM(M79:N79)</f>
        <v>43056</v>
      </c>
      <c r="P79" s="45">
        <f>HLOOKUP($P$4,AMRN_ENT_PK,18,FALSE)</f>
        <v>0</v>
      </c>
      <c r="Q79" s="46">
        <f>HLOOKUP($P$4,AMRN_ENT_PK,17,FALSE)</f>
        <v>0</v>
      </c>
      <c r="R79" s="44">
        <f>F79</f>
        <v>0</v>
      </c>
      <c r="S79" s="45">
        <f>HLOOKUP($S$4,AMRN_ENT_PK,18,FALSE)</f>
        <v>0</v>
      </c>
      <c r="T79" s="46">
        <f>HLOOKUP($S$4,AMRN_ENT_PK,17,FALSE)</f>
        <v>0</v>
      </c>
      <c r="U79" s="44">
        <f>R79</f>
        <v>0</v>
      </c>
      <c r="V79" s="65">
        <f>HLOOKUP($V$4,AMRN_ENT_PK,18,FALSE)</f>
        <v>126656</v>
      </c>
      <c r="W79" s="66">
        <f>HLOOKUP($V$4,AMRN_ENT_PK,17,FALSE)</f>
        <v>-83600</v>
      </c>
      <c r="X79" s="56">
        <f>SUM(V79:W79)</f>
        <v>43056</v>
      </c>
      <c r="Y79" s="65">
        <f t="shared" si="28"/>
        <v>506624</v>
      </c>
      <c r="Z79" s="66">
        <f t="shared" si="28"/>
        <v>-334400</v>
      </c>
      <c r="AA79" s="56">
        <f>SUM(Y79:Z79)</f>
        <v>172224</v>
      </c>
    </row>
    <row r="80" spans="1:27" customFormat="1" x14ac:dyDescent="0.2">
      <c r="A80" t="s">
        <v>24</v>
      </c>
      <c r="B80" t="s">
        <v>64</v>
      </c>
      <c r="C80" t="s">
        <v>78</v>
      </c>
      <c r="D80" s="45">
        <f>HLOOKUP($D$4,AMRN_CIN_PK,18,FALSE)</f>
        <v>0</v>
      </c>
      <c r="E80" s="46">
        <f>HLOOKUP($D$4,AMRN_CIN_PK,17,FALSE)</f>
        <v>0</v>
      </c>
      <c r="F80" s="44">
        <f>SUM(D80:E80)</f>
        <v>0</v>
      </c>
      <c r="G80" s="65">
        <f>HLOOKUP($G$4,AMRN_CIN_PK,18,FALSE)</f>
        <v>376064</v>
      </c>
      <c r="H80" s="66">
        <f>HLOOKUP($G$4,AMRN_CIN_PK,17,FALSE)</f>
        <v>-405488</v>
      </c>
      <c r="I80" s="56">
        <f>SUM(G80:H80)</f>
        <v>-29424</v>
      </c>
      <c r="J80" s="65">
        <f>HLOOKUP($J$4,AMRN_CIN_PK,18,FALSE)</f>
        <v>376064</v>
      </c>
      <c r="K80" s="66">
        <f>HLOOKUP($J$4,AMRN_CIN_PK,17,FALSE)</f>
        <v>-405488</v>
      </c>
      <c r="L80" s="56">
        <f>SUM(J80:K80)</f>
        <v>-29424</v>
      </c>
      <c r="M80" s="65">
        <f>HLOOKUP($M$4,AMRN_CIN_PK,18,FALSE)</f>
        <v>376064</v>
      </c>
      <c r="N80" s="66">
        <f>HLOOKUP($M$4,AMRN_CIN_PK,17,FALSE)</f>
        <v>-405488</v>
      </c>
      <c r="O80" s="56">
        <f>SUM(M80:N80)</f>
        <v>-29424</v>
      </c>
      <c r="P80" s="45">
        <f>HLOOKUP($P$4,AMRN_CIN_PK,18,FALSE)</f>
        <v>0</v>
      </c>
      <c r="Q80" s="46">
        <f>HLOOKUP($P$4,AMRN_CIN_PK,17,FALSE)</f>
        <v>0</v>
      </c>
      <c r="R80" s="44">
        <f>F80</f>
        <v>0</v>
      </c>
      <c r="S80" s="45">
        <f>HLOOKUP($S$4,AMRN_CIN_PK,18,FALSE)</f>
        <v>0</v>
      </c>
      <c r="T80" s="46">
        <f>HLOOKUP($S$4,AMRN_CIN_PK,17,FALSE)</f>
        <v>0</v>
      </c>
      <c r="U80" s="44">
        <f>R80</f>
        <v>0</v>
      </c>
      <c r="V80" s="65">
        <f>HLOOKUP($V$4,AMRN_CIN_PK,18,FALSE)</f>
        <v>376064</v>
      </c>
      <c r="W80" s="66">
        <f>HLOOKUP($V$4,AMRN_CIN_PK,17,FALSE)</f>
        <v>-405488</v>
      </c>
      <c r="X80" s="56">
        <f>SUM(V80:W80)</f>
        <v>-29424</v>
      </c>
      <c r="Y80" s="65">
        <f t="shared" si="28"/>
        <v>1504256</v>
      </c>
      <c r="Z80" s="66">
        <f t="shared" si="28"/>
        <v>-1621952</v>
      </c>
      <c r="AA80" s="56">
        <f>SUM(Y80:Z80)</f>
        <v>-117696</v>
      </c>
    </row>
    <row r="81" spans="1:27" customFormat="1" ht="6" customHeight="1" x14ac:dyDescent="0.2">
      <c r="D81" s="74"/>
      <c r="E81" s="72"/>
      <c r="F81" s="73"/>
      <c r="G81" s="83"/>
      <c r="H81" s="84"/>
      <c r="I81" s="85"/>
      <c r="J81" s="83"/>
      <c r="K81" s="84"/>
      <c r="L81" s="85"/>
      <c r="M81" s="83"/>
      <c r="N81" s="84"/>
      <c r="O81" s="85"/>
      <c r="P81" s="74"/>
      <c r="Q81" s="72"/>
      <c r="R81" s="73"/>
      <c r="S81" s="74"/>
      <c r="T81" s="72"/>
      <c r="U81" s="73"/>
      <c r="V81" s="83"/>
      <c r="W81" s="84"/>
      <c r="X81" s="85"/>
      <c r="Y81" s="83"/>
      <c r="Z81" s="84"/>
      <c r="AA81" s="85"/>
    </row>
    <row r="82" spans="1:27" customFormat="1" x14ac:dyDescent="0.2">
      <c r="A82" s="1" t="s">
        <v>24</v>
      </c>
      <c r="B82" s="31" t="s">
        <v>73</v>
      </c>
      <c r="D82" s="45">
        <f t="shared" ref="D82:AA82" si="29">SUM(D78:D80)</f>
        <v>0</v>
      </c>
      <c r="E82" s="46">
        <f t="shared" si="29"/>
        <v>0</v>
      </c>
      <c r="F82" s="44">
        <f t="shared" si="29"/>
        <v>0</v>
      </c>
      <c r="G82" s="65">
        <f t="shared" si="29"/>
        <v>502720</v>
      </c>
      <c r="H82" s="66">
        <f t="shared" si="29"/>
        <v>-493888</v>
      </c>
      <c r="I82" s="56">
        <f t="shared" si="29"/>
        <v>8832</v>
      </c>
      <c r="J82" s="65">
        <f t="shared" si="29"/>
        <v>502720</v>
      </c>
      <c r="K82" s="66">
        <f t="shared" si="29"/>
        <v>-493888</v>
      </c>
      <c r="L82" s="56">
        <f t="shared" si="29"/>
        <v>8832</v>
      </c>
      <c r="M82" s="65">
        <f t="shared" si="29"/>
        <v>502720</v>
      </c>
      <c r="N82" s="66">
        <f t="shared" si="29"/>
        <v>-493888</v>
      </c>
      <c r="O82" s="56">
        <f t="shared" si="29"/>
        <v>8832</v>
      </c>
      <c r="P82" s="45">
        <f t="shared" si="29"/>
        <v>0</v>
      </c>
      <c r="Q82" s="46">
        <f t="shared" si="29"/>
        <v>0</v>
      </c>
      <c r="R82" s="44">
        <f t="shared" si="29"/>
        <v>0</v>
      </c>
      <c r="S82" s="45">
        <f t="shared" si="29"/>
        <v>0</v>
      </c>
      <c r="T82" s="46">
        <f t="shared" si="29"/>
        <v>0</v>
      </c>
      <c r="U82" s="44">
        <f t="shared" si="29"/>
        <v>0</v>
      </c>
      <c r="V82" s="65">
        <f t="shared" si="29"/>
        <v>502720</v>
      </c>
      <c r="W82" s="66">
        <f t="shared" si="29"/>
        <v>-493888</v>
      </c>
      <c r="X82" s="56">
        <f t="shared" si="29"/>
        <v>8832</v>
      </c>
      <c r="Y82" s="65">
        <f t="shared" si="29"/>
        <v>2010880</v>
      </c>
      <c r="Z82" s="66">
        <f t="shared" si="29"/>
        <v>-1975552</v>
      </c>
      <c r="AA82" s="56">
        <f t="shared" si="29"/>
        <v>35328</v>
      </c>
    </row>
    <row r="83" spans="1:27" customFormat="1" x14ac:dyDescent="0.2">
      <c r="D83" s="68"/>
      <c r="E83" s="69"/>
      <c r="F83" s="70"/>
      <c r="G83" s="80"/>
      <c r="H83" s="81"/>
      <c r="I83" s="82"/>
      <c r="J83" s="80"/>
      <c r="K83" s="81"/>
      <c r="L83" s="82"/>
      <c r="M83" s="80"/>
      <c r="N83" s="81"/>
      <c r="O83" s="82"/>
      <c r="P83" s="68"/>
      <c r="Q83" s="69"/>
      <c r="R83" s="70"/>
      <c r="S83" s="68"/>
      <c r="T83" s="69"/>
      <c r="U83" s="70"/>
      <c r="V83" s="80"/>
      <c r="W83" s="81"/>
      <c r="X83" s="82"/>
      <c r="Y83" s="80"/>
      <c r="Z83" s="81"/>
      <c r="AA83" s="82"/>
    </row>
    <row r="84" spans="1:27" customFormat="1" x14ac:dyDescent="0.2">
      <c r="A84" t="s">
        <v>28</v>
      </c>
      <c r="B84" t="s">
        <v>65</v>
      </c>
      <c r="C84" t="s">
        <v>78</v>
      </c>
      <c r="D84" s="45">
        <f>HLOOKUP($D$4,CARG_COM_PK,18,FALSE)</f>
        <v>0</v>
      </c>
      <c r="E84" s="46">
        <f>HLOOKUP($D$4,CARG_COM_PK,17,FALSE)</f>
        <v>0</v>
      </c>
      <c r="F84" s="44">
        <f>SUM(D84:E84)</f>
        <v>0</v>
      </c>
      <c r="G84" s="65">
        <f>HLOOKUP($G$4,CARG_COM_PK,18,FALSE)</f>
        <v>74560</v>
      </c>
      <c r="H84" s="66">
        <f>HLOOKUP($G$4,CARG_COM_PK,17,FALSE)</f>
        <v>-108000</v>
      </c>
      <c r="I84" s="56">
        <f>SUM(G84:H84)</f>
        <v>-33440</v>
      </c>
      <c r="J84" s="65">
        <f>HLOOKUP($J$4,CARG_COM_PK,18,FALSE)</f>
        <v>74560</v>
      </c>
      <c r="K84" s="66">
        <f>HLOOKUP($J$4,CARG_COM_PK,17,FALSE)</f>
        <v>-108000</v>
      </c>
      <c r="L84" s="56">
        <f>SUM(J84:K84)</f>
        <v>-33440</v>
      </c>
      <c r="M84" s="65">
        <f>HLOOKUP($M$4,CARG_COM_PK,18,FALSE)</f>
        <v>74560</v>
      </c>
      <c r="N84" s="66">
        <f>HLOOKUP($M$4,CARG_COM_PK,17,FALSE)</f>
        <v>-108000</v>
      </c>
      <c r="O84" s="56">
        <f>SUM(M84:N84)</f>
        <v>-33440</v>
      </c>
      <c r="P84" s="45">
        <f>HLOOKUP($P$4,CARG_COM_PK,18,FALSE)</f>
        <v>0</v>
      </c>
      <c r="Q84" s="46">
        <f>HLOOKUP($P$4,CARG_COM_PK,17,FALSE)</f>
        <v>0</v>
      </c>
      <c r="R84" s="44">
        <f>F84</f>
        <v>0</v>
      </c>
      <c r="S84" s="45">
        <f>HLOOKUP($S$4,CARG_COM_PK,18,FALSE)</f>
        <v>0</v>
      </c>
      <c r="T84" s="46">
        <f>HLOOKUP($S$4,CARG_COM_PK,17,FALSE)</f>
        <v>0</v>
      </c>
      <c r="U84" s="44">
        <f>R84</f>
        <v>0</v>
      </c>
      <c r="V84" s="65">
        <f>HLOOKUP($V$4,CARG_COM_PK,18,FALSE)</f>
        <v>74560</v>
      </c>
      <c r="W84" s="66">
        <f>HLOOKUP($V$4,CARG_COM_PK,17,FALSE)</f>
        <v>-108000</v>
      </c>
      <c r="X84" s="56">
        <f>SUM(V84:W84)</f>
        <v>-33440</v>
      </c>
      <c r="Y84" s="65">
        <f>SUM(D84,G84,J84,M84,P84,S84,V84)</f>
        <v>298240</v>
      </c>
      <c r="Z84" s="66">
        <f>SUM(E84,H84,K84,N84,Q84,T84,W84)</f>
        <v>-432000</v>
      </c>
      <c r="AA84" s="56">
        <f>SUM(Y84:Z84)</f>
        <v>-133760</v>
      </c>
    </row>
    <row r="85" spans="1:27" customFormat="1" x14ac:dyDescent="0.2">
      <c r="A85" t="s">
        <v>28</v>
      </c>
      <c r="B85" t="s">
        <v>64</v>
      </c>
      <c r="C85" t="s">
        <v>78</v>
      </c>
      <c r="D85" s="45">
        <f>HLOOKUP($D$4,CARG_CIN_PK,18,FALSE)</f>
        <v>0</v>
      </c>
      <c r="E85" s="46">
        <f>HLOOKUP($D$4,CARG_CIN_PK,17,FALSE)</f>
        <v>0</v>
      </c>
      <c r="F85" s="44">
        <f>SUM(D85:E85)</f>
        <v>0</v>
      </c>
      <c r="G85" s="65">
        <f>HLOOKUP($G$4,CARG_CIN_PK,18,FALSE)</f>
        <v>285824</v>
      </c>
      <c r="H85" s="66">
        <f>HLOOKUP($G$4,CARG_CIN_PK,17,FALSE)</f>
        <v>-248224</v>
      </c>
      <c r="I85" s="56">
        <f>SUM(G85:H85)</f>
        <v>37600</v>
      </c>
      <c r="J85" s="65">
        <f>HLOOKUP($J$4,CARG_CIN_PK,18,FALSE)</f>
        <v>285824</v>
      </c>
      <c r="K85" s="66">
        <f>HLOOKUP($J$4,CARG_CIN_PK,17,FALSE)</f>
        <v>-248224</v>
      </c>
      <c r="L85" s="56">
        <f>SUM(J85:K85)</f>
        <v>37600</v>
      </c>
      <c r="M85" s="65">
        <f>HLOOKUP($M$4,CARG_CIN_PK,18,FALSE)</f>
        <v>285824</v>
      </c>
      <c r="N85" s="66">
        <f>HLOOKUP($M$4,CARG_CIN_PK,17,FALSE)</f>
        <v>-248224</v>
      </c>
      <c r="O85" s="56">
        <f>SUM(M85:N85)</f>
        <v>37600</v>
      </c>
      <c r="P85" s="45">
        <f>HLOOKUP($P$4,CARG_CIN_PK,18,FALSE)</f>
        <v>0</v>
      </c>
      <c r="Q85" s="46">
        <f>HLOOKUP($P$4,CARG_CIN_PK,17,FALSE)</f>
        <v>0</v>
      </c>
      <c r="R85" s="44">
        <f>F85</f>
        <v>0</v>
      </c>
      <c r="S85" s="45">
        <f>HLOOKUP($S$4,CARG_CIN_PK,18,FALSE)</f>
        <v>0</v>
      </c>
      <c r="T85" s="46">
        <f>HLOOKUP($S$4,CARG_CIN_PK,17,FALSE)</f>
        <v>0</v>
      </c>
      <c r="U85" s="44">
        <f>R85</f>
        <v>0</v>
      </c>
      <c r="V85" s="65">
        <f>HLOOKUP($V$4,CARG_CIN_PK,18,FALSE)</f>
        <v>285824</v>
      </c>
      <c r="W85" s="66">
        <f>HLOOKUP($V$4,CARG_CIN_PK,17,FALSE)</f>
        <v>-248224</v>
      </c>
      <c r="X85" s="56">
        <f>SUM(V85:W85)</f>
        <v>37600</v>
      </c>
      <c r="Y85" s="65">
        <f>SUM(D85,G85,J85,M85,P85,S85,V85)</f>
        <v>1143296</v>
      </c>
      <c r="Z85" s="66">
        <f>SUM(E85,H85,K85,N85,Q85,T85,W85)</f>
        <v>-992896</v>
      </c>
      <c r="AA85" s="56">
        <f>SUM(Y85:Z85)</f>
        <v>150400</v>
      </c>
    </row>
    <row r="86" spans="1:27" customFormat="1" ht="6" customHeight="1" x14ac:dyDescent="0.2">
      <c r="D86" s="74"/>
      <c r="E86" s="72"/>
      <c r="F86" s="73"/>
      <c r="G86" s="83"/>
      <c r="H86" s="84"/>
      <c r="I86" s="85"/>
      <c r="J86" s="83"/>
      <c r="K86" s="84"/>
      <c r="L86" s="85"/>
      <c r="M86" s="83"/>
      <c r="N86" s="84"/>
      <c r="O86" s="85"/>
      <c r="P86" s="74"/>
      <c r="Q86" s="72"/>
      <c r="R86" s="73"/>
      <c r="S86" s="74"/>
      <c r="T86" s="72"/>
      <c r="U86" s="73"/>
      <c r="V86" s="83"/>
      <c r="W86" s="84"/>
      <c r="X86" s="85"/>
      <c r="Y86" s="83"/>
      <c r="Z86" s="84"/>
      <c r="AA86" s="85"/>
    </row>
    <row r="87" spans="1:27" customFormat="1" x14ac:dyDescent="0.2">
      <c r="A87" s="1" t="s">
        <v>28</v>
      </c>
      <c r="B87" s="31" t="s">
        <v>73</v>
      </c>
      <c r="D87" s="45">
        <f t="shared" ref="D87:AA87" si="30">SUM(D84:D85)</f>
        <v>0</v>
      </c>
      <c r="E87" s="46">
        <f t="shared" si="30"/>
        <v>0</v>
      </c>
      <c r="F87" s="44">
        <f t="shared" si="30"/>
        <v>0</v>
      </c>
      <c r="G87" s="65">
        <f t="shared" si="30"/>
        <v>360384</v>
      </c>
      <c r="H87" s="66">
        <f t="shared" si="30"/>
        <v>-356224</v>
      </c>
      <c r="I87" s="56">
        <f t="shared" si="30"/>
        <v>4160</v>
      </c>
      <c r="J87" s="65">
        <f t="shared" si="30"/>
        <v>360384</v>
      </c>
      <c r="K87" s="66">
        <f t="shared" si="30"/>
        <v>-356224</v>
      </c>
      <c r="L87" s="56">
        <f t="shared" si="30"/>
        <v>4160</v>
      </c>
      <c r="M87" s="65">
        <f t="shared" si="30"/>
        <v>360384</v>
      </c>
      <c r="N87" s="66">
        <f t="shared" si="30"/>
        <v>-356224</v>
      </c>
      <c r="O87" s="56">
        <f t="shared" si="30"/>
        <v>4160</v>
      </c>
      <c r="P87" s="45">
        <f t="shared" si="30"/>
        <v>0</v>
      </c>
      <c r="Q87" s="46">
        <f t="shared" si="30"/>
        <v>0</v>
      </c>
      <c r="R87" s="44">
        <f t="shared" si="30"/>
        <v>0</v>
      </c>
      <c r="S87" s="45">
        <f t="shared" si="30"/>
        <v>0</v>
      </c>
      <c r="T87" s="46">
        <f t="shared" si="30"/>
        <v>0</v>
      </c>
      <c r="U87" s="44">
        <f t="shared" si="30"/>
        <v>0</v>
      </c>
      <c r="V87" s="65">
        <f t="shared" si="30"/>
        <v>360384</v>
      </c>
      <c r="W87" s="66">
        <f t="shared" si="30"/>
        <v>-356224</v>
      </c>
      <c r="X87" s="56">
        <f t="shared" si="30"/>
        <v>4160</v>
      </c>
      <c r="Y87" s="65">
        <f t="shared" si="30"/>
        <v>1441536</v>
      </c>
      <c r="Z87" s="66">
        <f t="shared" si="30"/>
        <v>-1424896</v>
      </c>
      <c r="AA87" s="56">
        <f t="shared" si="30"/>
        <v>16640</v>
      </c>
    </row>
    <row r="88" spans="1:27" customFormat="1" x14ac:dyDescent="0.2">
      <c r="D88" s="68"/>
      <c r="E88" s="69"/>
      <c r="F88" s="70"/>
      <c r="G88" s="80"/>
      <c r="H88" s="81"/>
      <c r="I88" s="82"/>
      <c r="J88" s="80"/>
      <c r="K88" s="81"/>
      <c r="L88" s="82"/>
      <c r="M88" s="80"/>
      <c r="N88" s="81"/>
      <c r="O88" s="82"/>
      <c r="P88" s="68"/>
      <c r="Q88" s="69"/>
      <c r="R88" s="70"/>
      <c r="S88" s="68"/>
      <c r="T88" s="69"/>
      <c r="U88" s="70"/>
      <c r="V88" s="80"/>
      <c r="W88" s="81"/>
      <c r="X88" s="82"/>
      <c r="Y88" s="80"/>
      <c r="Z88" s="81"/>
      <c r="AA88" s="82"/>
    </row>
    <row r="89" spans="1:27" customFormat="1" x14ac:dyDescent="0.2">
      <c r="A89" t="s">
        <v>30</v>
      </c>
      <c r="B89" t="s">
        <v>62</v>
      </c>
      <c r="C89" t="s">
        <v>78</v>
      </c>
      <c r="D89" s="45">
        <f>HLOOKUP($D$4,CPL_PJM_PK,18,FALSE)</f>
        <v>0</v>
      </c>
      <c r="E89" s="46">
        <f>HLOOKUP($D$4,CPL_PJM_PK,17,FALSE)</f>
        <v>0</v>
      </c>
      <c r="F89" s="44">
        <f>SUM(D89:E89)</f>
        <v>0</v>
      </c>
      <c r="G89" s="65">
        <f>HLOOKUP($G$4,CPL_PJM_PK,18,FALSE)</f>
        <v>80880</v>
      </c>
      <c r="H89" s="66">
        <f>HLOOKUP($G$4,CPL_PJM_PK,17,FALSE)</f>
        <v>-71040</v>
      </c>
      <c r="I89" s="56">
        <f>SUM(G89:H89)</f>
        <v>9840</v>
      </c>
      <c r="J89" s="65">
        <f>HLOOKUP($J$4,CPL_PJM_PK,18,FALSE)</f>
        <v>80880</v>
      </c>
      <c r="K89" s="66">
        <f>HLOOKUP($J$4,CPL_PJM_PK,17,FALSE)</f>
        <v>-71040</v>
      </c>
      <c r="L89" s="56">
        <f>SUM(J89:K89)</f>
        <v>9840</v>
      </c>
      <c r="M89" s="65">
        <f>HLOOKUP($M$4,CPL_PJM_PK,18,FALSE)</f>
        <v>80880</v>
      </c>
      <c r="N89" s="66">
        <f>HLOOKUP($M$4,CPL_PJM_PK,17,FALSE)</f>
        <v>-71040</v>
      </c>
      <c r="O89" s="56">
        <f>SUM(M89:N89)</f>
        <v>9840</v>
      </c>
      <c r="P89" s="45">
        <f>HLOOKUP($P$4,CPL_PJM_PK,18,FALSE)</f>
        <v>0</v>
      </c>
      <c r="Q89" s="46">
        <f>HLOOKUP($P$4,CPL_PJM_PK,17,FALSE)</f>
        <v>0</v>
      </c>
      <c r="R89" s="44">
        <f>F89</f>
        <v>0</v>
      </c>
      <c r="S89" s="45">
        <f>HLOOKUP($S$4,CPL_PJM_PK,18,FALSE)</f>
        <v>0</v>
      </c>
      <c r="T89" s="46">
        <f>HLOOKUP($S$4,CPL_PJM_PK,17,FALSE)</f>
        <v>0</v>
      </c>
      <c r="U89" s="44">
        <f>R89</f>
        <v>0</v>
      </c>
      <c r="V89" s="65">
        <f>HLOOKUP($V$4,CPL_PJM_PK,18,FALSE)</f>
        <v>80880</v>
      </c>
      <c r="W89" s="66">
        <f>HLOOKUP($V$4,CPL_PJM_PK,17,FALSE)</f>
        <v>-71040</v>
      </c>
      <c r="X89" s="56">
        <f>SUM(V89:W89)</f>
        <v>9840</v>
      </c>
      <c r="Y89" s="65">
        <f>SUM(D89,G89,J89,M89,P89,S89,V89)</f>
        <v>323520</v>
      </c>
      <c r="Z89" s="66">
        <f>SUM(E89,H89,K89,N89,Q89,T89,W89)</f>
        <v>-284160</v>
      </c>
      <c r="AA89" s="56">
        <f>SUM(Y89:Z89)</f>
        <v>39360</v>
      </c>
    </row>
    <row r="90" spans="1:27" customFormat="1" x14ac:dyDescent="0.2">
      <c r="A90" t="s">
        <v>30</v>
      </c>
      <c r="B90" t="s">
        <v>64</v>
      </c>
      <c r="C90" t="s">
        <v>78</v>
      </c>
      <c r="D90" s="45">
        <f>HLOOKUP($D$4,CPL_CIN_PK,18,FALSE)</f>
        <v>0</v>
      </c>
      <c r="E90" s="46">
        <f>HLOOKUP($D$4,CPL_CIN_PK,17,FALSE)</f>
        <v>0</v>
      </c>
      <c r="F90" s="44">
        <f>SUM(D90:E90)</f>
        <v>0</v>
      </c>
      <c r="G90" s="65">
        <f>HLOOKUP($G$4,CPL_CIN_PK,18,FALSE)</f>
        <v>48608</v>
      </c>
      <c r="H90" s="66">
        <f>HLOOKUP($G$4,CPL_CIN_PK,17,FALSE)</f>
        <v>-46608</v>
      </c>
      <c r="I90" s="56">
        <f>SUM(G90:H90)</f>
        <v>2000</v>
      </c>
      <c r="J90" s="65">
        <f>HLOOKUP($J$4,CPL_CIN_PK,18,FALSE)</f>
        <v>48608</v>
      </c>
      <c r="K90" s="66">
        <f>HLOOKUP($J$4,CPL_CIN_PK,17,FALSE)</f>
        <v>-46608</v>
      </c>
      <c r="L90" s="56">
        <f>SUM(J90:K90)</f>
        <v>2000</v>
      </c>
      <c r="M90" s="65">
        <f>HLOOKUP($M$4,CPL_CIN_PK,18,FALSE)</f>
        <v>48608</v>
      </c>
      <c r="N90" s="66">
        <f>HLOOKUP($M$4,CPL_CIN_PK,17,FALSE)</f>
        <v>-46608</v>
      </c>
      <c r="O90" s="56">
        <f>SUM(M90:N90)</f>
        <v>2000</v>
      </c>
      <c r="P90" s="45">
        <f>HLOOKUP($P$4,CPL_CIN_PK,18,FALSE)</f>
        <v>0</v>
      </c>
      <c r="Q90" s="46">
        <f>HLOOKUP($P$4,CPL_CIN_PK,17,FALSE)</f>
        <v>0</v>
      </c>
      <c r="R90" s="44">
        <f>F90</f>
        <v>0</v>
      </c>
      <c r="S90" s="45">
        <f>HLOOKUP($S$4,CPL_CIN_PK,18,FALSE)</f>
        <v>0</v>
      </c>
      <c r="T90" s="46">
        <f>HLOOKUP($S$4,CPL_CIN_PK,17,FALSE)</f>
        <v>0</v>
      </c>
      <c r="U90" s="44">
        <f>R90</f>
        <v>0</v>
      </c>
      <c r="V90" s="65">
        <f>HLOOKUP($V$4,CPL_CIN_PK,18,FALSE)</f>
        <v>48608</v>
      </c>
      <c r="W90" s="66">
        <f>HLOOKUP($V$4,CPL_CIN_PK,17,FALSE)</f>
        <v>-46608</v>
      </c>
      <c r="X90" s="56">
        <f>SUM(V90:W90)</f>
        <v>2000</v>
      </c>
      <c r="Y90" s="65">
        <f>SUM(D90,G90,J90,M90,P90,S90,V90)</f>
        <v>194432</v>
      </c>
      <c r="Z90" s="66">
        <f>SUM(E90,H90,K90,N90,Q90,T90,W90)</f>
        <v>-186432</v>
      </c>
      <c r="AA90" s="56">
        <f>SUM(Y90:Z90)</f>
        <v>8000</v>
      </c>
    </row>
    <row r="91" spans="1:27" customFormat="1" ht="5.25" customHeight="1" x14ac:dyDescent="0.2">
      <c r="D91" s="74"/>
      <c r="E91" s="72"/>
      <c r="F91" s="73"/>
      <c r="G91" s="83"/>
      <c r="H91" s="84"/>
      <c r="I91" s="85"/>
      <c r="J91" s="83"/>
      <c r="K91" s="84"/>
      <c r="L91" s="85"/>
      <c r="M91" s="83"/>
      <c r="N91" s="84"/>
      <c r="O91" s="85"/>
      <c r="P91" s="74"/>
      <c r="Q91" s="72"/>
      <c r="R91" s="73"/>
      <c r="S91" s="74"/>
      <c r="T91" s="72"/>
      <c r="U91" s="73"/>
      <c r="V91" s="83"/>
      <c r="W91" s="84"/>
      <c r="X91" s="85"/>
      <c r="Y91" s="83"/>
      <c r="Z91" s="84"/>
      <c r="AA91" s="85"/>
    </row>
    <row r="92" spans="1:27" customFormat="1" x14ac:dyDescent="0.2">
      <c r="A92" s="1" t="s">
        <v>30</v>
      </c>
      <c r="B92" s="31" t="s">
        <v>73</v>
      </c>
      <c r="D92" s="45">
        <f t="shared" ref="D92:AA92" si="31">SUM(D89:D90)</f>
        <v>0</v>
      </c>
      <c r="E92" s="46">
        <f t="shared" si="31"/>
        <v>0</v>
      </c>
      <c r="F92" s="44">
        <f t="shared" si="31"/>
        <v>0</v>
      </c>
      <c r="G92" s="65">
        <f t="shared" si="31"/>
        <v>129488</v>
      </c>
      <c r="H92" s="66">
        <f t="shared" si="31"/>
        <v>-117648</v>
      </c>
      <c r="I92" s="56">
        <f t="shared" si="31"/>
        <v>11840</v>
      </c>
      <c r="J92" s="65">
        <f t="shared" si="31"/>
        <v>129488</v>
      </c>
      <c r="K92" s="66">
        <f t="shared" si="31"/>
        <v>-117648</v>
      </c>
      <c r="L92" s="56">
        <f t="shared" si="31"/>
        <v>11840</v>
      </c>
      <c r="M92" s="65">
        <f t="shared" si="31"/>
        <v>129488</v>
      </c>
      <c r="N92" s="66">
        <f t="shared" si="31"/>
        <v>-117648</v>
      </c>
      <c r="O92" s="56">
        <f t="shared" si="31"/>
        <v>11840</v>
      </c>
      <c r="P92" s="45">
        <f t="shared" si="31"/>
        <v>0</v>
      </c>
      <c r="Q92" s="46">
        <f t="shared" si="31"/>
        <v>0</v>
      </c>
      <c r="R92" s="44">
        <f t="shared" si="31"/>
        <v>0</v>
      </c>
      <c r="S92" s="45">
        <f t="shared" si="31"/>
        <v>0</v>
      </c>
      <c r="T92" s="46">
        <f t="shared" si="31"/>
        <v>0</v>
      </c>
      <c r="U92" s="44">
        <f t="shared" si="31"/>
        <v>0</v>
      </c>
      <c r="V92" s="65">
        <f t="shared" si="31"/>
        <v>129488</v>
      </c>
      <c r="W92" s="66">
        <f t="shared" si="31"/>
        <v>-117648</v>
      </c>
      <c r="X92" s="56">
        <f t="shared" si="31"/>
        <v>11840</v>
      </c>
      <c r="Y92" s="65">
        <f t="shared" si="31"/>
        <v>517952</v>
      </c>
      <c r="Z92" s="66">
        <f t="shared" si="31"/>
        <v>-470592</v>
      </c>
      <c r="AA92" s="56">
        <f t="shared" si="31"/>
        <v>47360</v>
      </c>
    </row>
    <row r="93" spans="1:27" customFormat="1" x14ac:dyDescent="0.2">
      <c r="D93" s="68"/>
      <c r="E93" s="69"/>
      <c r="F93" s="70"/>
      <c r="G93" s="80"/>
      <c r="H93" s="81"/>
      <c r="I93" s="82"/>
      <c r="J93" s="80"/>
      <c r="K93" s="81"/>
      <c r="L93" s="82"/>
      <c r="M93" s="80"/>
      <c r="N93" s="81"/>
      <c r="O93" s="82"/>
      <c r="P93" s="68"/>
      <c r="Q93" s="69"/>
      <c r="R93" s="70"/>
      <c r="S93" s="68"/>
      <c r="T93" s="69"/>
      <c r="U93" s="70"/>
      <c r="V93" s="80"/>
      <c r="W93" s="81"/>
      <c r="X93" s="82"/>
      <c r="Y93" s="80"/>
      <c r="Z93" s="81"/>
      <c r="AA93" s="82"/>
    </row>
    <row r="94" spans="1:27" customFormat="1" x14ac:dyDescent="0.2">
      <c r="A94" t="s">
        <v>31</v>
      </c>
      <c r="B94" t="s">
        <v>64</v>
      </c>
      <c r="C94" t="s">
        <v>78</v>
      </c>
      <c r="D94" s="45">
        <f>HLOOKUP($D$4,FE_CIN_PK,18,FALSE)</f>
        <v>0</v>
      </c>
      <c r="E94" s="46">
        <f>HLOOKUP($D$4,FE_CIN_PK,17,FALSE)</f>
        <v>0</v>
      </c>
      <c r="F94" s="44">
        <f>SUM(D94:E94)</f>
        <v>0</v>
      </c>
      <c r="G94" s="65">
        <f>HLOOKUP($G$4,FE_CIN_PK,18,FALSE)</f>
        <v>36000</v>
      </c>
      <c r="H94" s="66">
        <f>HLOOKUP($G$4,FE_CIN_PK,17,FALSE)</f>
        <v>-51600</v>
      </c>
      <c r="I94" s="56">
        <f>SUM(G94:H94)</f>
        <v>-15600</v>
      </c>
      <c r="J94" s="65">
        <f>HLOOKUP($J$4,FE_CIN_PK,18,FALSE)</f>
        <v>36000</v>
      </c>
      <c r="K94" s="66">
        <f>HLOOKUP($J$4,FE_CIN_PK,17,FALSE)</f>
        <v>-51600</v>
      </c>
      <c r="L94" s="56">
        <f>SUM(J94:K94)</f>
        <v>-15600</v>
      </c>
      <c r="M94" s="65">
        <f>HLOOKUP($M$4,FE_CIN_PK,18,FALSE)</f>
        <v>36000</v>
      </c>
      <c r="N94" s="66">
        <f>HLOOKUP($M$4,FE_CIN_PK,17,FALSE)</f>
        <v>-51600</v>
      </c>
      <c r="O94" s="56">
        <f>SUM(M94:N94)</f>
        <v>-15600</v>
      </c>
      <c r="P94" s="45">
        <f>HLOOKUP($P$4,FE_CIN_PK,18,FALSE)</f>
        <v>0</v>
      </c>
      <c r="Q94" s="46">
        <f>HLOOKUP($P$4,FE_CIN_PK,17,FALSE)</f>
        <v>0</v>
      </c>
      <c r="R94" s="44">
        <f>F94</f>
        <v>0</v>
      </c>
      <c r="S94" s="45">
        <f>HLOOKUP($S$4,FE_CIN_PK,18,FALSE)</f>
        <v>0</v>
      </c>
      <c r="T94" s="46">
        <f>HLOOKUP($S$4,FE_CIN_PK,17,FALSE)</f>
        <v>0</v>
      </c>
      <c r="U94" s="44">
        <f>R94</f>
        <v>0</v>
      </c>
      <c r="V94" s="65">
        <f>HLOOKUP($V$4,FE_CIN_PK,18,FALSE)</f>
        <v>36000</v>
      </c>
      <c r="W94" s="66">
        <f>HLOOKUP($V$4,FE_CIN_PK,17,FALSE)</f>
        <v>-51600</v>
      </c>
      <c r="X94" s="56">
        <f>SUM(V94:W94)</f>
        <v>-15600</v>
      </c>
      <c r="Y94" s="65">
        <f>SUM(D94,G94,J94,M94,P94,S94,V94)</f>
        <v>144000</v>
      </c>
      <c r="Z94" s="66">
        <f>SUM(E94,H94,K94,N94,Q94,T94,W94)</f>
        <v>-206400</v>
      </c>
      <c r="AA94" s="56">
        <f>SUM(Y94:Z94)</f>
        <v>-62400</v>
      </c>
    </row>
    <row r="95" spans="1:27" customFormat="1" x14ac:dyDescent="0.2">
      <c r="A95" t="s">
        <v>31</v>
      </c>
      <c r="B95" t="s">
        <v>62</v>
      </c>
      <c r="C95" t="s">
        <v>78</v>
      </c>
      <c r="D95" s="45">
        <f>HLOOKUP($D$4,FE_PJM_PK,18,FALSE)</f>
        <v>0</v>
      </c>
      <c r="E95" s="46">
        <f>HLOOKUP($D$4,FE_PJM_PK,17,FALSE)</f>
        <v>0</v>
      </c>
      <c r="F95" s="44">
        <f>SUM(D95:E95)</f>
        <v>0</v>
      </c>
      <c r="G95" s="65">
        <f>HLOOKUP($G$4,FE_PJM_PK,18,FALSE)</f>
        <v>0</v>
      </c>
      <c r="H95" s="66">
        <f>HLOOKUP($G$4,FE_PJM_PK,17,FALSE)</f>
        <v>-19200</v>
      </c>
      <c r="I95" s="56">
        <f>SUM(G95:H95)</f>
        <v>-19200</v>
      </c>
      <c r="J95" s="65">
        <f>HLOOKUP($J$4,FE_PJM_PK,18,FALSE)</f>
        <v>0</v>
      </c>
      <c r="K95" s="66">
        <f>HLOOKUP($J$4,FE_PJM_PK,17,FALSE)</f>
        <v>-19200</v>
      </c>
      <c r="L95" s="56">
        <f>SUM(J95:K95)</f>
        <v>-19200</v>
      </c>
      <c r="M95" s="65">
        <f>HLOOKUP($M$4,FE_PJM_PK,18,FALSE)</f>
        <v>0</v>
      </c>
      <c r="N95" s="66">
        <f>HLOOKUP($M$4,FE_PJM_PK,17,FALSE)</f>
        <v>-19200</v>
      </c>
      <c r="O95" s="56">
        <f>SUM(M95:N95)</f>
        <v>-19200</v>
      </c>
      <c r="P95" s="45">
        <f>HLOOKUP($P$4,FE_PJM_PK,18,FALSE)</f>
        <v>0</v>
      </c>
      <c r="Q95" s="46">
        <f>HLOOKUP($P$4,FE_PJM_PK,17,FALSE)</f>
        <v>0</v>
      </c>
      <c r="R95" s="44">
        <f>F95</f>
        <v>0</v>
      </c>
      <c r="S95" s="45">
        <f>HLOOKUP($S$4,FE_PJM_PK,18,FALSE)</f>
        <v>0</v>
      </c>
      <c r="T95" s="46">
        <f>HLOOKUP($S$4,FE_PJM_PK,17,FALSE)</f>
        <v>0</v>
      </c>
      <c r="U95" s="44">
        <f>R95</f>
        <v>0</v>
      </c>
      <c r="V95" s="65">
        <f>HLOOKUP($V$4,FE_PJM_PK,18,FALSE)</f>
        <v>0</v>
      </c>
      <c r="W95" s="66">
        <f>HLOOKUP($V$4,FE_PJM_PK,17,FALSE)</f>
        <v>-19200</v>
      </c>
      <c r="X95" s="56">
        <f>SUM(V95:W95)</f>
        <v>-19200</v>
      </c>
      <c r="Y95" s="65">
        <f>SUM(D95,G95,J95,M95,P95,S95,V95)</f>
        <v>0</v>
      </c>
      <c r="Z95" s="66">
        <f>SUM(E95,H95,K95,N95,Q95,T95,W95)</f>
        <v>-76800</v>
      </c>
      <c r="AA95" s="56">
        <f>SUM(Y95:Z95)</f>
        <v>-76800</v>
      </c>
    </row>
    <row r="96" spans="1:27" customFormat="1" ht="6" customHeight="1" x14ac:dyDescent="0.2">
      <c r="D96" s="74"/>
      <c r="E96" s="72"/>
      <c r="F96" s="73"/>
      <c r="G96" s="83"/>
      <c r="H96" s="84"/>
      <c r="I96" s="85"/>
      <c r="J96" s="83"/>
      <c r="K96" s="84"/>
      <c r="L96" s="85"/>
      <c r="M96" s="83"/>
      <c r="N96" s="84"/>
      <c r="O96" s="85"/>
      <c r="P96" s="74"/>
      <c r="Q96" s="72"/>
      <c r="R96" s="73"/>
      <c r="S96" s="74"/>
      <c r="T96" s="72"/>
      <c r="U96" s="73"/>
      <c r="V96" s="83"/>
      <c r="W96" s="84"/>
      <c r="X96" s="85"/>
      <c r="Y96" s="83"/>
      <c r="Z96" s="84"/>
      <c r="AA96" s="85"/>
    </row>
    <row r="97" spans="1:29" customFormat="1" x14ac:dyDescent="0.2">
      <c r="A97" s="1" t="s">
        <v>31</v>
      </c>
      <c r="B97" s="31" t="s">
        <v>73</v>
      </c>
      <c r="D97" s="45">
        <f t="shared" ref="D97:AA97" si="32">SUM(D94:D95)</f>
        <v>0</v>
      </c>
      <c r="E97" s="46">
        <f t="shared" si="32"/>
        <v>0</v>
      </c>
      <c r="F97" s="44">
        <f t="shared" si="32"/>
        <v>0</v>
      </c>
      <c r="G97" s="65">
        <f t="shared" si="32"/>
        <v>36000</v>
      </c>
      <c r="H97" s="66">
        <f t="shared" si="32"/>
        <v>-70800</v>
      </c>
      <c r="I97" s="56">
        <f t="shared" si="32"/>
        <v>-34800</v>
      </c>
      <c r="J97" s="65">
        <f t="shared" si="32"/>
        <v>36000</v>
      </c>
      <c r="K97" s="66">
        <f t="shared" si="32"/>
        <v>-70800</v>
      </c>
      <c r="L97" s="56">
        <f t="shared" si="32"/>
        <v>-34800</v>
      </c>
      <c r="M97" s="65">
        <f t="shared" si="32"/>
        <v>36000</v>
      </c>
      <c r="N97" s="66">
        <f t="shared" si="32"/>
        <v>-70800</v>
      </c>
      <c r="O97" s="56">
        <f t="shared" si="32"/>
        <v>-34800</v>
      </c>
      <c r="P97" s="45">
        <f t="shared" si="32"/>
        <v>0</v>
      </c>
      <c r="Q97" s="46">
        <f t="shared" si="32"/>
        <v>0</v>
      </c>
      <c r="R97" s="44">
        <f t="shared" si="32"/>
        <v>0</v>
      </c>
      <c r="S97" s="45">
        <f t="shared" si="32"/>
        <v>0</v>
      </c>
      <c r="T97" s="46">
        <f t="shared" si="32"/>
        <v>0</v>
      </c>
      <c r="U97" s="44">
        <f t="shared" si="32"/>
        <v>0</v>
      </c>
      <c r="V97" s="65">
        <f t="shared" si="32"/>
        <v>36000</v>
      </c>
      <c r="W97" s="66">
        <f t="shared" si="32"/>
        <v>-70800</v>
      </c>
      <c r="X97" s="56">
        <f t="shared" si="32"/>
        <v>-34800</v>
      </c>
      <c r="Y97" s="65">
        <f t="shared" si="32"/>
        <v>144000</v>
      </c>
      <c r="Z97" s="66">
        <f t="shared" si="32"/>
        <v>-283200</v>
      </c>
      <c r="AA97" s="56">
        <f t="shared" si="32"/>
        <v>-139200</v>
      </c>
    </row>
    <row r="98" spans="1:29" customFormat="1" x14ac:dyDescent="0.2">
      <c r="D98" s="68"/>
      <c r="E98" s="69"/>
      <c r="F98" s="70"/>
      <c r="G98" s="80"/>
      <c r="H98" s="81"/>
      <c r="I98" s="82"/>
      <c r="J98" s="80"/>
      <c r="K98" s="81"/>
      <c r="L98" s="82"/>
      <c r="M98" s="80"/>
      <c r="N98" s="81"/>
      <c r="O98" s="82"/>
      <c r="P98" s="68"/>
      <c r="Q98" s="69"/>
      <c r="R98" s="70"/>
      <c r="S98" s="68"/>
      <c r="T98" s="69"/>
      <c r="U98" s="70"/>
      <c r="V98" s="80"/>
      <c r="W98" s="81"/>
      <c r="X98" s="82"/>
      <c r="Y98" s="80"/>
      <c r="Z98" s="81"/>
      <c r="AA98" s="82"/>
    </row>
    <row r="99" spans="1:29" customFormat="1" x14ac:dyDescent="0.2">
      <c r="A99" t="s">
        <v>32</v>
      </c>
      <c r="B99" t="s">
        <v>64</v>
      </c>
      <c r="C99" t="s">
        <v>78</v>
      </c>
      <c r="D99" s="45">
        <f>HLOOKUP($D$4,WAB_CIN_PK,18,FALSE)</f>
        <v>25600</v>
      </c>
      <c r="E99" s="46">
        <f>HLOOKUP($D$4,WAB_CIN_PK,17,FALSE)</f>
        <v>-17600</v>
      </c>
      <c r="F99" s="44">
        <f>SUM(D99:E99)</f>
        <v>8000</v>
      </c>
      <c r="G99" s="65">
        <f>HLOOKUP($G$4,WAB_CIN_PK,18,FALSE)</f>
        <v>25600</v>
      </c>
      <c r="H99" s="66">
        <f>HLOOKUP($G$4,WAB_CIN_PK,17,FALSE)</f>
        <v>-25600</v>
      </c>
      <c r="I99" s="56">
        <f>SUM(G99:H99)</f>
        <v>0</v>
      </c>
      <c r="J99" s="65">
        <f>HLOOKUP($J$4,WAB_CIN_PK,18,FALSE)</f>
        <v>25600</v>
      </c>
      <c r="K99" s="66">
        <f>HLOOKUP($J$4,WAB_CIN_PK,17,FALSE)</f>
        <v>-25600</v>
      </c>
      <c r="L99" s="56">
        <f>SUM(J99:K99)</f>
        <v>0</v>
      </c>
      <c r="M99" s="65">
        <f>HLOOKUP($M$4,WAB_CIN_PK,18,FALSE)</f>
        <v>25600</v>
      </c>
      <c r="N99" s="66">
        <f>HLOOKUP($M$4,WAB_CIN_PK,17,FALSE)</f>
        <v>-25600</v>
      </c>
      <c r="O99" s="56">
        <f>SUM(M99:N99)</f>
        <v>0</v>
      </c>
      <c r="P99" s="45">
        <f>HLOOKUP($P$4,WAB_CIN_PK,18,FALSE)</f>
        <v>25600</v>
      </c>
      <c r="Q99" s="46">
        <f>HLOOKUP($P$4,WAB_CIN_PK,17,FALSE)</f>
        <v>-17600</v>
      </c>
      <c r="R99" s="44">
        <f>F99</f>
        <v>8000</v>
      </c>
      <c r="S99" s="45">
        <f>HLOOKUP($S$4,WAB_CIN_PK,18,FALSE)</f>
        <v>25600</v>
      </c>
      <c r="T99" s="46">
        <f>HLOOKUP($S$4,WAB_CIN_PK,17,FALSE)</f>
        <v>-17600</v>
      </c>
      <c r="U99" s="44">
        <f>R99</f>
        <v>8000</v>
      </c>
      <c r="V99" s="65">
        <f>HLOOKUP($V$4,WAB_CIN_PK,18,FALSE)</f>
        <v>25600</v>
      </c>
      <c r="W99" s="66">
        <f>HLOOKUP($V$4,WAB_CIN_PK,17,FALSE)</f>
        <v>-25600</v>
      </c>
      <c r="X99" s="56">
        <f>SUM(V99:W99)</f>
        <v>0</v>
      </c>
      <c r="Y99" s="65">
        <f>SUM(D99,G99,J99,M99,P99,S99,V99)</f>
        <v>179200</v>
      </c>
      <c r="Z99" s="66">
        <f>SUM(E99,H99,K99,N99,Q99,T99,W99)</f>
        <v>-155200</v>
      </c>
      <c r="AA99" s="56">
        <f>SUM(Y99:Z99)</f>
        <v>24000</v>
      </c>
    </row>
    <row r="100" spans="1:29" customFormat="1" x14ac:dyDescent="0.2">
      <c r="A100" t="s">
        <v>32</v>
      </c>
      <c r="B100" t="s">
        <v>64</v>
      </c>
      <c r="C100" t="s">
        <v>76</v>
      </c>
      <c r="D100" s="45">
        <f>HLOOKUP($D$4,WAB_CIN_OFF,18,FALSE)</f>
        <v>12800</v>
      </c>
      <c r="E100" s="46">
        <f>HLOOKUP($D$4,WAB_CIN_OFF,17,FALSE)</f>
        <v>-8800</v>
      </c>
      <c r="F100" s="44">
        <f>SUM(D100:E100)</f>
        <v>4000</v>
      </c>
      <c r="G100" s="65">
        <f>HLOOKUP($G$4,WAB_CIN_OFF,18,FALSE)</f>
        <v>12800</v>
      </c>
      <c r="H100" s="66">
        <f>HLOOKUP($G$4,WAB_CIN_OFF,17,FALSE)</f>
        <v>-8800</v>
      </c>
      <c r="I100" s="56">
        <f>SUM(G100:H100)</f>
        <v>4000</v>
      </c>
      <c r="J100" s="65">
        <f>HLOOKUP($J$4,WAB_CIN_OFF,18,FALSE)</f>
        <v>12800</v>
      </c>
      <c r="K100" s="66">
        <f>HLOOKUP($J$4,WAB_CIN_OFF,17,FALSE)</f>
        <v>-8800</v>
      </c>
      <c r="L100" s="56">
        <f>SUM(J100:K100)</f>
        <v>4000</v>
      </c>
      <c r="M100" s="65">
        <f>HLOOKUP($M$4,WAB_CIN_OFF,18,FALSE)</f>
        <v>12800</v>
      </c>
      <c r="N100" s="66">
        <f>HLOOKUP($M$4,WAB_CIN_OFF,17,FALSE)</f>
        <v>-8800</v>
      </c>
      <c r="O100" s="56">
        <f>SUM(M100:N100)</f>
        <v>4000</v>
      </c>
      <c r="P100" s="45">
        <f>HLOOKUP($P$4,WAB_CIN_OFF,18,FALSE)</f>
        <v>12800</v>
      </c>
      <c r="Q100" s="46">
        <f>HLOOKUP($P$4,WAB_CIN_OFF,17,FALSE)</f>
        <v>-8800</v>
      </c>
      <c r="R100" s="44">
        <f>F100</f>
        <v>4000</v>
      </c>
      <c r="S100" s="45">
        <f>HLOOKUP($S$4,WAB_CIN_OFF,18,FALSE)</f>
        <v>12800</v>
      </c>
      <c r="T100" s="46">
        <f>HLOOKUP($S$4,WAB_CIN_OFF,17,FALSE)</f>
        <v>-8800</v>
      </c>
      <c r="U100" s="44">
        <f>R100</f>
        <v>4000</v>
      </c>
      <c r="V100" s="65">
        <f>HLOOKUP($V$4,WAB_CIN_OFF,18,FALSE)</f>
        <v>12800</v>
      </c>
      <c r="W100" s="66">
        <f>HLOOKUP($V$4,WAB_CIN_OFF,17,FALSE)</f>
        <v>-8800</v>
      </c>
      <c r="X100" s="56">
        <f>SUM(V100:W100)</f>
        <v>4000</v>
      </c>
      <c r="Y100" s="65">
        <f>SUM(D100,G100,J100,M100,P100,S100,V100)</f>
        <v>89600</v>
      </c>
      <c r="Z100" s="66">
        <f>SUM(E100,H100,K100,N100,Q100,T100,W100)</f>
        <v>-61600</v>
      </c>
      <c r="AA100" s="56">
        <f>SUM(Y100:Z100)</f>
        <v>28000</v>
      </c>
    </row>
    <row r="101" spans="1:29" customFormat="1" ht="6" customHeight="1" x14ac:dyDescent="0.2">
      <c r="D101" s="74"/>
      <c r="E101" s="72"/>
      <c r="F101" s="73"/>
      <c r="G101" s="83"/>
      <c r="H101" s="84"/>
      <c r="I101" s="85"/>
      <c r="J101" s="83"/>
      <c r="K101" s="84"/>
      <c r="L101" s="85"/>
      <c r="M101" s="83"/>
      <c r="N101" s="84"/>
      <c r="O101" s="85"/>
      <c r="P101" s="74"/>
      <c r="Q101" s="72"/>
      <c r="R101" s="73"/>
      <c r="S101" s="74"/>
      <c r="T101" s="72"/>
      <c r="U101" s="73"/>
      <c r="V101" s="83"/>
      <c r="W101" s="84"/>
      <c r="X101" s="85"/>
      <c r="Y101" s="83"/>
      <c r="Z101" s="84"/>
      <c r="AA101" s="85"/>
    </row>
    <row r="102" spans="1:29" customFormat="1" x14ac:dyDescent="0.2">
      <c r="A102" s="1" t="s">
        <v>32</v>
      </c>
      <c r="B102" s="31" t="s">
        <v>73</v>
      </c>
      <c r="D102" s="45">
        <f t="shared" ref="D102:AA102" si="33">SUM(D99:D100)</f>
        <v>38400</v>
      </c>
      <c r="E102" s="46">
        <f t="shared" si="33"/>
        <v>-26400</v>
      </c>
      <c r="F102" s="44">
        <f t="shared" si="33"/>
        <v>12000</v>
      </c>
      <c r="G102" s="65">
        <f t="shared" si="33"/>
        <v>38400</v>
      </c>
      <c r="H102" s="66">
        <f t="shared" si="33"/>
        <v>-34400</v>
      </c>
      <c r="I102" s="56">
        <f t="shared" si="33"/>
        <v>4000</v>
      </c>
      <c r="J102" s="65">
        <f t="shared" si="33"/>
        <v>38400</v>
      </c>
      <c r="K102" s="66">
        <f t="shared" si="33"/>
        <v>-34400</v>
      </c>
      <c r="L102" s="56">
        <f t="shared" si="33"/>
        <v>4000</v>
      </c>
      <c r="M102" s="65">
        <f t="shared" si="33"/>
        <v>38400</v>
      </c>
      <c r="N102" s="66">
        <f t="shared" si="33"/>
        <v>-34400</v>
      </c>
      <c r="O102" s="56">
        <f t="shared" si="33"/>
        <v>4000</v>
      </c>
      <c r="P102" s="45">
        <f t="shared" si="33"/>
        <v>38400</v>
      </c>
      <c r="Q102" s="46">
        <f t="shared" si="33"/>
        <v>-26400</v>
      </c>
      <c r="R102" s="44">
        <f t="shared" si="33"/>
        <v>12000</v>
      </c>
      <c r="S102" s="45">
        <f t="shared" si="33"/>
        <v>38400</v>
      </c>
      <c r="T102" s="46">
        <f t="shared" si="33"/>
        <v>-26400</v>
      </c>
      <c r="U102" s="44">
        <f t="shared" si="33"/>
        <v>12000</v>
      </c>
      <c r="V102" s="65">
        <f t="shared" si="33"/>
        <v>38400</v>
      </c>
      <c r="W102" s="66">
        <f t="shared" si="33"/>
        <v>-34400</v>
      </c>
      <c r="X102" s="56">
        <f t="shared" si="33"/>
        <v>4000</v>
      </c>
      <c r="Y102" s="65">
        <f t="shared" si="33"/>
        <v>268800</v>
      </c>
      <c r="Z102" s="66">
        <f t="shared" si="33"/>
        <v>-216800</v>
      </c>
      <c r="AA102" s="56">
        <f t="shared" si="33"/>
        <v>52000</v>
      </c>
    </row>
    <row r="103" spans="1:29" customFormat="1" x14ac:dyDescent="0.2">
      <c r="D103" s="68"/>
      <c r="E103" s="69"/>
      <c r="F103" s="69"/>
      <c r="G103" s="80"/>
      <c r="H103" s="81"/>
      <c r="I103" s="81"/>
      <c r="J103" s="80"/>
      <c r="K103" s="81"/>
      <c r="L103" s="81"/>
      <c r="M103" s="80"/>
      <c r="N103" s="81"/>
      <c r="O103" s="81"/>
      <c r="P103" s="68"/>
      <c r="Q103" s="69"/>
      <c r="R103" s="69"/>
      <c r="S103" s="68"/>
      <c r="T103" s="69"/>
      <c r="U103" s="69"/>
      <c r="V103" s="80"/>
      <c r="W103" s="81"/>
      <c r="X103" s="81"/>
      <c r="Y103" s="80"/>
      <c r="Z103" s="81"/>
      <c r="AA103" s="82"/>
    </row>
    <row r="104" spans="1:29" customFormat="1" x14ac:dyDescent="0.2">
      <c r="D104" s="45"/>
      <c r="E104" s="46"/>
      <c r="F104" s="46"/>
      <c r="G104" s="65"/>
      <c r="H104" s="66"/>
      <c r="I104" s="66"/>
      <c r="J104" s="65"/>
      <c r="K104" s="66"/>
      <c r="L104" s="66"/>
      <c r="M104" s="65"/>
      <c r="N104" s="66"/>
      <c r="O104" s="66"/>
      <c r="P104" s="45"/>
      <c r="Q104" s="46"/>
      <c r="R104" s="46"/>
      <c r="S104" s="45"/>
      <c r="T104" s="46"/>
      <c r="U104" s="46"/>
      <c r="V104" s="65"/>
      <c r="W104" s="66"/>
      <c r="X104" s="66"/>
      <c r="Y104" s="65"/>
      <c r="Z104" s="66"/>
      <c r="AA104" s="56"/>
    </row>
    <row r="105" spans="1:29" customFormat="1" ht="15.75" x14ac:dyDescent="0.25">
      <c r="A105" s="75" t="s">
        <v>87</v>
      </c>
      <c r="D105" s="71">
        <f>SUMIF($B$6:$B$102,"Total",D$6:D$102)</f>
        <v>2479347.6</v>
      </c>
      <c r="E105" s="72">
        <f t="shared" ref="E105:AA105" si="34">SUMIF($B$6:$B$102,"Total",E$6:E$102)</f>
        <v>-1737292</v>
      </c>
      <c r="F105" s="72">
        <f t="shared" si="34"/>
        <v>742055.60000000009</v>
      </c>
      <c r="G105" s="86">
        <f t="shared" si="34"/>
        <v>8227511.5999999996</v>
      </c>
      <c r="H105" s="84">
        <f t="shared" si="34"/>
        <v>-7334996</v>
      </c>
      <c r="I105" s="84">
        <f t="shared" si="34"/>
        <v>892515.60000000009</v>
      </c>
      <c r="J105" s="86">
        <f t="shared" si="34"/>
        <v>8227511.5999999996</v>
      </c>
      <c r="K105" s="84">
        <f t="shared" si="34"/>
        <v>-7334996</v>
      </c>
      <c r="L105" s="84">
        <f t="shared" si="34"/>
        <v>892515.60000000009</v>
      </c>
      <c r="M105" s="86">
        <f t="shared" si="34"/>
        <v>8227511.5999999996</v>
      </c>
      <c r="N105" s="84">
        <f t="shared" si="34"/>
        <v>-7334996</v>
      </c>
      <c r="O105" s="84">
        <f t="shared" si="34"/>
        <v>892515.60000000009</v>
      </c>
      <c r="P105" s="71">
        <f t="shared" si="34"/>
        <v>2479347.6</v>
      </c>
      <c r="Q105" s="72">
        <f t="shared" si="34"/>
        <v>-1737292</v>
      </c>
      <c r="R105" s="72">
        <f t="shared" si="34"/>
        <v>742055.60000000009</v>
      </c>
      <c r="S105" s="71">
        <f t="shared" si="34"/>
        <v>2479347.6</v>
      </c>
      <c r="T105" s="72">
        <f t="shared" si="34"/>
        <v>-1737292</v>
      </c>
      <c r="U105" s="72">
        <f t="shared" si="34"/>
        <v>742055.60000000009</v>
      </c>
      <c r="V105" s="86">
        <f t="shared" si="34"/>
        <v>8227511.5999999996</v>
      </c>
      <c r="W105" s="84">
        <f t="shared" si="34"/>
        <v>-7334996</v>
      </c>
      <c r="X105" s="99">
        <f t="shared" si="34"/>
        <v>892515.60000000009</v>
      </c>
      <c r="Y105" s="86">
        <f t="shared" si="34"/>
        <v>33627939.200000003</v>
      </c>
      <c r="Z105" s="84">
        <f t="shared" si="34"/>
        <v>-29649860</v>
      </c>
      <c r="AA105" s="102">
        <f t="shared" si="34"/>
        <v>3978079.2</v>
      </c>
      <c r="AB105" s="100" t="s">
        <v>89</v>
      </c>
      <c r="AC105" s="64"/>
    </row>
    <row r="106" spans="1:29" customFormat="1" x14ac:dyDescent="0.2">
      <c r="D106" s="47"/>
      <c r="E106" s="48"/>
      <c r="F106" s="49"/>
      <c r="G106" s="87"/>
      <c r="H106" s="76"/>
      <c r="I106" s="88"/>
      <c r="J106" s="87"/>
      <c r="K106" s="76"/>
      <c r="L106" s="88"/>
      <c r="M106" s="87"/>
      <c r="N106" s="76"/>
      <c r="O106" s="88"/>
      <c r="P106" s="47"/>
      <c r="Q106" s="48"/>
      <c r="R106" s="49"/>
      <c r="S106" s="47"/>
      <c r="T106" s="48"/>
      <c r="U106" s="49"/>
      <c r="V106" s="87"/>
      <c r="W106" s="76"/>
      <c r="X106" s="88"/>
      <c r="Y106" s="87"/>
      <c r="Z106" s="76"/>
      <c r="AA106" s="88"/>
    </row>
    <row r="107" spans="1:29" customFormat="1" x14ac:dyDescent="0.2">
      <c r="D107" s="47"/>
      <c r="E107" s="48"/>
      <c r="F107" s="49"/>
      <c r="G107" s="87"/>
      <c r="H107" s="76"/>
      <c r="I107" s="88"/>
      <c r="J107" s="87"/>
      <c r="K107" s="76"/>
      <c r="L107" s="88"/>
      <c r="M107" s="87"/>
      <c r="N107" s="76"/>
      <c r="O107" s="88"/>
      <c r="P107" s="47"/>
      <c r="Q107" s="48"/>
      <c r="R107" s="49"/>
      <c r="S107" s="47"/>
      <c r="T107" s="48"/>
      <c r="U107" s="49"/>
      <c r="V107" s="87"/>
      <c r="W107" s="76"/>
      <c r="X107" s="88"/>
      <c r="Y107" s="87"/>
      <c r="Z107" s="76"/>
      <c r="AA107" s="88"/>
      <c r="AC107" s="37"/>
    </row>
    <row r="108" spans="1:29" customFormat="1" x14ac:dyDescent="0.2">
      <c r="A108" s="31" t="s">
        <v>79</v>
      </c>
      <c r="D108" s="47">
        <f t="shared" ref="D108:AA108" si="35">SUMIF($B$6:$B$102,"PJM",D$6:D$102)</f>
        <v>28620</v>
      </c>
      <c r="E108" s="48">
        <f t="shared" si="35"/>
        <v>-30900</v>
      </c>
      <c r="F108" s="49">
        <f t="shared" si="35"/>
        <v>-2280</v>
      </c>
      <c r="G108" s="87">
        <f t="shared" si="35"/>
        <v>1518924</v>
      </c>
      <c r="H108" s="76">
        <f t="shared" si="35"/>
        <v>-1461524</v>
      </c>
      <c r="I108" s="88">
        <f t="shared" si="35"/>
        <v>57400</v>
      </c>
      <c r="J108" s="87">
        <f t="shared" si="35"/>
        <v>1518924</v>
      </c>
      <c r="K108" s="76">
        <f t="shared" si="35"/>
        <v>-1461524</v>
      </c>
      <c r="L108" s="88">
        <f t="shared" si="35"/>
        <v>57400</v>
      </c>
      <c r="M108" s="87">
        <f t="shared" si="35"/>
        <v>1518924</v>
      </c>
      <c r="N108" s="76">
        <f t="shared" si="35"/>
        <v>-1461524</v>
      </c>
      <c r="O108" s="88">
        <f t="shared" si="35"/>
        <v>57400</v>
      </c>
      <c r="P108" s="47">
        <f t="shared" si="35"/>
        <v>28620</v>
      </c>
      <c r="Q108" s="48">
        <f t="shared" si="35"/>
        <v>-30900</v>
      </c>
      <c r="R108" s="49">
        <f t="shared" si="35"/>
        <v>-2280</v>
      </c>
      <c r="S108" s="47">
        <f t="shared" si="35"/>
        <v>28620</v>
      </c>
      <c r="T108" s="48">
        <f t="shared" si="35"/>
        <v>-30900</v>
      </c>
      <c r="U108" s="49">
        <f t="shared" si="35"/>
        <v>-2280</v>
      </c>
      <c r="V108" s="87">
        <f t="shared" si="35"/>
        <v>1518924</v>
      </c>
      <c r="W108" s="76">
        <f t="shared" si="35"/>
        <v>-1461524</v>
      </c>
      <c r="X108" s="88">
        <f t="shared" si="35"/>
        <v>57400</v>
      </c>
      <c r="Y108" s="87">
        <f t="shared" si="35"/>
        <v>6161556</v>
      </c>
      <c r="Z108" s="76">
        <f t="shared" si="35"/>
        <v>-5938796</v>
      </c>
      <c r="AA108" s="88">
        <f t="shared" si="35"/>
        <v>222760</v>
      </c>
    </row>
    <row r="109" spans="1:29" customFormat="1" x14ac:dyDescent="0.2">
      <c r="A109" s="31" t="s">
        <v>80</v>
      </c>
      <c r="D109" s="47">
        <f t="shared" ref="D109:AA109" si="36">SUMIF($B$6:$B$102,"NEPOOL",D$6:D$102)</f>
        <v>1667177.5999999999</v>
      </c>
      <c r="E109" s="48">
        <f t="shared" si="36"/>
        <v>-1146792</v>
      </c>
      <c r="F109" s="49">
        <f t="shared" si="36"/>
        <v>520385.60000000003</v>
      </c>
      <c r="G109" s="87">
        <f t="shared" si="36"/>
        <v>3221877.6</v>
      </c>
      <c r="H109" s="76">
        <f t="shared" si="36"/>
        <v>-2834792</v>
      </c>
      <c r="I109" s="88">
        <f t="shared" si="36"/>
        <v>387085.60000000003</v>
      </c>
      <c r="J109" s="87">
        <f t="shared" si="36"/>
        <v>3221877.6</v>
      </c>
      <c r="K109" s="76">
        <f t="shared" si="36"/>
        <v>-2834792</v>
      </c>
      <c r="L109" s="88">
        <f t="shared" si="36"/>
        <v>387085.60000000003</v>
      </c>
      <c r="M109" s="87">
        <f t="shared" si="36"/>
        <v>3221877.6</v>
      </c>
      <c r="N109" s="76">
        <f t="shared" si="36"/>
        <v>-2834792</v>
      </c>
      <c r="O109" s="88">
        <f t="shared" si="36"/>
        <v>387085.60000000003</v>
      </c>
      <c r="P109" s="47">
        <f t="shared" si="36"/>
        <v>1667177.5999999999</v>
      </c>
      <c r="Q109" s="48">
        <f t="shared" si="36"/>
        <v>-1146792</v>
      </c>
      <c r="R109" s="49">
        <f t="shared" si="36"/>
        <v>520385.60000000003</v>
      </c>
      <c r="S109" s="47">
        <f t="shared" si="36"/>
        <v>1667177.5999999999</v>
      </c>
      <c r="T109" s="48">
        <f t="shared" si="36"/>
        <v>-1146792</v>
      </c>
      <c r="U109" s="49">
        <f t="shared" si="36"/>
        <v>520385.60000000003</v>
      </c>
      <c r="V109" s="87">
        <f t="shared" si="36"/>
        <v>3221877.6</v>
      </c>
      <c r="W109" s="76">
        <f t="shared" si="36"/>
        <v>-2834792</v>
      </c>
      <c r="X109" s="88">
        <f t="shared" si="36"/>
        <v>387085.60000000003</v>
      </c>
      <c r="Y109" s="87">
        <f t="shared" si="36"/>
        <v>17889043.200000003</v>
      </c>
      <c r="Z109" s="76">
        <f t="shared" si="36"/>
        <v>-14779544</v>
      </c>
      <c r="AA109" s="88">
        <f t="shared" si="36"/>
        <v>3109499.2</v>
      </c>
    </row>
    <row r="110" spans="1:29" customFormat="1" x14ac:dyDescent="0.2">
      <c r="A110" s="31" t="s">
        <v>91</v>
      </c>
      <c r="D110" s="50">
        <f>D105-SUM(D108:D109)</f>
        <v>783550.00000000023</v>
      </c>
      <c r="E110" s="51">
        <f t="shared" ref="E110:X110" si="37">E105-SUM(E108:E109)</f>
        <v>-559600</v>
      </c>
      <c r="F110" s="52">
        <f t="shared" si="37"/>
        <v>223950.00000000006</v>
      </c>
      <c r="G110" s="89">
        <f t="shared" si="37"/>
        <v>3486710</v>
      </c>
      <c r="H110" s="90">
        <f t="shared" si="37"/>
        <v>-3038680</v>
      </c>
      <c r="I110" s="91">
        <f t="shared" si="37"/>
        <v>448030.00000000006</v>
      </c>
      <c r="J110" s="89">
        <f t="shared" si="37"/>
        <v>3486710</v>
      </c>
      <c r="K110" s="90">
        <f t="shared" si="37"/>
        <v>-3038680</v>
      </c>
      <c r="L110" s="91">
        <f t="shared" si="37"/>
        <v>448030.00000000006</v>
      </c>
      <c r="M110" s="89">
        <f t="shared" si="37"/>
        <v>3486710</v>
      </c>
      <c r="N110" s="90">
        <f t="shared" si="37"/>
        <v>-3038680</v>
      </c>
      <c r="O110" s="91">
        <f t="shared" si="37"/>
        <v>448030.00000000006</v>
      </c>
      <c r="P110" s="50">
        <f t="shared" si="37"/>
        <v>783550.00000000023</v>
      </c>
      <c r="Q110" s="51">
        <f t="shared" si="37"/>
        <v>-559600</v>
      </c>
      <c r="R110" s="52">
        <f t="shared" si="37"/>
        <v>223950.00000000006</v>
      </c>
      <c r="S110" s="50">
        <f t="shared" si="37"/>
        <v>783550.00000000023</v>
      </c>
      <c r="T110" s="51">
        <f t="shared" si="37"/>
        <v>-559600</v>
      </c>
      <c r="U110" s="52">
        <f t="shared" si="37"/>
        <v>223950.00000000006</v>
      </c>
      <c r="V110" s="89">
        <f t="shared" si="37"/>
        <v>3486710</v>
      </c>
      <c r="W110" s="90">
        <f t="shared" si="37"/>
        <v>-3038680</v>
      </c>
      <c r="X110" s="91">
        <f t="shared" si="37"/>
        <v>448030.00000000006</v>
      </c>
      <c r="Y110" s="89">
        <f>Y105-SUM(Y108:Y109)</f>
        <v>9577340</v>
      </c>
      <c r="Z110" s="90">
        <f>Z105-SUM(Z108:Z109)</f>
        <v>-8931520</v>
      </c>
      <c r="AA110" s="91">
        <f>AA105-SUM(AA108:AA109)</f>
        <v>645820</v>
      </c>
    </row>
    <row r="111" spans="1:29" customFormat="1" ht="13.5" thickBot="1" x14ac:dyDescent="0.25">
      <c r="A111" s="31" t="s">
        <v>81</v>
      </c>
      <c r="D111" s="53">
        <f t="shared" ref="D111:AA111" si="38">SUM(D108:D110)</f>
        <v>2479347.6</v>
      </c>
      <c r="E111" s="54">
        <f t="shared" si="38"/>
        <v>-1737292</v>
      </c>
      <c r="F111" s="55">
        <f t="shared" si="38"/>
        <v>742055.60000000009</v>
      </c>
      <c r="G111" s="92">
        <f t="shared" si="38"/>
        <v>8227511.5999999996</v>
      </c>
      <c r="H111" s="93">
        <f t="shared" si="38"/>
        <v>-7334996</v>
      </c>
      <c r="I111" s="94">
        <f t="shared" si="38"/>
        <v>892515.60000000009</v>
      </c>
      <c r="J111" s="92">
        <f t="shared" si="38"/>
        <v>8227511.5999999996</v>
      </c>
      <c r="K111" s="93">
        <f t="shared" si="38"/>
        <v>-7334996</v>
      </c>
      <c r="L111" s="94">
        <f t="shared" si="38"/>
        <v>892515.60000000009</v>
      </c>
      <c r="M111" s="92">
        <f t="shared" si="38"/>
        <v>8227511.5999999996</v>
      </c>
      <c r="N111" s="93">
        <f t="shared" si="38"/>
        <v>-7334996</v>
      </c>
      <c r="O111" s="94">
        <f t="shared" si="38"/>
        <v>892515.60000000009</v>
      </c>
      <c r="P111" s="53">
        <f t="shared" si="38"/>
        <v>2479347.6</v>
      </c>
      <c r="Q111" s="54">
        <f t="shared" si="38"/>
        <v>-1737292</v>
      </c>
      <c r="R111" s="55">
        <f t="shared" si="38"/>
        <v>742055.60000000009</v>
      </c>
      <c r="S111" s="53">
        <f t="shared" si="38"/>
        <v>2479347.6</v>
      </c>
      <c r="T111" s="54">
        <f t="shared" si="38"/>
        <v>-1737292</v>
      </c>
      <c r="U111" s="55">
        <f t="shared" si="38"/>
        <v>742055.60000000009</v>
      </c>
      <c r="V111" s="92">
        <f t="shared" si="38"/>
        <v>8227511.5999999996</v>
      </c>
      <c r="W111" s="93">
        <f t="shared" si="38"/>
        <v>-7334996</v>
      </c>
      <c r="X111" s="94">
        <f t="shared" si="38"/>
        <v>892515.60000000009</v>
      </c>
      <c r="Y111" s="92">
        <f t="shared" si="38"/>
        <v>33627939.200000003</v>
      </c>
      <c r="Z111" s="93">
        <f t="shared" si="38"/>
        <v>-29649860</v>
      </c>
      <c r="AA111" s="94">
        <f t="shared" si="38"/>
        <v>3978079.2</v>
      </c>
    </row>
    <row r="112" spans="1:29" x14ac:dyDescent="0.2"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 spans="1:27" s="31" customFormat="1" x14ac:dyDescent="0.2">
      <c r="A113" s="31" t="s">
        <v>90</v>
      </c>
      <c r="D113" s="38">
        <f>D110-D97-D28</f>
        <v>783550.00000000023</v>
      </c>
      <c r="E113" s="39">
        <f>E110-E97-E28</f>
        <v>-557200</v>
      </c>
      <c r="F113" s="40">
        <f>E113+D113</f>
        <v>226350.00000000023</v>
      </c>
      <c r="G113" s="103">
        <f>G110-G97-G28</f>
        <v>3016878</v>
      </c>
      <c r="H113" s="104">
        <f>H110-H97-H28</f>
        <v>-2452744</v>
      </c>
      <c r="I113" s="97">
        <f>H113+G113</f>
        <v>564134</v>
      </c>
      <c r="J113" s="103">
        <f>J110-J97-J28</f>
        <v>3016878</v>
      </c>
      <c r="K113" s="104">
        <f>K110-K97-K28</f>
        <v>-2452744</v>
      </c>
      <c r="L113" s="97">
        <f>K113+J113</f>
        <v>564134</v>
      </c>
      <c r="M113" s="103">
        <f>M110-M97-M28</f>
        <v>3016878</v>
      </c>
      <c r="N113" s="104">
        <f>N110-N97-N28</f>
        <v>-2452744</v>
      </c>
      <c r="O113" s="97">
        <f>N113+M113</f>
        <v>564134</v>
      </c>
      <c r="P113" s="38">
        <f>P110-P97-P28</f>
        <v>783550.00000000023</v>
      </c>
      <c r="Q113" s="39">
        <f>Q110-Q97-Q28</f>
        <v>-557200</v>
      </c>
      <c r="R113" s="40">
        <f>Q113+P113</f>
        <v>226350.00000000023</v>
      </c>
      <c r="S113" s="38">
        <f>S110-S97-S28</f>
        <v>783550.00000000023</v>
      </c>
      <c r="T113" s="39">
        <f>T110-T97-T28</f>
        <v>-557200</v>
      </c>
      <c r="U113" s="40">
        <f>T113+S113</f>
        <v>226350.00000000023</v>
      </c>
      <c r="V113" s="103">
        <f>V110-V97-V28</f>
        <v>3016878</v>
      </c>
      <c r="W113" s="104">
        <f>W110-W97-W28</f>
        <v>-2452744</v>
      </c>
      <c r="X113" s="97">
        <f>W113+V113</f>
        <v>564134</v>
      </c>
      <c r="Y113" s="103">
        <f>Y110-Y97-Y28</f>
        <v>7698012</v>
      </c>
      <c r="Z113" s="104">
        <f>Z110-Z97-Z28</f>
        <v>-6580576</v>
      </c>
      <c r="AA113" s="97">
        <f>Z113+Y113</f>
        <v>1117436</v>
      </c>
    </row>
    <row r="114" spans="1:27" s="31" customFormat="1" ht="25.5" x14ac:dyDescent="0.2">
      <c r="A114" s="98" t="s">
        <v>92</v>
      </c>
      <c r="B114" s="98"/>
      <c r="C114" s="98"/>
      <c r="D114" s="38">
        <f>SUM(D108:D109,D113)</f>
        <v>2479347.6</v>
      </c>
      <c r="E114" s="39">
        <f t="shared" ref="E114:AA114" si="39">SUM(E108:E109,E113)</f>
        <v>-1734892</v>
      </c>
      <c r="F114" s="40">
        <f t="shared" si="39"/>
        <v>744455.60000000033</v>
      </c>
      <c r="G114" s="95">
        <f t="shared" si="39"/>
        <v>7757679.5999999996</v>
      </c>
      <c r="H114" s="96">
        <f t="shared" si="39"/>
        <v>-6749060</v>
      </c>
      <c r="I114" s="97">
        <f t="shared" si="39"/>
        <v>1008619.6000000001</v>
      </c>
      <c r="J114" s="95">
        <f t="shared" si="39"/>
        <v>7757679.5999999996</v>
      </c>
      <c r="K114" s="96">
        <f t="shared" si="39"/>
        <v>-6749060</v>
      </c>
      <c r="L114" s="97">
        <f t="shared" si="39"/>
        <v>1008619.6000000001</v>
      </c>
      <c r="M114" s="95">
        <f t="shared" si="39"/>
        <v>7757679.5999999996</v>
      </c>
      <c r="N114" s="96">
        <f t="shared" si="39"/>
        <v>-6749060</v>
      </c>
      <c r="O114" s="97">
        <f t="shared" si="39"/>
        <v>1008619.6000000001</v>
      </c>
      <c r="P114" s="38">
        <f t="shared" si="39"/>
        <v>2479347.6</v>
      </c>
      <c r="Q114" s="39">
        <f t="shared" si="39"/>
        <v>-1734892</v>
      </c>
      <c r="R114" s="40">
        <f t="shared" si="39"/>
        <v>744455.60000000033</v>
      </c>
      <c r="S114" s="38">
        <f t="shared" si="39"/>
        <v>2479347.6</v>
      </c>
      <c r="T114" s="39">
        <f t="shared" si="39"/>
        <v>-1734892</v>
      </c>
      <c r="U114" s="40">
        <f t="shared" si="39"/>
        <v>744455.60000000033</v>
      </c>
      <c r="V114" s="95">
        <f t="shared" si="39"/>
        <v>7757679.5999999996</v>
      </c>
      <c r="W114" s="96">
        <f t="shared" si="39"/>
        <v>-6749060</v>
      </c>
      <c r="X114" s="97">
        <f t="shared" si="39"/>
        <v>1008619.6000000001</v>
      </c>
      <c r="Y114" s="95">
        <f t="shared" si="39"/>
        <v>31748611.200000003</v>
      </c>
      <c r="Z114" s="96">
        <f t="shared" si="39"/>
        <v>-27298916</v>
      </c>
      <c r="AA114" s="97">
        <f t="shared" si="39"/>
        <v>4449695.2</v>
      </c>
    </row>
    <row r="117" spans="1:27" x14ac:dyDescent="0.2">
      <c r="AA117" s="76"/>
    </row>
  </sheetData>
  <mergeCells count="6">
    <mergeCell ref="V4:X4"/>
    <mergeCell ref="Y4:AA4"/>
    <mergeCell ref="J4:L4"/>
    <mergeCell ref="M4:O4"/>
    <mergeCell ref="P4:R4"/>
    <mergeCell ref="S4:U4"/>
  </mergeCells>
  <phoneticPr fontId="0" type="noConversion"/>
  <conditionalFormatting sqref="Z1:AA3 Y1:Y5 AB1:IV1048576 A1:X1048576 Z5:AA5 Y6:AA65536">
    <cfRule type="cellIs" dxfId="2" priority="1" stopIfTrue="1" operator="lessThan">
      <formula>0</formula>
    </cfRule>
  </conditionalFormatting>
  <pageMargins left="0.23" right="0.16" top="0.33" bottom="0.63" header="0.24" footer="0.5"/>
  <pageSetup paperSize="5" scale="3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900"/>
  <sheetViews>
    <sheetView zoomScale="78" workbookViewId="0">
      <selection activeCell="AK43" sqref="AK43"/>
    </sheetView>
  </sheetViews>
  <sheetFormatPr defaultRowHeight="12.75" x14ac:dyDescent="0.2"/>
  <cols>
    <col min="1" max="1" width="14.85546875" style="1" bestFit="1" customWidth="1"/>
    <col min="2" max="2" width="33.5703125" style="2" bestFit="1" customWidth="1"/>
    <col min="3" max="4" width="14.28515625" style="2" bestFit="1" customWidth="1"/>
    <col min="5" max="5" width="14.28515625" style="3" bestFit="1" customWidth="1"/>
    <col min="6" max="6" width="14.28515625" style="2" bestFit="1" customWidth="1"/>
    <col min="7" max="9" width="14.28515625" style="4" bestFit="1" customWidth="1"/>
    <col min="10" max="10" width="15.85546875" style="25" bestFit="1" customWidth="1"/>
    <col min="11" max="11" width="14" style="2" bestFit="1" customWidth="1"/>
    <col min="12" max="12" width="10.5703125" style="2" bestFit="1" customWidth="1"/>
    <col min="13" max="13" width="14" style="2" bestFit="1" customWidth="1"/>
    <col min="14" max="14" width="12.28515625" style="2" bestFit="1" customWidth="1"/>
    <col min="15" max="15" width="14" style="2" bestFit="1" customWidth="1"/>
    <col min="16" max="22" width="9.140625" style="2"/>
    <col min="23" max="23" width="8.85546875" style="2" customWidth="1"/>
    <col min="24" max="16384" width="9.140625" style="2"/>
  </cols>
  <sheetData>
    <row r="1" spans="1:11" x14ac:dyDescent="0.2">
      <c r="C1" s="1" t="s">
        <v>78</v>
      </c>
      <c r="D1" s="1" t="s">
        <v>88</v>
      </c>
      <c r="E1" s="1" t="s">
        <v>73</v>
      </c>
    </row>
    <row r="2" spans="1:11" x14ac:dyDescent="0.2">
      <c r="C2" s="11">
        <f>SUM(J6:J666)</f>
        <v>3232692.8000000003</v>
      </c>
      <c r="D2" s="11">
        <f>SUM(J677:J900)</f>
        <v>745386.4</v>
      </c>
      <c r="E2" s="11">
        <f>SUM(C2:D2)</f>
        <v>3978079.2</v>
      </c>
    </row>
    <row r="3" spans="1:11" ht="13.5" thickBot="1" x14ac:dyDescent="0.25">
      <c r="J3" s="3"/>
    </row>
    <row r="4" spans="1:11" ht="20.25" thickBot="1" x14ac:dyDescent="0.35">
      <c r="A4" s="111" t="s">
        <v>0</v>
      </c>
      <c r="B4" s="112"/>
      <c r="C4" s="112"/>
      <c r="D4" s="112"/>
      <c r="E4" s="112"/>
      <c r="F4" s="112"/>
      <c r="G4" s="112"/>
      <c r="H4" s="112"/>
      <c r="I4" s="112"/>
      <c r="J4" s="113"/>
    </row>
    <row r="5" spans="1:11" x14ac:dyDescent="0.2">
      <c r="J5" s="3"/>
    </row>
    <row r="6" spans="1:11" s="1" customFormat="1" x14ac:dyDescent="0.2">
      <c r="A6" s="1" t="s">
        <v>1</v>
      </c>
      <c r="B6" s="5" t="s">
        <v>2</v>
      </c>
      <c r="C6" s="28">
        <v>37257</v>
      </c>
      <c r="D6" s="6">
        <v>37258</v>
      </c>
      <c r="E6" s="6">
        <v>37259</v>
      </c>
      <c r="F6" s="6">
        <v>37260</v>
      </c>
      <c r="G6" s="28">
        <v>37261</v>
      </c>
      <c r="H6" s="28">
        <v>37262</v>
      </c>
      <c r="I6" s="6">
        <v>37263</v>
      </c>
      <c r="J6" s="8"/>
      <c r="K6" s="7"/>
    </row>
    <row r="7" spans="1:11" x14ac:dyDescent="0.2">
      <c r="B7" s="1" t="s">
        <v>3</v>
      </c>
      <c r="C7" s="2">
        <v>50</v>
      </c>
      <c r="D7" s="19">
        <v>850</v>
      </c>
      <c r="E7" s="19">
        <v>850</v>
      </c>
      <c r="F7" s="19">
        <v>850</v>
      </c>
      <c r="G7" s="2">
        <v>50</v>
      </c>
      <c r="H7" s="2">
        <v>50</v>
      </c>
      <c r="I7" s="19">
        <v>850</v>
      </c>
      <c r="K7" s="4"/>
    </row>
    <row r="8" spans="1:11" x14ac:dyDescent="0.2">
      <c r="B8" s="8" t="s">
        <v>4</v>
      </c>
      <c r="C8" s="3">
        <v>23.75</v>
      </c>
      <c r="D8" s="10">
        <v>38.049999999999997</v>
      </c>
      <c r="E8" s="10">
        <v>38.049999999999997</v>
      </c>
      <c r="F8" s="10">
        <v>38.049999999999997</v>
      </c>
      <c r="G8" s="3">
        <v>23.75</v>
      </c>
      <c r="H8" s="3">
        <v>23.75</v>
      </c>
      <c r="I8" s="10">
        <v>38.049999999999997</v>
      </c>
      <c r="K8" s="4"/>
    </row>
    <row r="9" spans="1:11" x14ac:dyDescent="0.2">
      <c r="B9" s="1" t="s">
        <v>5</v>
      </c>
      <c r="C9" s="2">
        <v>50</v>
      </c>
      <c r="D9" s="19">
        <v>900</v>
      </c>
      <c r="E9" s="19">
        <v>900</v>
      </c>
      <c r="F9" s="19">
        <v>900</v>
      </c>
      <c r="G9" s="2">
        <v>50</v>
      </c>
      <c r="H9" s="2">
        <v>50</v>
      </c>
      <c r="I9" s="19">
        <v>900</v>
      </c>
      <c r="K9" s="4"/>
    </row>
    <row r="10" spans="1:11" x14ac:dyDescent="0.2">
      <c r="B10" s="8" t="s">
        <v>4</v>
      </c>
      <c r="C10" s="3">
        <v>23.85</v>
      </c>
      <c r="D10" s="10">
        <v>40.98</v>
      </c>
      <c r="E10" s="10">
        <v>40.98</v>
      </c>
      <c r="F10" s="10">
        <v>40.98</v>
      </c>
      <c r="G10" s="3">
        <v>23.85</v>
      </c>
      <c r="H10" s="3">
        <v>23.85</v>
      </c>
      <c r="I10" s="10">
        <v>40.98</v>
      </c>
      <c r="K10" s="4"/>
    </row>
    <row r="11" spans="1:11" x14ac:dyDescent="0.2">
      <c r="B11" s="7" t="s">
        <v>6</v>
      </c>
      <c r="C11" s="4">
        <f t="shared" ref="C11:I11" si="0">C7-C9</f>
        <v>0</v>
      </c>
      <c r="D11" s="4">
        <f t="shared" si="0"/>
        <v>-50</v>
      </c>
      <c r="E11" s="4">
        <f t="shared" si="0"/>
        <v>-50</v>
      </c>
      <c r="F11" s="4">
        <f t="shared" si="0"/>
        <v>-50</v>
      </c>
      <c r="G11" s="4">
        <f t="shared" si="0"/>
        <v>0</v>
      </c>
      <c r="H11" s="4">
        <f t="shared" si="0"/>
        <v>0</v>
      </c>
      <c r="I11" s="4">
        <f t="shared" si="0"/>
        <v>-50</v>
      </c>
      <c r="K11" s="4"/>
    </row>
    <row r="12" spans="1:11" x14ac:dyDescent="0.2">
      <c r="B12" s="9" t="s">
        <v>7</v>
      </c>
      <c r="C12" s="10">
        <v>22</v>
      </c>
      <c r="D12" s="29">
        <v>28</v>
      </c>
      <c r="E12" s="29">
        <v>28</v>
      </c>
      <c r="F12" s="29">
        <v>28</v>
      </c>
      <c r="G12" s="10">
        <v>22</v>
      </c>
      <c r="H12" s="10">
        <v>22</v>
      </c>
      <c r="I12" s="29">
        <v>28</v>
      </c>
      <c r="K12" s="4"/>
    </row>
    <row r="13" spans="1:11" x14ac:dyDescent="0.2">
      <c r="B13" s="9"/>
      <c r="C13" s="11"/>
      <c r="D13" s="19"/>
      <c r="E13" s="19"/>
      <c r="F13" s="10"/>
      <c r="G13" s="10"/>
      <c r="H13" s="21"/>
      <c r="K13" s="4"/>
    </row>
    <row r="14" spans="1:11" x14ac:dyDescent="0.2">
      <c r="B14" s="9" t="s">
        <v>8</v>
      </c>
      <c r="C14" s="12">
        <f>(C7*C8)*(-1)</f>
        <v>-1187.5</v>
      </c>
      <c r="D14" s="12">
        <f t="shared" ref="D14:I14" si="1">(D7*D8)*(-1)</f>
        <v>-32342.499999999996</v>
      </c>
      <c r="E14" s="12">
        <f t="shared" si="1"/>
        <v>-32342.499999999996</v>
      </c>
      <c r="F14" s="12">
        <f t="shared" si="1"/>
        <v>-32342.499999999996</v>
      </c>
      <c r="G14" s="12">
        <f t="shared" si="1"/>
        <v>-1187.5</v>
      </c>
      <c r="H14" s="12">
        <f t="shared" si="1"/>
        <v>-1187.5</v>
      </c>
      <c r="I14" s="12">
        <f t="shared" si="1"/>
        <v>-32342.499999999996</v>
      </c>
      <c r="K14" s="4"/>
    </row>
    <row r="15" spans="1:11" x14ac:dyDescent="0.2">
      <c r="B15" s="9" t="s">
        <v>9</v>
      </c>
      <c r="C15" s="11">
        <f>C9*C10</f>
        <v>1192.5</v>
      </c>
      <c r="D15" s="11">
        <f t="shared" ref="D15:I15" si="2">D9*D10</f>
        <v>36882</v>
      </c>
      <c r="E15" s="11">
        <f t="shared" si="2"/>
        <v>36882</v>
      </c>
      <c r="F15" s="11">
        <f t="shared" si="2"/>
        <v>36882</v>
      </c>
      <c r="G15" s="11">
        <f t="shared" si="2"/>
        <v>1192.5</v>
      </c>
      <c r="H15" s="11">
        <f t="shared" si="2"/>
        <v>1192.5</v>
      </c>
      <c r="I15" s="11">
        <f t="shared" si="2"/>
        <v>36882</v>
      </c>
      <c r="K15" s="4"/>
    </row>
    <row r="16" spans="1:11" x14ac:dyDescent="0.2">
      <c r="B16" s="7" t="s">
        <v>10</v>
      </c>
      <c r="C16" s="11">
        <f>SUM(C14:C15)</f>
        <v>5</v>
      </c>
      <c r="D16" s="11">
        <f t="shared" ref="D16:I16" si="3">SUM(D14:D15)</f>
        <v>4539.5000000000036</v>
      </c>
      <c r="E16" s="11">
        <f t="shared" si="3"/>
        <v>4539.5000000000036</v>
      </c>
      <c r="F16" s="11">
        <f t="shared" si="3"/>
        <v>4539.5000000000036</v>
      </c>
      <c r="G16" s="11">
        <f t="shared" si="3"/>
        <v>5</v>
      </c>
      <c r="H16" s="11">
        <f t="shared" si="3"/>
        <v>5</v>
      </c>
      <c r="I16" s="11">
        <f t="shared" si="3"/>
        <v>4539.5000000000036</v>
      </c>
      <c r="K16" s="4"/>
    </row>
    <row r="17" spans="1:10" x14ac:dyDescent="0.2">
      <c r="A17" s="13"/>
      <c r="B17" s="2" t="s">
        <v>11</v>
      </c>
      <c r="C17" s="12">
        <f>C11*C12</f>
        <v>0</v>
      </c>
      <c r="D17" s="12">
        <f t="shared" ref="D17:I17" si="4">D11*D12</f>
        <v>-1400</v>
      </c>
      <c r="E17" s="12">
        <f t="shared" si="4"/>
        <v>-1400</v>
      </c>
      <c r="F17" s="12">
        <f t="shared" si="4"/>
        <v>-1400</v>
      </c>
      <c r="G17" s="12">
        <f t="shared" si="4"/>
        <v>0</v>
      </c>
      <c r="H17" s="12">
        <f t="shared" si="4"/>
        <v>0</v>
      </c>
      <c r="I17" s="12">
        <f t="shared" si="4"/>
        <v>-1400</v>
      </c>
    </row>
    <row r="18" spans="1:10" x14ac:dyDescent="0.2">
      <c r="A18" s="14"/>
      <c r="E18" s="2"/>
      <c r="G18" s="2"/>
      <c r="H18" s="2"/>
      <c r="I18" s="2"/>
    </row>
    <row r="19" spans="1:10" s="1" customFormat="1" x14ac:dyDescent="0.2">
      <c r="A19" s="13"/>
      <c r="B19" s="1" t="s">
        <v>12</v>
      </c>
      <c r="C19" s="15">
        <f>SUM(C16:C17)</f>
        <v>5</v>
      </c>
      <c r="D19" s="15">
        <f t="shared" ref="D19:I19" si="5">SUM(D16:D17)</f>
        <v>3139.5000000000036</v>
      </c>
      <c r="E19" s="15">
        <f t="shared" si="5"/>
        <v>3139.5000000000036</v>
      </c>
      <c r="F19" s="15">
        <f t="shared" si="5"/>
        <v>3139.5000000000036</v>
      </c>
      <c r="G19" s="15">
        <f t="shared" si="5"/>
        <v>5</v>
      </c>
      <c r="H19" s="15">
        <f t="shared" si="5"/>
        <v>5</v>
      </c>
      <c r="I19" s="15">
        <f t="shared" si="5"/>
        <v>3139.5000000000036</v>
      </c>
      <c r="J19" s="8"/>
    </row>
    <row r="20" spans="1:10" x14ac:dyDescent="0.2">
      <c r="A20" s="16"/>
      <c r="B20" s="1" t="s">
        <v>13</v>
      </c>
      <c r="C20" s="15">
        <f>C19*16</f>
        <v>80</v>
      </c>
      <c r="D20" s="15">
        <f t="shared" ref="D20:I20" si="6">D19*16</f>
        <v>50232.000000000058</v>
      </c>
      <c r="E20" s="15">
        <f t="shared" si="6"/>
        <v>50232.000000000058</v>
      </c>
      <c r="F20" s="15">
        <f t="shared" si="6"/>
        <v>50232.000000000058</v>
      </c>
      <c r="G20" s="15">
        <f t="shared" si="6"/>
        <v>80</v>
      </c>
      <c r="H20" s="15">
        <f t="shared" si="6"/>
        <v>80</v>
      </c>
      <c r="I20" s="15">
        <f t="shared" si="6"/>
        <v>50232.000000000058</v>
      </c>
      <c r="J20" s="3">
        <f>SUM(C20:I20)</f>
        <v>201168.00000000023</v>
      </c>
    </row>
    <row r="21" spans="1:10" x14ac:dyDescent="0.2">
      <c r="A21" s="13"/>
    </row>
    <row r="22" spans="1:10" x14ac:dyDescent="0.2">
      <c r="A22" s="13"/>
      <c r="B22" s="2" t="s">
        <v>82</v>
      </c>
      <c r="C22" s="11">
        <f>(C14+C17)*16</f>
        <v>-19000</v>
      </c>
      <c r="D22" s="11">
        <f t="shared" ref="D22:I22" si="7">(D14+D17)*16</f>
        <v>-539880</v>
      </c>
      <c r="E22" s="11">
        <f t="shared" si="7"/>
        <v>-539880</v>
      </c>
      <c r="F22" s="11">
        <f t="shared" si="7"/>
        <v>-539880</v>
      </c>
      <c r="G22" s="11">
        <f t="shared" si="7"/>
        <v>-19000</v>
      </c>
      <c r="H22" s="11">
        <f t="shared" si="7"/>
        <v>-19000</v>
      </c>
      <c r="I22" s="11">
        <f t="shared" si="7"/>
        <v>-539880</v>
      </c>
    </row>
    <row r="23" spans="1:10" x14ac:dyDescent="0.2">
      <c r="A23" s="13"/>
      <c r="B23" s="2" t="s">
        <v>83</v>
      </c>
      <c r="C23" s="11">
        <f>C15*16</f>
        <v>19080</v>
      </c>
      <c r="D23" s="11">
        <f t="shared" ref="D23:I23" si="8">D15*16</f>
        <v>590112</v>
      </c>
      <c r="E23" s="11">
        <f t="shared" si="8"/>
        <v>590112</v>
      </c>
      <c r="F23" s="11">
        <f t="shared" si="8"/>
        <v>590112</v>
      </c>
      <c r="G23" s="11">
        <f t="shared" si="8"/>
        <v>19080</v>
      </c>
      <c r="H23" s="11">
        <f t="shared" si="8"/>
        <v>19080</v>
      </c>
      <c r="I23" s="11">
        <f t="shared" si="8"/>
        <v>590112</v>
      </c>
    </row>
    <row r="24" spans="1:10" x14ac:dyDescent="0.2">
      <c r="A24" s="13"/>
      <c r="B24" s="2" t="s">
        <v>77</v>
      </c>
      <c r="C24" s="11">
        <f>SUM(C22:C23)</f>
        <v>80</v>
      </c>
      <c r="D24" s="11">
        <f t="shared" ref="D24:I24" si="9">SUM(D22:D23)</f>
        <v>50232</v>
      </c>
      <c r="E24" s="11">
        <f t="shared" si="9"/>
        <v>50232</v>
      </c>
      <c r="F24" s="11">
        <f t="shared" si="9"/>
        <v>50232</v>
      </c>
      <c r="G24" s="11">
        <f t="shared" si="9"/>
        <v>80</v>
      </c>
      <c r="H24" s="11">
        <f t="shared" si="9"/>
        <v>80</v>
      </c>
      <c r="I24" s="11">
        <f t="shared" si="9"/>
        <v>50232</v>
      </c>
    </row>
    <row r="25" spans="1:10" x14ac:dyDescent="0.2">
      <c r="A25" s="13"/>
    </row>
    <row r="26" spans="1:10" x14ac:dyDescent="0.2">
      <c r="A26" s="1" t="s">
        <v>1</v>
      </c>
      <c r="B26" s="5" t="s">
        <v>14</v>
      </c>
      <c r="C26" s="28">
        <v>37257</v>
      </c>
      <c r="D26" s="6">
        <v>37258</v>
      </c>
      <c r="E26" s="6">
        <v>37259</v>
      </c>
      <c r="F26" s="6">
        <v>37260</v>
      </c>
      <c r="G26" s="28">
        <v>37261</v>
      </c>
      <c r="H26" s="28">
        <v>37262</v>
      </c>
      <c r="I26" s="6">
        <v>37263</v>
      </c>
      <c r="J26" s="8"/>
    </row>
    <row r="27" spans="1:10" x14ac:dyDescent="0.2">
      <c r="B27" s="1" t="s">
        <v>3</v>
      </c>
      <c r="D27" s="19">
        <v>150</v>
      </c>
      <c r="E27" s="19">
        <v>150</v>
      </c>
      <c r="F27" s="19">
        <v>150</v>
      </c>
      <c r="G27" s="10"/>
      <c r="H27" s="21"/>
      <c r="I27" s="19">
        <v>150</v>
      </c>
    </row>
    <row r="28" spans="1:10" x14ac:dyDescent="0.2">
      <c r="B28" s="8" t="s">
        <v>4</v>
      </c>
      <c r="C28" s="3">
        <v>0</v>
      </c>
      <c r="D28" s="10">
        <v>25.43</v>
      </c>
      <c r="E28" s="10">
        <v>25.43</v>
      </c>
      <c r="F28" s="10">
        <v>25.43</v>
      </c>
      <c r="G28" s="10"/>
      <c r="H28" s="21"/>
      <c r="I28" s="10">
        <v>25.43</v>
      </c>
    </row>
    <row r="29" spans="1:10" x14ac:dyDescent="0.2">
      <c r="B29" s="1" t="s">
        <v>5</v>
      </c>
      <c r="D29" s="19">
        <v>50</v>
      </c>
      <c r="E29" s="19">
        <v>50</v>
      </c>
      <c r="F29" s="19">
        <v>50</v>
      </c>
      <c r="G29" s="10"/>
      <c r="H29" s="21"/>
      <c r="I29" s="19">
        <v>50</v>
      </c>
    </row>
    <row r="30" spans="1:10" x14ac:dyDescent="0.2">
      <c r="B30" s="8" t="s">
        <v>4</v>
      </c>
      <c r="C30" s="3">
        <v>0</v>
      </c>
      <c r="D30" s="10">
        <v>24.25</v>
      </c>
      <c r="E30" s="10">
        <v>24.25</v>
      </c>
      <c r="F30" s="10">
        <v>24.25</v>
      </c>
      <c r="G30" s="10"/>
      <c r="H30" s="21"/>
      <c r="I30" s="10">
        <v>24.25</v>
      </c>
    </row>
    <row r="31" spans="1:10" x14ac:dyDescent="0.2">
      <c r="B31" s="7" t="s">
        <v>6</v>
      </c>
      <c r="C31" s="4">
        <f t="shared" ref="C31:I31" si="10">C27-C29</f>
        <v>0</v>
      </c>
      <c r="D31" s="4">
        <f t="shared" si="10"/>
        <v>100</v>
      </c>
      <c r="E31" s="4">
        <f t="shared" si="10"/>
        <v>100</v>
      </c>
      <c r="F31" s="4">
        <f t="shared" si="10"/>
        <v>100</v>
      </c>
      <c r="G31" s="4">
        <f t="shared" si="10"/>
        <v>0</v>
      </c>
      <c r="H31" s="4">
        <f t="shared" si="10"/>
        <v>0</v>
      </c>
      <c r="I31" s="4">
        <f t="shared" si="10"/>
        <v>100</v>
      </c>
    </row>
    <row r="32" spans="1:10" x14ac:dyDescent="0.2">
      <c r="B32" s="9" t="s">
        <v>7</v>
      </c>
      <c r="C32" s="10">
        <v>20.5</v>
      </c>
      <c r="D32" s="29">
        <v>26.5</v>
      </c>
      <c r="E32" s="29">
        <v>26.5</v>
      </c>
      <c r="F32" s="29">
        <v>26.5</v>
      </c>
      <c r="G32" s="10">
        <v>20.5</v>
      </c>
      <c r="H32" s="10">
        <v>20.5</v>
      </c>
      <c r="I32" s="29">
        <v>26.5</v>
      </c>
    </row>
    <row r="33" spans="1:11" x14ac:dyDescent="0.2">
      <c r="B33" s="9"/>
      <c r="C33" s="11"/>
      <c r="D33" s="19"/>
      <c r="E33" s="19"/>
      <c r="F33" s="10"/>
      <c r="G33" s="10"/>
      <c r="H33" s="21"/>
    </row>
    <row r="34" spans="1:11" x14ac:dyDescent="0.2">
      <c r="B34" s="9" t="s">
        <v>8</v>
      </c>
      <c r="C34" s="12">
        <f>(C27*C28)*(-1)</f>
        <v>0</v>
      </c>
      <c r="D34" s="12">
        <f t="shared" ref="D34:I34" si="11">(D27*D28)*(-1)</f>
        <v>-3814.5</v>
      </c>
      <c r="E34" s="12">
        <f t="shared" si="11"/>
        <v>-3814.5</v>
      </c>
      <c r="F34" s="12">
        <f t="shared" si="11"/>
        <v>-3814.5</v>
      </c>
      <c r="G34" s="12">
        <f t="shared" si="11"/>
        <v>0</v>
      </c>
      <c r="H34" s="12">
        <f t="shared" si="11"/>
        <v>0</v>
      </c>
      <c r="I34" s="12">
        <f t="shared" si="11"/>
        <v>-3814.5</v>
      </c>
    </row>
    <row r="35" spans="1:11" x14ac:dyDescent="0.2">
      <c r="B35" s="9" t="s">
        <v>9</v>
      </c>
      <c r="C35" s="11">
        <f>C29*C30</f>
        <v>0</v>
      </c>
      <c r="D35" s="11">
        <f t="shared" ref="D35:I35" si="12">D29*D30</f>
        <v>1212.5</v>
      </c>
      <c r="E35" s="11">
        <f t="shared" si="12"/>
        <v>1212.5</v>
      </c>
      <c r="F35" s="11">
        <f t="shared" si="12"/>
        <v>1212.5</v>
      </c>
      <c r="G35" s="11">
        <f t="shared" si="12"/>
        <v>0</v>
      </c>
      <c r="H35" s="11">
        <f t="shared" si="12"/>
        <v>0</v>
      </c>
      <c r="I35" s="11">
        <f t="shared" si="12"/>
        <v>1212.5</v>
      </c>
    </row>
    <row r="36" spans="1:11" x14ac:dyDescent="0.2">
      <c r="B36" s="7" t="s">
        <v>10</v>
      </c>
      <c r="C36" s="11">
        <f>SUM(C34:C35)</f>
        <v>0</v>
      </c>
      <c r="D36" s="11">
        <f t="shared" ref="D36:I36" si="13">SUM(D34:D35)</f>
        <v>-2602</v>
      </c>
      <c r="E36" s="11">
        <f t="shared" si="13"/>
        <v>-2602</v>
      </c>
      <c r="F36" s="11">
        <f t="shared" si="13"/>
        <v>-2602</v>
      </c>
      <c r="G36" s="11">
        <f t="shared" si="13"/>
        <v>0</v>
      </c>
      <c r="H36" s="11">
        <f t="shared" si="13"/>
        <v>0</v>
      </c>
      <c r="I36" s="11">
        <f t="shared" si="13"/>
        <v>-2602</v>
      </c>
    </row>
    <row r="37" spans="1:11" x14ac:dyDescent="0.2">
      <c r="A37" s="13"/>
      <c r="B37" s="2" t="s">
        <v>11</v>
      </c>
      <c r="C37" s="12">
        <f>C31*C32</f>
        <v>0</v>
      </c>
      <c r="D37" s="12">
        <f t="shared" ref="D37:I37" si="14">D31*D32</f>
        <v>2650</v>
      </c>
      <c r="E37" s="12">
        <f t="shared" si="14"/>
        <v>2650</v>
      </c>
      <c r="F37" s="12">
        <f t="shared" si="14"/>
        <v>2650</v>
      </c>
      <c r="G37" s="12">
        <f t="shared" si="14"/>
        <v>0</v>
      </c>
      <c r="H37" s="12">
        <f t="shared" si="14"/>
        <v>0</v>
      </c>
      <c r="I37" s="12">
        <f t="shared" si="14"/>
        <v>2650</v>
      </c>
    </row>
    <row r="38" spans="1:11" x14ac:dyDescent="0.2">
      <c r="A38" s="14"/>
      <c r="E38" s="2"/>
      <c r="G38" s="2"/>
      <c r="H38" s="2"/>
      <c r="I38" s="2"/>
    </row>
    <row r="39" spans="1:11" x14ac:dyDescent="0.2">
      <c r="A39" s="13"/>
      <c r="B39" s="1" t="s">
        <v>12</v>
      </c>
      <c r="C39" s="15">
        <f>SUM(C36:C37)</f>
        <v>0</v>
      </c>
      <c r="D39" s="15">
        <f t="shared" ref="D39:I39" si="15">SUM(D36:D37)</f>
        <v>48</v>
      </c>
      <c r="E39" s="15">
        <f t="shared" si="15"/>
        <v>48</v>
      </c>
      <c r="F39" s="15">
        <f t="shared" si="15"/>
        <v>48</v>
      </c>
      <c r="G39" s="15">
        <f t="shared" si="15"/>
        <v>0</v>
      </c>
      <c r="H39" s="15">
        <f t="shared" si="15"/>
        <v>0</v>
      </c>
      <c r="I39" s="15">
        <f t="shared" si="15"/>
        <v>48</v>
      </c>
      <c r="J39" s="8"/>
    </row>
    <row r="40" spans="1:11" x14ac:dyDescent="0.2">
      <c r="A40" s="16"/>
      <c r="B40" s="1" t="s">
        <v>13</v>
      </c>
      <c r="C40" s="15">
        <f>C39*16</f>
        <v>0</v>
      </c>
      <c r="D40" s="15">
        <f t="shared" ref="D40:I40" si="16">D39*16</f>
        <v>768</v>
      </c>
      <c r="E40" s="15">
        <f t="shared" si="16"/>
        <v>768</v>
      </c>
      <c r="F40" s="15">
        <f t="shared" si="16"/>
        <v>768</v>
      </c>
      <c r="G40" s="15">
        <f t="shared" si="16"/>
        <v>0</v>
      </c>
      <c r="H40" s="15">
        <f t="shared" si="16"/>
        <v>0</v>
      </c>
      <c r="I40" s="15">
        <f t="shared" si="16"/>
        <v>768</v>
      </c>
      <c r="J40" s="3">
        <f>SUM(C40:I40)</f>
        <v>3072</v>
      </c>
    </row>
    <row r="42" spans="1:11" x14ac:dyDescent="0.2">
      <c r="A42" s="13"/>
      <c r="B42" s="2" t="s">
        <v>82</v>
      </c>
      <c r="C42" s="11">
        <f>(C34+C37)*16</f>
        <v>0</v>
      </c>
      <c r="D42" s="11">
        <f t="shared" ref="D42:I42" si="17">(D34+D37)*16</f>
        <v>-18632</v>
      </c>
      <c r="E42" s="11">
        <f t="shared" si="17"/>
        <v>-18632</v>
      </c>
      <c r="F42" s="11">
        <f t="shared" si="17"/>
        <v>-18632</v>
      </c>
      <c r="G42" s="11">
        <f t="shared" si="17"/>
        <v>0</v>
      </c>
      <c r="H42" s="11">
        <f t="shared" si="17"/>
        <v>0</v>
      </c>
      <c r="I42" s="11">
        <f t="shared" si="17"/>
        <v>-18632</v>
      </c>
    </row>
    <row r="43" spans="1:11" x14ac:dyDescent="0.2">
      <c r="A43" s="13"/>
      <c r="B43" s="2" t="s">
        <v>83</v>
      </c>
      <c r="C43" s="11">
        <f>C35*16</f>
        <v>0</v>
      </c>
      <c r="D43" s="11">
        <f t="shared" ref="D43:I43" si="18">D35*16</f>
        <v>19400</v>
      </c>
      <c r="E43" s="11">
        <f t="shared" si="18"/>
        <v>19400</v>
      </c>
      <c r="F43" s="11">
        <f t="shared" si="18"/>
        <v>19400</v>
      </c>
      <c r="G43" s="11">
        <f t="shared" si="18"/>
        <v>0</v>
      </c>
      <c r="H43" s="11">
        <f t="shared" si="18"/>
        <v>0</v>
      </c>
      <c r="I43" s="11">
        <f t="shared" si="18"/>
        <v>19400</v>
      </c>
    </row>
    <row r="44" spans="1:11" x14ac:dyDescent="0.2">
      <c r="A44" s="13"/>
      <c r="B44" s="2" t="s">
        <v>77</v>
      </c>
      <c r="C44" s="11">
        <f t="shared" ref="C44:I44" si="19">SUM(C42:C43)</f>
        <v>0</v>
      </c>
      <c r="D44" s="11">
        <f t="shared" si="19"/>
        <v>768</v>
      </c>
      <c r="E44" s="11">
        <f t="shared" si="19"/>
        <v>768</v>
      </c>
      <c r="F44" s="11">
        <f t="shared" si="19"/>
        <v>768</v>
      </c>
      <c r="G44" s="11">
        <f t="shared" si="19"/>
        <v>0</v>
      </c>
      <c r="H44" s="11">
        <f t="shared" si="19"/>
        <v>0</v>
      </c>
      <c r="I44" s="11">
        <f t="shared" si="19"/>
        <v>768</v>
      </c>
    </row>
    <row r="45" spans="1:11" x14ac:dyDescent="0.2">
      <c r="A45" s="13"/>
    </row>
    <row r="47" spans="1:11" s="1" customFormat="1" x14ac:dyDescent="0.2">
      <c r="A47" s="1" t="s">
        <v>1</v>
      </c>
      <c r="B47" s="5" t="s">
        <v>15</v>
      </c>
      <c r="C47" s="28">
        <v>37257</v>
      </c>
      <c r="D47" s="6">
        <v>37258</v>
      </c>
      <c r="E47" s="6">
        <v>37259</v>
      </c>
      <c r="F47" s="6">
        <v>37260</v>
      </c>
      <c r="G47" s="28">
        <v>37261</v>
      </c>
      <c r="H47" s="28">
        <v>37262</v>
      </c>
      <c r="I47" s="6">
        <v>37263</v>
      </c>
      <c r="J47" s="8"/>
      <c r="K47" s="7"/>
    </row>
    <row r="48" spans="1:11" x14ac:dyDescent="0.2">
      <c r="B48" s="1" t="s">
        <v>3</v>
      </c>
      <c r="C48" s="19">
        <v>0</v>
      </c>
      <c r="D48" s="19">
        <v>550</v>
      </c>
      <c r="E48" s="19">
        <v>550</v>
      </c>
      <c r="F48" s="19">
        <v>550</v>
      </c>
      <c r="G48" s="19">
        <v>0</v>
      </c>
      <c r="H48" s="19">
        <v>0</v>
      </c>
      <c r="I48" s="19">
        <v>550</v>
      </c>
      <c r="K48" s="4"/>
    </row>
    <row r="49" spans="1:11" x14ac:dyDescent="0.2">
      <c r="B49" s="8" t="s">
        <v>4</v>
      </c>
      <c r="C49" s="10">
        <v>0</v>
      </c>
      <c r="D49" s="10">
        <v>31.52</v>
      </c>
      <c r="E49" s="10">
        <v>31.52</v>
      </c>
      <c r="F49" s="10">
        <v>31.52</v>
      </c>
      <c r="G49" s="10">
        <v>0</v>
      </c>
      <c r="H49" s="10">
        <v>0</v>
      </c>
      <c r="I49" s="10">
        <v>31.52</v>
      </c>
      <c r="K49" s="4"/>
    </row>
    <row r="50" spans="1:11" x14ac:dyDescent="0.2">
      <c r="B50" s="1" t="s">
        <v>5</v>
      </c>
      <c r="C50" s="19">
        <v>50</v>
      </c>
      <c r="D50" s="19">
        <v>1250</v>
      </c>
      <c r="E50" s="19">
        <v>1250</v>
      </c>
      <c r="F50" s="19">
        <v>1250</v>
      </c>
      <c r="G50" s="19">
        <v>50</v>
      </c>
      <c r="H50" s="19">
        <v>50</v>
      </c>
      <c r="I50" s="19">
        <v>1250</v>
      </c>
      <c r="K50" s="4"/>
    </row>
    <row r="51" spans="1:11" x14ac:dyDescent="0.2">
      <c r="B51" s="8" t="s">
        <v>4</v>
      </c>
      <c r="C51" s="10">
        <v>18.25</v>
      </c>
      <c r="D51" s="10">
        <v>35.5</v>
      </c>
      <c r="E51" s="10">
        <v>35.5</v>
      </c>
      <c r="F51" s="10">
        <v>35.5</v>
      </c>
      <c r="G51" s="10">
        <v>18.25</v>
      </c>
      <c r="H51" s="10">
        <v>18.25</v>
      </c>
      <c r="I51" s="10">
        <v>35.5</v>
      </c>
      <c r="K51" s="4"/>
    </row>
    <row r="52" spans="1:11" x14ac:dyDescent="0.2">
      <c r="B52" s="7" t="s">
        <v>6</v>
      </c>
      <c r="C52" s="4">
        <f t="shared" ref="C52:I52" si="20">C48-C50</f>
        <v>-50</v>
      </c>
      <c r="D52" s="4">
        <f t="shared" si="20"/>
        <v>-700</v>
      </c>
      <c r="E52" s="4">
        <f t="shared" si="20"/>
        <v>-700</v>
      </c>
      <c r="F52" s="4">
        <f t="shared" si="20"/>
        <v>-700</v>
      </c>
      <c r="G52" s="4">
        <f t="shared" si="20"/>
        <v>-50</v>
      </c>
      <c r="H52" s="4">
        <f t="shared" si="20"/>
        <v>-50</v>
      </c>
      <c r="I52" s="4">
        <f t="shared" si="20"/>
        <v>-700</v>
      </c>
      <c r="K52" s="4"/>
    </row>
    <row r="53" spans="1:11" x14ac:dyDescent="0.2">
      <c r="B53" s="9" t="s">
        <v>7</v>
      </c>
      <c r="C53" s="10">
        <v>22</v>
      </c>
      <c r="D53" s="29">
        <v>28</v>
      </c>
      <c r="E53" s="29">
        <v>28</v>
      </c>
      <c r="F53" s="29">
        <v>28</v>
      </c>
      <c r="G53" s="10">
        <v>22</v>
      </c>
      <c r="H53" s="10">
        <v>22</v>
      </c>
      <c r="I53" s="29">
        <v>28</v>
      </c>
      <c r="K53" s="4"/>
    </row>
    <row r="54" spans="1:11" x14ac:dyDescent="0.2">
      <c r="B54" s="9"/>
      <c r="C54" s="19"/>
      <c r="D54" s="19"/>
      <c r="E54" s="19"/>
      <c r="F54" s="10"/>
      <c r="G54" s="19"/>
      <c r="H54" s="19"/>
      <c r="K54" s="4"/>
    </row>
    <row r="55" spans="1:11" x14ac:dyDescent="0.2">
      <c r="B55" s="9" t="s">
        <v>8</v>
      </c>
      <c r="C55" s="12">
        <f>(C48*C49)*(-1)</f>
        <v>0</v>
      </c>
      <c r="D55" s="12">
        <f t="shared" ref="D55:I55" si="21">(D48*D49)*(-1)</f>
        <v>-17336</v>
      </c>
      <c r="E55" s="12">
        <f t="shared" si="21"/>
        <v>-17336</v>
      </c>
      <c r="F55" s="12">
        <f t="shared" si="21"/>
        <v>-17336</v>
      </c>
      <c r="G55" s="12">
        <f t="shared" si="21"/>
        <v>0</v>
      </c>
      <c r="H55" s="12">
        <f t="shared" si="21"/>
        <v>0</v>
      </c>
      <c r="I55" s="12">
        <f t="shared" si="21"/>
        <v>-17336</v>
      </c>
      <c r="K55" s="4"/>
    </row>
    <row r="56" spans="1:11" x14ac:dyDescent="0.2">
      <c r="B56" s="9" t="s">
        <v>9</v>
      </c>
      <c r="C56" s="11">
        <f>C50*C51</f>
        <v>912.5</v>
      </c>
      <c r="D56" s="11">
        <f t="shared" ref="D56:I56" si="22">D50*D51</f>
        <v>44375</v>
      </c>
      <c r="E56" s="11">
        <f t="shared" si="22"/>
        <v>44375</v>
      </c>
      <c r="F56" s="11">
        <f t="shared" si="22"/>
        <v>44375</v>
      </c>
      <c r="G56" s="11">
        <f t="shared" si="22"/>
        <v>912.5</v>
      </c>
      <c r="H56" s="11">
        <f t="shared" si="22"/>
        <v>912.5</v>
      </c>
      <c r="I56" s="11">
        <f t="shared" si="22"/>
        <v>44375</v>
      </c>
      <c r="K56" s="4"/>
    </row>
    <row r="57" spans="1:11" x14ac:dyDescent="0.2">
      <c r="B57" s="7" t="s">
        <v>10</v>
      </c>
      <c r="C57" s="11">
        <f>SUM(C55:C56)</f>
        <v>912.5</v>
      </c>
      <c r="D57" s="11">
        <f t="shared" ref="D57:I57" si="23">SUM(D55:D56)</f>
        <v>27039</v>
      </c>
      <c r="E57" s="11">
        <f t="shared" si="23"/>
        <v>27039</v>
      </c>
      <c r="F57" s="11">
        <f t="shared" si="23"/>
        <v>27039</v>
      </c>
      <c r="G57" s="11">
        <f>SUM(G55:G56)</f>
        <v>912.5</v>
      </c>
      <c r="H57" s="11">
        <f>SUM(H55:H56)</f>
        <v>912.5</v>
      </c>
      <c r="I57" s="11">
        <f t="shared" si="23"/>
        <v>27039</v>
      </c>
      <c r="K57" s="4"/>
    </row>
    <row r="58" spans="1:11" x14ac:dyDescent="0.2">
      <c r="A58" s="13"/>
      <c r="B58" s="2" t="s">
        <v>11</v>
      </c>
      <c r="C58" s="12">
        <f>C52*C53</f>
        <v>-1100</v>
      </c>
      <c r="D58" s="12">
        <f t="shared" ref="D58:I58" si="24">D52*D53</f>
        <v>-19600</v>
      </c>
      <c r="E58" s="12">
        <f t="shared" si="24"/>
        <v>-19600</v>
      </c>
      <c r="F58" s="12">
        <f t="shared" si="24"/>
        <v>-19600</v>
      </c>
      <c r="G58" s="12">
        <f t="shared" si="24"/>
        <v>-1100</v>
      </c>
      <c r="H58" s="12">
        <f t="shared" si="24"/>
        <v>-1100</v>
      </c>
      <c r="I58" s="12">
        <f t="shared" si="24"/>
        <v>-19600</v>
      </c>
    </row>
    <row r="59" spans="1:11" x14ac:dyDescent="0.2">
      <c r="A59" s="14"/>
      <c r="E59" s="2"/>
      <c r="G59" s="2"/>
      <c r="H59" s="2"/>
      <c r="I59" s="2"/>
    </row>
    <row r="60" spans="1:11" s="1" customFormat="1" x14ac:dyDescent="0.2">
      <c r="A60" s="13"/>
      <c r="B60" s="1" t="s">
        <v>12</v>
      </c>
      <c r="C60" s="15">
        <f>SUM(C57:C58)</f>
        <v>-187.5</v>
      </c>
      <c r="D60" s="15">
        <f t="shared" ref="D60:I60" si="25">SUM(D57:D58)</f>
        <v>7439</v>
      </c>
      <c r="E60" s="15">
        <f t="shared" si="25"/>
        <v>7439</v>
      </c>
      <c r="F60" s="15">
        <f t="shared" si="25"/>
        <v>7439</v>
      </c>
      <c r="G60" s="15">
        <f t="shared" si="25"/>
        <v>-187.5</v>
      </c>
      <c r="H60" s="15">
        <f t="shared" si="25"/>
        <v>-187.5</v>
      </c>
      <c r="I60" s="15">
        <f t="shared" si="25"/>
        <v>7439</v>
      </c>
      <c r="J60" s="8"/>
    </row>
    <row r="61" spans="1:11" x14ac:dyDescent="0.2">
      <c r="A61" s="16"/>
      <c r="B61" s="1" t="s">
        <v>13</v>
      </c>
      <c r="C61" s="15">
        <f>C60*16</f>
        <v>-3000</v>
      </c>
      <c r="D61" s="15">
        <f t="shared" ref="D61:I61" si="26">D60*16</f>
        <v>119024</v>
      </c>
      <c r="E61" s="15">
        <f t="shared" si="26"/>
        <v>119024</v>
      </c>
      <c r="F61" s="15">
        <f t="shared" si="26"/>
        <v>119024</v>
      </c>
      <c r="G61" s="15">
        <f>G60*16</f>
        <v>-3000</v>
      </c>
      <c r="H61" s="15">
        <f>H60*16</f>
        <v>-3000</v>
      </c>
      <c r="I61" s="15">
        <f t="shared" si="26"/>
        <v>119024</v>
      </c>
      <c r="J61" s="3">
        <f>SUM(C61:I61)</f>
        <v>467096</v>
      </c>
    </row>
    <row r="62" spans="1:11" x14ac:dyDescent="0.2">
      <c r="A62" s="13"/>
    </row>
    <row r="63" spans="1:11" x14ac:dyDescent="0.2">
      <c r="A63" s="13"/>
      <c r="B63" s="2" t="s">
        <v>82</v>
      </c>
      <c r="C63" s="11">
        <f>(C55+C58)*16</f>
        <v>-17600</v>
      </c>
      <c r="D63" s="11">
        <f t="shared" ref="D63:I63" si="27">(D55+D58)*16</f>
        <v>-590976</v>
      </c>
      <c r="E63" s="11">
        <f t="shared" si="27"/>
        <v>-590976</v>
      </c>
      <c r="F63" s="11">
        <f t="shared" si="27"/>
        <v>-590976</v>
      </c>
      <c r="G63" s="11">
        <f t="shared" si="27"/>
        <v>-17600</v>
      </c>
      <c r="H63" s="11">
        <f t="shared" si="27"/>
        <v>-17600</v>
      </c>
      <c r="I63" s="11">
        <f t="shared" si="27"/>
        <v>-590976</v>
      </c>
    </row>
    <row r="64" spans="1:11" x14ac:dyDescent="0.2">
      <c r="A64" s="13"/>
      <c r="B64" s="2" t="s">
        <v>83</v>
      </c>
      <c r="C64" s="11">
        <f>C56*16</f>
        <v>14600</v>
      </c>
      <c r="D64" s="11">
        <f t="shared" ref="D64:I64" si="28">D56*16</f>
        <v>710000</v>
      </c>
      <c r="E64" s="11">
        <f t="shared" si="28"/>
        <v>710000</v>
      </c>
      <c r="F64" s="11">
        <f t="shared" si="28"/>
        <v>710000</v>
      </c>
      <c r="G64" s="11">
        <f t="shared" si="28"/>
        <v>14600</v>
      </c>
      <c r="H64" s="11">
        <f t="shared" si="28"/>
        <v>14600</v>
      </c>
      <c r="I64" s="11">
        <f t="shared" si="28"/>
        <v>710000</v>
      </c>
    </row>
    <row r="65" spans="1:11" x14ac:dyDescent="0.2">
      <c r="A65" s="13"/>
      <c r="B65" s="2" t="s">
        <v>77</v>
      </c>
      <c r="C65" s="11">
        <f t="shared" ref="C65:I65" si="29">SUM(C63:C64)</f>
        <v>-3000</v>
      </c>
      <c r="D65" s="11">
        <f t="shared" si="29"/>
        <v>119024</v>
      </c>
      <c r="E65" s="11">
        <f t="shared" si="29"/>
        <v>119024</v>
      </c>
      <c r="F65" s="11">
        <f t="shared" si="29"/>
        <v>119024</v>
      </c>
      <c r="G65" s="11">
        <f t="shared" si="29"/>
        <v>-3000</v>
      </c>
      <c r="H65" s="11">
        <f t="shared" si="29"/>
        <v>-3000</v>
      </c>
      <c r="I65" s="11">
        <f t="shared" si="29"/>
        <v>119024</v>
      </c>
    </row>
    <row r="66" spans="1:11" x14ac:dyDescent="0.2">
      <c r="A66" s="13"/>
    </row>
    <row r="67" spans="1:11" x14ac:dyDescent="0.2">
      <c r="A67" s="16"/>
    </row>
    <row r="68" spans="1:11" s="1" customFormat="1" x14ac:dyDescent="0.2">
      <c r="A68" s="1" t="s">
        <v>1</v>
      </c>
      <c r="B68" s="5" t="s">
        <v>16</v>
      </c>
      <c r="C68" s="28">
        <v>37257</v>
      </c>
      <c r="D68" s="6">
        <v>37258</v>
      </c>
      <c r="E68" s="6">
        <v>37259</v>
      </c>
      <c r="F68" s="6">
        <v>37260</v>
      </c>
      <c r="G68" s="28">
        <v>37261</v>
      </c>
      <c r="H68" s="28">
        <v>37262</v>
      </c>
      <c r="I68" s="6">
        <v>37263</v>
      </c>
      <c r="J68" s="8"/>
      <c r="K68" s="7"/>
    </row>
    <row r="69" spans="1:11" x14ac:dyDescent="0.2">
      <c r="B69" s="1" t="s">
        <v>3</v>
      </c>
      <c r="C69" s="2">
        <v>400</v>
      </c>
      <c r="D69" s="19">
        <v>850</v>
      </c>
      <c r="E69" s="19">
        <v>850</v>
      </c>
      <c r="F69" s="19">
        <v>850</v>
      </c>
      <c r="G69" s="2">
        <v>400</v>
      </c>
      <c r="H69" s="2">
        <v>400</v>
      </c>
      <c r="I69" s="19">
        <v>850</v>
      </c>
      <c r="K69" s="4"/>
    </row>
    <row r="70" spans="1:11" x14ac:dyDescent="0.2">
      <c r="B70" s="8" t="s">
        <v>4</v>
      </c>
      <c r="C70" s="3">
        <v>31.75</v>
      </c>
      <c r="D70" s="10">
        <v>47.64</v>
      </c>
      <c r="E70" s="10">
        <v>47.64</v>
      </c>
      <c r="F70" s="10">
        <v>47.64</v>
      </c>
      <c r="G70" s="3">
        <v>31.75</v>
      </c>
      <c r="H70" s="3">
        <v>31.75</v>
      </c>
      <c r="I70" s="10">
        <v>47.64</v>
      </c>
      <c r="K70" s="4"/>
    </row>
    <row r="71" spans="1:11" x14ac:dyDescent="0.2">
      <c r="B71" s="1" t="s">
        <v>5</v>
      </c>
      <c r="C71" s="2">
        <v>100</v>
      </c>
      <c r="D71" s="19">
        <v>1100</v>
      </c>
      <c r="E71" s="19">
        <v>1100</v>
      </c>
      <c r="F71" s="19">
        <v>1100</v>
      </c>
      <c r="G71" s="2">
        <v>100</v>
      </c>
      <c r="H71" s="2">
        <v>100</v>
      </c>
      <c r="I71" s="19">
        <v>1100</v>
      </c>
      <c r="K71" s="4"/>
    </row>
    <row r="72" spans="1:11" x14ac:dyDescent="0.2">
      <c r="B72" s="8" t="s">
        <v>4</v>
      </c>
      <c r="C72" s="3">
        <v>34</v>
      </c>
      <c r="D72" s="10">
        <v>49.12</v>
      </c>
      <c r="E72" s="10">
        <v>49.12</v>
      </c>
      <c r="F72" s="10">
        <v>49.12</v>
      </c>
      <c r="G72" s="3">
        <v>34</v>
      </c>
      <c r="H72" s="3">
        <v>34</v>
      </c>
      <c r="I72" s="10">
        <v>49.12</v>
      </c>
      <c r="K72" s="4"/>
    </row>
    <row r="73" spans="1:11" x14ac:dyDescent="0.2">
      <c r="B73" s="7" t="s">
        <v>6</v>
      </c>
      <c r="C73" s="4">
        <f>C69-C71</f>
        <v>300</v>
      </c>
      <c r="D73" s="4">
        <f t="shared" ref="D73:I73" si="30">D69-D71</f>
        <v>-250</v>
      </c>
      <c r="E73" s="4">
        <f t="shared" si="30"/>
        <v>-250</v>
      </c>
      <c r="F73" s="4">
        <f t="shared" si="30"/>
        <v>-250</v>
      </c>
      <c r="G73" s="4">
        <f t="shared" si="30"/>
        <v>300</v>
      </c>
      <c r="H73" s="4">
        <f t="shared" si="30"/>
        <v>300</v>
      </c>
      <c r="I73" s="4">
        <f t="shared" si="30"/>
        <v>-250</v>
      </c>
      <c r="K73" s="4"/>
    </row>
    <row r="74" spans="1:11" x14ac:dyDescent="0.2">
      <c r="B74" s="9" t="s">
        <v>7</v>
      </c>
      <c r="C74" s="10">
        <v>30</v>
      </c>
      <c r="D74" s="29">
        <v>40</v>
      </c>
      <c r="E74" s="29">
        <v>40</v>
      </c>
      <c r="F74" s="29">
        <v>40</v>
      </c>
      <c r="G74" s="10">
        <v>30</v>
      </c>
      <c r="H74" s="10">
        <v>30</v>
      </c>
      <c r="I74" s="29">
        <v>40</v>
      </c>
      <c r="K74" s="4"/>
    </row>
    <row r="75" spans="1:11" x14ac:dyDescent="0.2">
      <c r="B75" s="9"/>
      <c r="C75" s="11"/>
      <c r="D75" s="19"/>
      <c r="E75" s="19"/>
      <c r="F75" s="10"/>
      <c r="G75" s="11"/>
      <c r="H75" s="11"/>
      <c r="K75" s="4"/>
    </row>
    <row r="76" spans="1:11" x14ac:dyDescent="0.2">
      <c r="B76" s="9" t="s">
        <v>8</v>
      </c>
      <c r="C76" s="12">
        <f t="shared" ref="C76:I76" si="31">(C69*C70)*(-1)</f>
        <v>-12700</v>
      </c>
      <c r="D76" s="12">
        <f t="shared" si="31"/>
        <v>-40494</v>
      </c>
      <c r="E76" s="12">
        <f t="shared" si="31"/>
        <v>-40494</v>
      </c>
      <c r="F76" s="12">
        <f t="shared" si="31"/>
        <v>-40494</v>
      </c>
      <c r="G76" s="12">
        <f>(G69*G70)*(-1)</f>
        <v>-12700</v>
      </c>
      <c r="H76" s="12">
        <f>(H69*H70)*(-1)</f>
        <v>-12700</v>
      </c>
      <c r="I76" s="12">
        <f t="shared" si="31"/>
        <v>-40494</v>
      </c>
      <c r="K76" s="4"/>
    </row>
    <row r="77" spans="1:11" x14ac:dyDescent="0.2">
      <c r="B77" s="9" t="s">
        <v>9</v>
      </c>
      <c r="C77" s="11">
        <f t="shared" ref="C77:I77" si="32">C71*C72</f>
        <v>3400</v>
      </c>
      <c r="D77" s="11">
        <f t="shared" si="32"/>
        <v>54032</v>
      </c>
      <c r="E77" s="11">
        <f t="shared" si="32"/>
        <v>54032</v>
      </c>
      <c r="F77" s="11">
        <f t="shared" si="32"/>
        <v>54032</v>
      </c>
      <c r="G77" s="11">
        <f>G71*G72</f>
        <v>3400</v>
      </c>
      <c r="H77" s="11">
        <f>H71*H72</f>
        <v>3400</v>
      </c>
      <c r="I77" s="11">
        <f t="shared" si="32"/>
        <v>54032</v>
      </c>
      <c r="K77" s="4"/>
    </row>
    <row r="78" spans="1:11" x14ac:dyDescent="0.2">
      <c r="B78" s="7" t="s">
        <v>10</v>
      </c>
      <c r="C78" s="11">
        <f t="shared" ref="C78:I78" si="33">SUM(C76:C77)</f>
        <v>-9300</v>
      </c>
      <c r="D78" s="11">
        <f t="shared" si="33"/>
        <v>13538</v>
      </c>
      <c r="E78" s="11">
        <f t="shared" si="33"/>
        <v>13538</v>
      </c>
      <c r="F78" s="11">
        <f t="shared" si="33"/>
        <v>13538</v>
      </c>
      <c r="G78" s="11">
        <f>SUM(G76:G77)</f>
        <v>-9300</v>
      </c>
      <c r="H78" s="11">
        <f>SUM(H76:H77)</f>
        <v>-9300</v>
      </c>
      <c r="I78" s="11">
        <f t="shared" si="33"/>
        <v>13538</v>
      </c>
      <c r="K78" s="4"/>
    </row>
    <row r="79" spans="1:11" x14ac:dyDescent="0.2">
      <c r="A79" s="13"/>
      <c r="B79" s="2" t="s">
        <v>11</v>
      </c>
      <c r="C79" s="12">
        <f t="shared" ref="C79:I79" si="34">C73*C74</f>
        <v>9000</v>
      </c>
      <c r="D79" s="12">
        <f t="shared" si="34"/>
        <v>-10000</v>
      </c>
      <c r="E79" s="12">
        <f t="shared" si="34"/>
        <v>-10000</v>
      </c>
      <c r="F79" s="12">
        <f t="shared" si="34"/>
        <v>-10000</v>
      </c>
      <c r="G79" s="12">
        <f>G73*G74</f>
        <v>9000</v>
      </c>
      <c r="H79" s="12">
        <f>H73*H74</f>
        <v>9000</v>
      </c>
      <c r="I79" s="12">
        <f t="shared" si="34"/>
        <v>-10000</v>
      </c>
    </row>
    <row r="80" spans="1:11" x14ac:dyDescent="0.2">
      <c r="A80" s="14"/>
      <c r="E80" s="2"/>
      <c r="G80" s="2"/>
      <c r="H80" s="2"/>
      <c r="I80" s="2"/>
    </row>
    <row r="81" spans="1:11" s="1" customFormat="1" x14ac:dyDescent="0.2">
      <c r="A81" s="13"/>
      <c r="B81" s="1" t="s">
        <v>12</v>
      </c>
      <c r="C81" s="15">
        <f t="shared" ref="C81:I81" si="35">SUM(C78:C79)</f>
        <v>-300</v>
      </c>
      <c r="D81" s="15">
        <f t="shared" si="35"/>
        <v>3538</v>
      </c>
      <c r="E81" s="15">
        <f t="shared" si="35"/>
        <v>3538</v>
      </c>
      <c r="F81" s="15">
        <f t="shared" si="35"/>
        <v>3538</v>
      </c>
      <c r="G81" s="15">
        <f>SUM(G78:G79)</f>
        <v>-300</v>
      </c>
      <c r="H81" s="15">
        <f>SUM(H78:H79)</f>
        <v>-300</v>
      </c>
      <c r="I81" s="15">
        <f t="shared" si="35"/>
        <v>3538</v>
      </c>
      <c r="J81" s="8"/>
    </row>
    <row r="82" spans="1:11" x14ac:dyDescent="0.2">
      <c r="A82" s="16"/>
      <c r="B82" s="1" t="s">
        <v>13</v>
      </c>
      <c r="C82" s="15">
        <f t="shared" ref="C82:I82" si="36">C81*16</f>
        <v>-4800</v>
      </c>
      <c r="D82" s="15">
        <f t="shared" si="36"/>
        <v>56608</v>
      </c>
      <c r="E82" s="15">
        <f t="shared" si="36"/>
        <v>56608</v>
      </c>
      <c r="F82" s="15">
        <f t="shared" si="36"/>
        <v>56608</v>
      </c>
      <c r="G82" s="15">
        <f>G81*16</f>
        <v>-4800</v>
      </c>
      <c r="H82" s="15">
        <f>H81*16</f>
        <v>-4800</v>
      </c>
      <c r="I82" s="15">
        <f t="shared" si="36"/>
        <v>56608</v>
      </c>
      <c r="J82" s="3">
        <f>SUM(C82:I82)</f>
        <v>212032</v>
      </c>
    </row>
    <row r="83" spans="1:11" x14ac:dyDescent="0.2">
      <c r="A83" s="13"/>
    </row>
    <row r="84" spans="1:11" x14ac:dyDescent="0.2">
      <c r="A84" s="13"/>
      <c r="B84" s="2" t="s">
        <v>82</v>
      </c>
      <c r="C84" s="11">
        <f>(C76+C79)*16</f>
        <v>-59200</v>
      </c>
      <c r="D84" s="11">
        <f t="shared" ref="D84:I84" si="37">(D76+D79)*16</f>
        <v>-807904</v>
      </c>
      <c r="E84" s="11">
        <f t="shared" si="37"/>
        <v>-807904</v>
      </c>
      <c r="F84" s="11">
        <f t="shared" si="37"/>
        <v>-807904</v>
      </c>
      <c r="G84" s="11">
        <f t="shared" si="37"/>
        <v>-59200</v>
      </c>
      <c r="H84" s="11">
        <f t="shared" si="37"/>
        <v>-59200</v>
      </c>
      <c r="I84" s="11">
        <f t="shared" si="37"/>
        <v>-807904</v>
      </c>
    </row>
    <row r="85" spans="1:11" x14ac:dyDescent="0.2">
      <c r="A85" s="13"/>
      <c r="B85" s="2" t="s">
        <v>83</v>
      </c>
      <c r="C85" s="11">
        <f>C77*16</f>
        <v>54400</v>
      </c>
      <c r="D85" s="11">
        <f t="shared" ref="D85:I85" si="38">D77*16</f>
        <v>864512</v>
      </c>
      <c r="E85" s="11">
        <f t="shared" si="38"/>
        <v>864512</v>
      </c>
      <c r="F85" s="11">
        <f t="shared" si="38"/>
        <v>864512</v>
      </c>
      <c r="G85" s="11">
        <f t="shared" si="38"/>
        <v>54400</v>
      </c>
      <c r="H85" s="11">
        <f t="shared" si="38"/>
        <v>54400</v>
      </c>
      <c r="I85" s="11">
        <f t="shared" si="38"/>
        <v>864512</v>
      </c>
    </row>
    <row r="86" spans="1:11" x14ac:dyDescent="0.2">
      <c r="A86" s="13"/>
      <c r="B86" s="2" t="s">
        <v>77</v>
      </c>
      <c r="C86" s="11">
        <f t="shared" ref="C86:I86" si="39">SUM(C84:C85)</f>
        <v>-4800</v>
      </c>
      <c r="D86" s="11">
        <f t="shared" si="39"/>
        <v>56608</v>
      </c>
      <c r="E86" s="11">
        <f t="shared" si="39"/>
        <v>56608</v>
      </c>
      <c r="F86" s="11">
        <f t="shared" si="39"/>
        <v>56608</v>
      </c>
      <c r="G86" s="11">
        <f t="shared" si="39"/>
        <v>-4800</v>
      </c>
      <c r="H86" s="11">
        <f t="shared" si="39"/>
        <v>-4800</v>
      </c>
      <c r="I86" s="11">
        <f t="shared" si="39"/>
        <v>56608</v>
      </c>
    </row>
    <row r="87" spans="1:11" x14ac:dyDescent="0.2">
      <c r="A87" s="13"/>
    </row>
    <row r="88" spans="1:11" x14ac:dyDescent="0.2">
      <c r="A88" s="16"/>
    </row>
    <row r="89" spans="1:11" x14ac:dyDescent="0.2">
      <c r="A89" s="16"/>
    </row>
    <row r="90" spans="1:11" s="1" customFormat="1" x14ac:dyDescent="0.2">
      <c r="A90" s="1" t="s">
        <v>17</v>
      </c>
      <c r="B90" s="5" t="s">
        <v>2</v>
      </c>
      <c r="C90" s="28">
        <v>37257</v>
      </c>
      <c r="D90" s="6">
        <v>37258</v>
      </c>
      <c r="E90" s="6">
        <v>37259</v>
      </c>
      <c r="F90" s="6">
        <v>37260</v>
      </c>
      <c r="G90" s="28">
        <v>37261</v>
      </c>
      <c r="H90" s="28">
        <v>37262</v>
      </c>
      <c r="I90" s="6">
        <v>37263</v>
      </c>
      <c r="J90" s="8"/>
      <c r="K90" s="7"/>
    </row>
    <row r="91" spans="1:11" x14ac:dyDescent="0.2">
      <c r="B91" s="1" t="s">
        <v>3</v>
      </c>
      <c r="D91" s="19">
        <v>850</v>
      </c>
      <c r="E91" s="19">
        <v>850</v>
      </c>
      <c r="F91" s="19">
        <v>850</v>
      </c>
      <c r="G91" s="10"/>
      <c r="H91" s="21"/>
      <c r="I91" s="19">
        <v>850</v>
      </c>
      <c r="K91" s="4"/>
    </row>
    <row r="92" spans="1:11" x14ac:dyDescent="0.2">
      <c r="B92" s="8" t="s">
        <v>4</v>
      </c>
      <c r="C92" s="3">
        <v>0</v>
      </c>
      <c r="D92" s="10">
        <v>36.36</v>
      </c>
      <c r="E92" s="10">
        <v>36.36</v>
      </c>
      <c r="F92" s="10">
        <v>36.36</v>
      </c>
      <c r="G92" s="10"/>
      <c r="H92" s="21"/>
      <c r="I92" s="10">
        <v>36.36</v>
      </c>
      <c r="K92" s="4"/>
    </row>
    <row r="93" spans="1:11" x14ac:dyDescent="0.2">
      <c r="B93" s="1" t="s">
        <v>5</v>
      </c>
      <c r="D93" s="19">
        <v>650</v>
      </c>
      <c r="E93" s="19">
        <v>650</v>
      </c>
      <c r="F93" s="19">
        <v>650</v>
      </c>
      <c r="G93" s="10"/>
      <c r="H93" s="21"/>
      <c r="I93" s="19">
        <v>650</v>
      </c>
      <c r="K93" s="4"/>
    </row>
    <row r="94" spans="1:11" x14ac:dyDescent="0.2">
      <c r="B94" s="8" t="s">
        <v>4</v>
      </c>
      <c r="C94" s="3">
        <v>0</v>
      </c>
      <c r="D94" s="10">
        <v>35.96</v>
      </c>
      <c r="E94" s="10">
        <v>35.96</v>
      </c>
      <c r="F94" s="10">
        <v>35.96</v>
      </c>
      <c r="G94" s="10"/>
      <c r="H94" s="21"/>
      <c r="I94" s="10">
        <v>35.96</v>
      </c>
      <c r="K94" s="4"/>
    </row>
    <row r="95" spans="1:11" x14ac:dyDescent="0.2">
      <c r="B95" s="7" t="s">
        <v>6</v>
      </c>
      <c r="C95" s="4">
        <f t="shared" ref="C95:I95" si="40">C91-C93</f>
        <v>0</v>
      </c>
      <c r="D95" s="4">
        <f t="shared" si="40"/>
        <v>200</v>
      </c>
      <c r="E95" s="4">
        <f t="shared" si="40"/>
        <v>200</v>
      </c>
      <c r="F95" s="4">
        <f t="shared" si="40"/>
        <v>200</v>
      </c>
      <c r="G95" s="4">
        <f t="shared" si="40"/>
        <v>0</v>
      </c>
      <c r="H95" s="4">
        <f t="shared" si="40"/>
        <v>0</v>
      </c>
      <c r="I95" s="4">
        <f t="shared" si="40"/>
        <v>200</v>
      </c>
      <c r="K95" s="4"/>
    </row>
    <row r="96" spans="1:11" x14ac:dyDescent="0.2">
      <c r="B96" s="9" t="s">
        <v>7</v>
      </c>
      <c r="C96" s="10">
        <v>22</v>
      </c>
      <c r="D96" s="29">
        <v>28</v>
      </c>
      <c r="E96" s="29">
        <v>28</v>
      </c>
      <c r="F96" s="29">
        <v>28</v>
      </c>
      <c r="G96" s="10">
        <v>22</v>
      </c>
      <c r="H96" s="10">
        <v>22</v>
      </c>
      <c r="I96" s="29">
        <v>28</v>
      </c>
      <c r="K96" s="4"/>
    </row>
    <row r="97" spans="1:11" x14ac:dyDescent="0.2">
      <c r="B97" s="9"/>
      <c r="C97" s="11"/>
      <c r="D97" s="19"/>
      <c r="E97" s="19"/>
      <c r="F97" s="10"/>
      <c r="G97" s="10"/>
      <c r="H97" s="21"/>
      <c r="K97" s="4"/>
    </row>
    <row r="98" spans="1:11" x14ac:dyDescent="0.2">
      <c r="B98" s="9" t="s">
        <v>8</v>
      </c>
      <c r="C98" s="12">
        <f t="shared" ref="C98:I98" si="41">(C91*C92)*(-1)</f>
        <v>0</v>
      </c>
      <c r="D98" s="12">
        <f t="shared" si="41"/>
        <v>-30906</v>
      </c>
      <c r="E98" s="12">
        <f t="shared" si="41"/>
        <v>-30906</v>
      </c>
      <c r="F98" s="12">
        <f t="shared" si="41"/>
        <v>-30906</v>
      </c>
      <c r="G98" s="12">
        <f t="shared" si="41"/>
        <v>0</v>
      </c>
      <c r="H98" s="12">
        <f t="shared" si="41"/>
        <v>0</v>
      </c>
      <c r="I98" s="12">
        <f t="shared" si="41"/>
        <v>-30906</v>
      </c>
      <c r="K98" s="4"/>
    </row>
    <row r="99" spans="1:11" x14ac:dyDescent="0.2">
      <c r="B99" s="9" t="s">
        <v>9</v>
      </c>
      <c r="C99" s="11">
        <f t="shared" ref="C99:I99" si="42">C93*C94</f>
        <v>0</v>
      </c>
      <c r="D99" s="11">
        <f t="shared" si="42"/>
        <v>23374</v>
      </c>
      <c r="E99" s="11">
        <f t="shared" si="42"/>
        <v>23374</v>
      </c>
      <c r="F99" s="11">
        <f t="shared" si="42"/>
        <v>23374</v>
      </c>
      <c r="G99" s="11">
        <f t="shared" si="42"/>
        <v>0</v>
      </c>
      <c r="H99" s="11">
        <f t="shared" si="42"/>
        <v>0</v>
      </c>
      <c r="I99" s="11">
        <f t="shared" si="42"/>
        <v>23374</v>
      </c>
      <c r="K99" s="4"/>
    </row>
    <row r="100" spans="1:11" x14ac:dyDescent="0.2">
      <c r="B100" s="7" t="s">
        <v>10</v>
      </c>
      <c r="C100" s="11">
        <f t="shared" ref="C100:I100" si="43">SUM(C98:C99)</f>
        <v>0</v>
      </c>
      <c r="D100" s="11">
        <f t="shared" si="43"/>
        <v>-7532</v>
      </c>
      <c r="E100" s="11">
        <f t="shared" si="43"/>
        <v>-7532</v>
      </c>
      <c r="F100" s="11">
        <f t="shared" si="43"/>
        <v>-7532</v>
      </c>
      <c r="G100" s="11">
        <f t="shared" si="43"/>
        <v>0</v>
      </c>
      <c r="H100" s="11">
        <f t="shared" si="43"/>
        <v>0</v>
      </c>
      <c r="I100" s="11">
        <f t="shared" si="43"/>
        <v>-7532</v>
      </c>
      <c r="K100" s="4"/>
    </row>
    <row r="101" spans="1:11" x14ac:dyDescent="0.2">
      <c r="A101" s="13"/>
      <c r="B101" s="2" t="s">
        <v>11</v>
      </c>
      <c r="C101" s="12">
        <f t="shared" ref="C101:I101" si="44">C95*C96</f>
        <v>0</v>
      </c>
      <c r="D101" s="12">
        <f t="shared" si="44"/>
        <v>5600</v>
      </c>
      <c r="E101" s="12">
        <f t="shared" si="44"/>
        <v>5600</v>
      </c>
      <c r="F101" s="12">
        <f t="shared" si="44"/>
        <v>5600</v>
      </c>
      <c r="G101" s="12">
        <f t="shared" si="44"/>
        <v>0</v>
      </c>
      <c r="H101" s="12">
        <f t="shared" si="44"/>
        <v>0</v>
      </c>
      <c r="I101" s="12">
        <f t="shared" si="44"/>
        <v>5600</v>
      </c>
    </row>
    <row r="102" spans="1:11" x14ac:dyDescent="0.2">
      <c r="A102" s="14"/>
      <c r="E102" s="2"/>
      <c r="G102" s="2"/>
      <c r="H102" s="2"/>
      <c r="I102" s="2"/>
    </row>
    <row r="103" spans="1:11" s="1" customFormat="1" x14ac:dyDescent="0.2">
      <c r="A103" s="13"/>
      <c r="B103" s="1" t="s">
        <v>12</v>
      </c>
      <c r="C103" s="15">
        <f t="shared" ref="C103:I103" si="45">SUM(C100:C101)</f>
        <v>0</v>
      </c>
      <c r="D103" s="15">
        <f t="shared" si="45"/>
        <v>-1932</v>
      </c>
      <c r="E103" s="15">
        <f t="shared" si="45"/>
        <v>-1932</v>
      </c>
      <c r="F103" s="15">
        <f t="shared" si="45"/>
        <v>-1932</v>
      </c>
      <c r="G103" s="15">
        <f t="shared" si="45"/>
        <v>0</v>
      </c>
      <c r="H103" s="15">
        <f t="shared" si="45"/>
        <v>0</v>
      </c>
      <c r="I103" s="15">
        <f t="shared" si="45"/>
        <v>-1932</v>
      </c>
      <c r="J103" s="8"/>
    </row>
    <row r="104" spans="1:11" x14ac:dyDescent="0.2">
      <c r="A104" s="16"/>
      <c r="B104" s="1" t="s">
        <v>13</v>
      </c>
      <c r="C104" s="15">
        <f t="shared" ref="C104:I104" si="46">C103*16</f>
        <v>0</v>
      </c>
      <c r="D104" s="15">
        <f t="shared" si="46"/>
        <v>-30912</v>
      </c>
      <c r="E104" s="15">
        <f t="shared" si="46"/>
        <v>-30912</v>
      </c>
      <c r="F104" s="15">
        <f t="shared" si="46"/>
        <v>-30912</v>
      </c>
      <c r="G104" s="15">
        <f t="shared" si="46"/>
        <v>0</v>
      </c>
      <c r="H104" s="15">
        <f t="shared" si="46"/>
        <v>0</v>
      </c>
      <c r="I104" s="15">
        <f t="shared" si="46"/>
        <v>-30912</v>
      </c>
      <c r="J104" s="3">
        <f>SUM(C104:I104)</f>
        <v>-123648</v>
      </c>
    </row>
    <row r="105" spans="1:11" s="19" customFormat="1" x14ac:dyDescent="0.2">
      <c r="A105" s="16"/>
      <c r="B105" s="17"/>
      <c r="C105" s="18"/>
      <c r="D105" s="18"/>
      <c r="E105" s="18"/>
      <c r="F105" s="18"/>
      <c r="G105" s="18"/>
      <c r="H105" s="18"/>
      <c r="I105" s="18"/>
      <c r="J105" s="10"/>
    </row>
    <row r="106" spans="1:11" x14ac:dyDescent="0.2">
      <c r="A106" s="13"/>
      <c r="B106" s="2" t="s">
        <v>82</v>
      </c>
      <c r="C106" s="11">
        <f>(C98+C101)*16</f>
        <v>0</v>
      </c>
      <c r="D106" s="11">
        <f t="shared" ref="D106:I106" si="47">(D98+D101)*16</f>
        <v>-404896</v>
      </c>
      <c r="E106" s="11">
        <f t="shared" si="47"/>
        <v>-404896</v>
      </c>
      <c r="F106" s="11">
        <f t="shared" si="47"/>
        <v>-404896</v>
      </c>
      <c r="G106" s="11">
        <f t="shared" si="47"/>
        <v>0</v>
      </c>
      <c r="H106" s="11">
        <f t="shared" si="47"/>
        <v>0</v>
      </c>
      <c r="I106" s="11">
        <f t="shared" si="47"/>
        <v>-404896</v>
      </c>
    </row>
    <row r="107" spans="1:11" x14ac:dyDescent="0.2">
      <c r="A107" s="13"/>
      <c r="B107" s="2" t="s">
        <v>83</v>
      </c>
      <c r="C107" s="11">
        <f>C99*16</f>
        <v>0</v>
      </c>
      <c r="D107" s="11">
        <f t="shared" ref="D107:I107" si="48">D99*16</f>
        <v>373984</v>
      </c>
      <c r="E107" s="11">
        <f t="shared" si="48"/>
        <v>373984</v>
      </c>
      <c r="F107" s="11">
        <f t="shared" si="48"/>
        <v>373984</v>
      </c>
      <c r="G107" s="11">
        <f t="shared" si="48"/>
        <v>0</v>
      </c>
      <c r="H107" s="11">
        <f t="shared" si="48"/>
        <v>0</v>
      </c>
      <c r="I107" s="11">
        <f t="shared" si="48"/>
        <v>373984</v>
      </c>
    </row>
    <row r="108" spans="1:11" x14ac:dyDescent="0.2">
      <c r="A108" s="13"/>
      <c r="B108" s="2" t="s">
        <v>77</v>
      </c>
      <c r="C108" s="11">
        <f t="shared" ref="C108:I108" si="49">SUM(C106:C107)</f>
        <v>0</v>
      </c>
      <c r="D108" s="11">
        <f t="shared" si="49"/>
        <v>-30912</v>
      </c>
      <c r="E108" s="11">
        <f t="shared" si="49"/>
        <v>-30912</v>
      </c>
      <c r="F108" s="11">
        <f t="shared" si="49"/>
        <v>-30912</v>
      </c>
      <c r="G108" s="11">
        <f t="shared" si="49"/>
        <v>0</v>
      </c>
      <c r="H108" s="11">
        <f t="shared" si="49"/>
        <v>0</v>
      </c>
      <c r="I108" s="11">
        <f t="shared" si="49"/>
        <v>-30912</v>
      </c>
    </row>
    <row r="109" spans="1:11" x14ac:dyDescent="0.2">
      <c r="A109" s="13"/>
    </row>
    <row r="110" spans="1:11" x14ac:dyDescent="0.2">
      <c r="A110" s="20"/>
    </row>
    <row r="111" spans="1:11" s="1" customFormat="1" x14ac:dyDescent="0.2">
      <c r="A111" s="1" t="s">
        <v>17</v>
      </c>
      <c r="B111" s="5" t="s">
        <v>18</v>
      </c>
      <c r="C111" s="28">
        <v>37257</v>
      </c>
      <c r="D111" s="6">
        <v>37258</v>
      </c>
      <c r="E111" s="6">
        <v>37259</v>
      </c>
      <c r="F111" s="6">
        <v>37260</v>
      </c>
      <c r="G111" s="28">
        <v>37261</v>
      </c>
      <c r="H111" s="28">
        <v>37262</v>
      </c>
      <c r="I111" s="6">
        <v>37263</v>
      </c>
      <c r="J111" s="8"/>
      <c r="K111" s="7"/>
    </row>
    <row r="112" spans="1:11" x14ac:dyDescent="0.2">
      <c r="B112" s="1" t="s">
        <v>3</v>
      </c>
      <c r="D112" s="19">
        <v>550</v>
      </c>
      <c r="E112" s="19">
        <v>550</v>
      </c>
      <c r="F112" s="19">
        <v>550</v>
      </c>
      <c r="G112" s="10"/>
      <c r="H112" s="21"/>
      <c r="I112" s="19">
        <v>550</v>
      </c>
      <c r="K112" s="4"/>
    </row>
    <row r="113" spans="1:11" x14ac:dyDescent="0.2">
      <c r="B113" s="8" t="s">
        <v>4</v>
      </c>
      <c r="C113" s="3">
        <v>0</v>
      </c>
      <c r="D113" s="10">
        <v>28.04</v>
      </c>
      <c r="E113" s="10">
        <v>28.04</v>
      </c>
      <c r="F113" s="10">
        <v>28.04</v>
      </c>
      <c r="G113" s="10"/>
      <c r="H113" s="21"/>
      <c r="I113" s="10">
        <v>28.04</v>
      </c>
      <c r="K113" s="4"/>
    </row>
    <row r="114" spans="1:11" x14ac:dyDescent="0.2">
      <c r="B114" s="1" t="s">
        <v>5</v>
      </c>
      <c r="D114" s="19">
        <v>550</v>
      </c>
      <c r="E114" s="19">
        <v>550</v>
      </c>
      <c r="F114" s="19">
        <v>550</v>
      </c>
      <c r="G114" s="10"/>
      <c r="H114" s="21"/>
      <c r="I114" s="19">
        <v>550</v>
      </c>
      <c r="K114" s="4"/>
    </row>
    <row r="115" spans="1:11" x14ac:dyDescent="0.2">
      <c r="B115" s="8" t="s">
        <v>4</v>
      </c>
      <c r="C115" s="3">
        <v>0</v>
      </c>
      <c r="D115" s="10">
        <v>27.81</v>
      </c>
      <c r="E115" s="10">
        <v>27.81</v>
      </c>
      <c r="F115" s="10">
        <v>27.81</v>
      </c>
      <c r="G115" s="10"/>
      <c r="H115" s="21"/>
      <c r="I115" s="10">
        <v>27.81</v>
      </c>
      <c r="K115" s="4"/>
    </row>
    <row r="116" spans="1:11" x14ac:dyDescent="0.2">
      <c r="B116" s="7" t="s">
        <v>6</v>
      </c>
      <c r="C116" s="4">
        <f>C112-C114</f>
        <v>0</v>
      </c>
      <c r="D116" s="4">
        <f t="shared" ref="D116:I116" si="50">D112-D114</f>
        <v>0</v>
      </c>
      <c r="E116" s="4">
        <f t="shared" si="50"/>
        <v>0</v>
      </c>
      <c r="F116" s="4">
        <f t="shared" si="50"/>
        <v>0</v>
      </c>
      <c r="G116" s="4">
        <f t="shared" si="50"/>
        <v>0</v>
      </c>
      <c r="H116" s="4">
        <f t="shared" si="50"/>
        <v>0</v>
      </c>
      <c r="I116" s="4">
        <f t="shared" si="50"/>
        <v>0</v>
      </c>
      <c r="K116" s="4"/>
    </row>
    <row r="117" spans="1:11" x14ac:dyDescent="0.2">
      <c r="B117" s="9" t="s">
        <v>7</v>
      </c>
      <c r="C117" s="10">
        <v>22</v>
      </c>
      <c r="D117" s="29">
        <v>28</v>
      </c>
      <c r="E117" s="29">
        <v>28</v>
      </c>
      <c r="F117" s="29">
        <v>28</v>
      </c>
      <c r="G117" s="10">
        <v>22</v>
      </c>
      <c r="H117" s="10">
        <v>22</v>
      </c>
      <c r="I117" s="29">
        <v>28</v>
      </c>
      <c r="K117" s="4"/>
    </row>
    <row r="118" spans="1:11" x14ac:dyDescent="0.2">
      <c r="B118" s="9"/>
      <c r="C118" s="11"/>
      <c r="D118" s="19"/>
      <c r="E118" s="19"/>
      <c r="F118" s="10"/>
      <c r="G118" s="10"/>
      <c r="H118" s="21"/>
      <c r="K118" s="4"/>
    </row>
    <row r="119" spans="1:11" x14ac:dyDescent="0.2">
      <c r="B119" s="9" t="s">
        <v>8</v>
      </c>
      <c r="C119" s="12">
        <f t="shared" ref="C119:I119" si="51">(C112*C113)*(-1)</f>
        <v>0</v>
      </c>
      <c r="D119" s="12">
        <f t="shared" si="51"/>
        <v>-15422</v>
      </c>
      <c r="E119" s="12">
        <f t="shared" si="51"/>
        <v>-15422</v>
      </c>
      <c r="F119" s="12">
        <f t="shared" si="51"/>
        <v>-15422</v>
      </c>
      <c r="G119" s="12">
        <f t="shared" si="51"/>
        <v>0</v>
      </c>
      <c r="H119" s="12">
        <f t="shared" si="51"/>
        <v>0</v>
      </c>
      <c r="I119" s="12">
        <f t="shared" si="51"/>
        <v>-15422</v>
      </c>
      <c r="K119" s="4"/>
    </row>
    <row r="120" spans="1:11" x14ac:dyDescent="0.2">
      <c r="B120" s="9" t="s">
        <v>9</v>
      </c>
      <c r="C120" s="11">
        <f t="shared" ref="C120:I120" si="52">C114*C115</f>
        <v>0</v>
      </c>
      <c r="D120" s="11">
        <f t="shared" si="52"/>
        <v>15295.5</v>
      </c>
      <c r="E120" s="11">
        <f t="shared" si="52"/>
        <v>15295.5</v>
      </c>
      <c r="F120" s="11">
        <f t="shared" si="52"/>
        <v>15295.5</v>
      </c>
      <c r="G120" s="11">
        <f t="shared" si="52"/>
        <v>0</v>
      </c>
      <c r="H120" s="11">
        <f t="shared" si="52"/>
        <v>0</v>
      </c>
      <c r="I120" s="11">
        <f t="shared" si="52"/>
        <v>15295.5</v>
      </c>
      <c r="K120" s="4"/>
    </row>
    <row r="121" spans="1:11" x14ac:dyDescent="0.2">
      <c r="B121" s="7" t="s">
        <v>10</v>
      </c>
      <c r="C121" s="11">
        <f t="shared" ref="C121:I121" si="53">SUM(C119:C120)</f>
        <v>0</v>
      </c>
      <c r="D121" s="11">
        <f t="shared" si="53"/>
        <v>-126.5</v>
      </c>
      <c r="E121" s="11">
        <f t="shared" si="53"/>
        <v>-126.5</v>
      </c>
      <c r="F121" s="11">
        <f t="shared" si="53"/>
        <v>-126.5</v>
      </c>
      <c r="G121" s="11">
        <f t="shared" si="53"/>
        <v>0</v>
      </c>
      <c r="H121" s="11">
        <f t="shared" si="53"/>
        <v>0</v>
      </c>
      <c r="I121" s="11">
        <f t="shared" si="53"/>
        <v>-126.5</v>
      </c>
      <c r="K121" s="4"/>
    </row>
    <row r="122" spans="1:11" x14ac:dyDescent="0.2">
      <c r="A122" s="13"/>
      <c r="B122" s="2" t="s">
        <v>11</v>
      </c>
      <c r="C122" s="12">
        <f t="shared" ref="C122:I122" si="54">C116*C117</f>
        <v>0</v>
      </c>
      <c r="D122" s="12">
        <f t="shared" si="54"/>
        <v>0</v>
      </c>
      <c r="E122" s="12">
        <f t="shared" si="54"/>
        <v>0</v>
      </c>
      <c r="F122" s="12">
        <f t="shared" si="54"/>
        <v>0</v>
      </c>
      <c r="G122" s="12">
        <f t="shared" si="54"/>
        <v>0</v>
      </c>
      <c r="H122" s="12">
        <f t="shared" si="54"/>
        <v>0</v>
      </c>
      <c r="I122" s="12">
        <f t="shared" si="54"/>
        <v>0</v>
      </c>
    </row>
    <row r="123" spans="1:11" x14ac:dyDescent="0.2">
      <c r="A123" s="14"/>
      <c r="E123" s="2"/>
      <c r="G123" s="2"/>
      <c r="H123" s="2"/>
      <c r="I123" s="2"/>
    </row>
    <row r="124" spans="1:11" s="1" customFormat="1" x14ac:dyDescent="0.2">
      <c r="A124" s="13"/>
      <c r="B124" s="1" t="s">
        <v>12</v>
      </c>
      <c r="C124" s="15">
        <f t="shared" ref="C124:I124" si="55">SUM(C121:C122)</f>
        <v>0</v>
      </c>
      <c r="D124" s="15">
        <f t="shared" si="55"/>
        <v>-126.5</v>
      </c>
      <c r="E124" s="15">
        <f t="shared" si="55"/>
        <v>-126.5</v>
      </c>
      <c r="F124" s="15">
        <f t="shared" si="55"/>
        <v>-126.5</v>
      </c>
      <c r="G124" s="15">
        <f t="shared" si="55"/>
        <v>0</v>
      </c>
      <c r="H124" s="15">
        <f t="shared" si="55"/>
        <v>0</v>
      </c>
      <c r="I124" s="15">
        <f t="shared" si="55"/>
        <v>-126.5</v>
      </c>
      <c r="J124" s="8"/>
    </row>
    <row r="125" spans="1:11" x14ac:dyDescent="0.2">
      <c r="A125" s="16"/>
      <c r="B125" s="1" t="s">
        <v>13</v>
      </c>
      <c r="C125" s="15">
        <f t="shared" ref="C125:I125" si="56">C124*16</f>
        <v>0</v>
      </c>
      <c r="D125" s="15">
        <f t="shared" si="56"/>
        <v>-2024</v>
      </c>
      <c r="E125" s="15">
        <f t="shared" si="56"/>
        <v>-2024</v>
      </c>
      <c r="F125" s="15">
        <f t="shared" si="56"/>
        <v>-2024</v>
      </c>
      <c r="G125" s="15">
        <f t="shared" si="56"/>
        <v>0</v>
      </c>
      <c r="H125" s="15">
        <f t="shared" si="56"/>
        <v>0</v>
      </c>
      <c r="I125" s="15">
        <f t="shared" si="56"/>
        <v>-2024</v>
      </c>
      <c r="J125" s="3">
        <f>SUM(C125:I125)</f>
        <v>-8096</v>
      </c>
    </row>
    <row r="126" spans="1:11" x14ac:dyDescent="0.2">
      <c r="A126" s="20"/>
    </row>
    <row r="127" spans="1:11" x14ac:dyDescent="0.2">
      <c r="A127" s="13"/>
      <c r="B127" s="2" t="s">
        <v>82</v>
      </c>
      <c r="C127" s="11">
        <f>(C119+C122)*16</f>
        <v>0</v>
      </c>
      <c r="D127" s="11">
        <f t="shared" ref="D127:I127" si="57">(D119+D122)*16</f>
        <v>-246752</v>
      </c>
      <c r="E127" s="11">
        <f t="shared" si="57"/>
        <v>-246752</v>
      </c>
      <c r="F127" s="11">
        <f t="shared" si="57"/>
        <v>-246752</v>
      </c>
      <c r="G127" s="11">
        <f t="shared" si="57"/>
        <v>0</v>
      </c>
      <c r="H127" s="11">
        <f t="shared" si="57"/>
        <v>0</v>
      </c>
      <c r="I127" s="11">
        <f t="shared" si="57"/>
        <v>-246752</v>
      </c>
    </row>
    <row r="128" spans="1:11" x14ac:dyDescent="0.2">
      <c r="A128" s="13"/>
      <c r="B128" s="2" t="s">
        <v>83</v>
      </c>
      <c r="C128" s="11">
        <f>C120*16</f>
        <v>0</v>
      </c>
      <c r="D128" s="11">
        <f t="shared" ref="D128:I128" si="58">D120*16</f>
        <v>244728</v>
      </c>
      <c r="E128" s="11">
        <f t="shared" si="58"/>
        <v>244728</v>
      </c>
      <c r="F128" s="11">
        <f t="shared" si="58"/>
        <v>244728</v>
      </c>
      <c r="G128" s="11">
        <f t="shared" si="58"/>
        <v>0</v>
      </c>
      <c r="H128" s="11">
        <f t="shared" si="58"/>
        <v>0</v>
      </c>
      <c r="I128" s="11">
        <f t="shared" si="58"/>
        <v>244728</v>
      </c>
    </row>
    <row r="129" spans="1:28" x14ac:dyDescent="0.2">
      <c r="A129" s="13"/>
      <c r="B129" s="2" t="s">
        <v>77</v>
      </c>
      <c r="C129" s="11">
        <f t="shared" ref="C129:I129" si="59">SUM(C127:C128)</f>
        <v>0</v>
      </c>
      <c r="D129" s="11">
        <f t="shared" si="59"/>
        <v>-2024</v>
      </c>
      <c r="E129" s="11">
        <f t="shared" si="59"/>
        <v>-2024</v>
      </c>
      <c r="F129" s="11">
        <f t="shared" si="59"/>
        <v>-2024</v>
      </c>
      <c r="G129" s="11">
        <f t="shared" si="59"/>
        <v>0</v>
      </c>
      <c r="H129" s="11">
        <f t="shared" si="59"/>
        <v>0</v>
      </c>
      <c r="I129" s="11">
        <f t="shared" si="59"/>
        <v>-2024</v>
      </c>
    </row>
    <row r="130" spans="1:28" x14ac:dyDescent="0.2">
      <c r="A130" s="13"/>
    </row>
    <row r="131" spans="1:28" s="1" customFormat="1" x14ac:dyDescent="0.2">
      <c r="A131" s="1" t="s">
        <v>17</v>
      </c>
      <c r="B131" s="5" t="s">
        <v>19</v>
      </c>
      <c r="C131" s="28">
        <v>37257</v>
      </c>
      <c r="D131" s="6">
        <v>37258</v>
      </c>
      <c r="E131" s="6">
        <v>37259</v>
      </c>
      <c r="F131" s="6">
        <v>37260</v>
      </c>
      <c r="G131" s="28">
        <v>37261</v>
      </c>
      <c r="H131" s="28">
        <v>37262</v>
      </c>
      <c r="I131" s="6">
        <v>37263</v>
      </c>
      <c r="J131" s="8"/>
      <c r="K131" s="7"/>
    </row>
    <row r="132" spans="1:28" x14ac:dyDescent="0.2">
      <c r="B132" s="1" t="s">
        <v>3</v>
      </c>
      <c r="D132" s="19">
        <v>300</v>
      </c>
      <c r="E132" s="19">
        <v>300</v>
      </c>
      <c r="F132" s="19">
        <v>300</v>
      </c>
      <c r="G132" s="2"/>
      <c r="H132" s="2"/>
      <c r="I132" s="19">
        <v>300</v>
      </c>
      <c r="K132" s="4"/>
    </row>
    <row r="133" spans="1:28" x14ac:dyDescent="0.2">
      <c r="B133" s="8" t="s">
        <v>4</v>
      </c>
      <c r="C133" s="3">
        <v>0</v>
      </c>
      <c r="D133" s="10">
        <v>51.69</v>
      </c>
      <c r="E133" s="10">
        <v>51.69</v>
      </c>
      <c r="F133" s="10">
        <v>51.69</v>
      </c>
      <c r="G133" s="3">
        <v>0</v>
      </c>
      <c r="H133" s="3">
        <v>0</v>
      </c>
      <c r="I133" s="10">
        <v>51.69</v>
      </c>
      <c r="K133" s="4"/>
    </row>
    <row r="134" spans="1:28" x14ac:dyDescent="0.2">
      <c r="B134" s="1" t="s">
        <v>5</v>
      </c>
      <c r="C134" s="2">
        <v>350</v>
      </c>
      <c r="D134" s="19">
        <v>575</v>
      </c>
      <c r="E134" s="19">
        <v>575</v>
      </c>
      <c r="F134" s="19">
        <v>575</v>
      </c>
      <c r="G134" s="2">
        <v>350</v>
      </c>
      <c r="H134" s="2">
        <v>350</v>
      </c>
      <c r="I134" s="19">
        <v>575</v>
      </c>
      <c r="K134" s="4"/>
    </row>
    <row r="135" spans="1:28" x14ac:dyDescent="0.2">
      <c r="B135" s="8" t="s">
        <v>4</v>
      </c>
      <c r="C135" s="3">
        <v>30.49</v>
      </c>
      <c r="D135" s="10">
        <v>49.21</v>
      </c>
      <c r="E135" s="10">
        <v>49.21</v>
      </c>
      <c r="F135" s="10">
        <v>49.21</v>
      </c>
      <c r="G135" s="3">
        <v>30.49</v>
      </c>
      <c r="H135" s="3">
        <v>30.49</v>
      </c>
      <c r="I135" s="10">
        <v>49.21</v>
      </c>
      <c r="K135" s="4"/>
    </row>
    <row r="136" spans="1:28" x14ac:dyDescent="0.2">
      <c r="B136" s="7" t="s">
        <v>6</v>
      </c>
      <c r="C136" s="4">
        <f t="shared" ref="C136:I136" si="60">C132-C134</f>
        <v>-350</v>
      </c>
      <c r="D136" s="4">
        <f t="shared" si="60"/>
        <v>-275</v>
      </c>
      <c r="E136" s="4">
        <f t="shared" si="60"/>
        <v>-275</v>
      </c>
      <c r="F136" s="4">
        <f t="shared" si="60"/>
        <v>-275</v>
      </c>
      <c r="G136" s="4">
        <f t="shared" si="60"/>
        <v>-350</v>
      </c>
      <c r="H136" s="4">
        <f t="shared" si="60"/>
        <v>-350</v>
      </c>
      <c r="I136" s="4">
        <f t="shared" si="60"/>
        <v>-275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">
      <c r="B137" s="9" t="s">
        <v>7</v>
      </c>
      <c r="C137" s="10">
        <v>30</v>
      </c>
      <c r="D137" s="29">
        <v>40</v>
      </c>
      <c r="E137" s="29">
        <v>40</v>
      </c>
      <c r="F137" s="29">
        <v>40</v>
      </c>
      <c r="G137" s="10">
        <v>30</v>
      </c>
      <c r="H137" s="10">
        <v>30</v>
      </c>
      <c r="I137" s="29">
        <v>40</v>
      </c>
      <c r="K137" s="4"/>
    </row>
    <row r="138" spans="1:28" x14ac:dyDescent="0.2">
      <c r="B138" s="9"/>
      <c r="C138" s="11"/>
      <c r="D138" s="19"/>
      <c r="E138" s="19"/>
      <c r="F138" s="10"/>
      <c r="G138" s="11"/>
      <c r="H138" s="11"/>
      <c r="K138" s="4"/>
    </row>
    <row r="139" spans="1:28" x14ac:dyDescent="0.2">
      <c r="B139" s="9" t="s">
        <v>8</v>
      </c>
      <c r="C139" s="12">
        <f t="shared" ref="C139:I139" si="61">(C132*C133)*(-1)</f>
        <v>0</v>
      </c>
      <c r="D139" s="12">
        <f t="shared" si="61"/>
        <v>-15507</v>
      </c>
      <c r="E139" s="12">
        <f t="shared" si="61"/>
        <v>-15507</v>
      </c>
      <c r="F139" s="12">
        <f t="shared" si="61"/>
        <v>-15507</v>
      </c>
      <c r="G139" s="12">
        <f>(G132*G133)*(-1)</f>
        <v>0</v>
      </c>
      <c r="H139" s="12">
        <f>(H132*H133)*(-1)</f>
        <v>0</v>
      </c>
      <c r="I139" s="12">
        <f t="shared" si="61"/>
        <v>-15507</v>
      </c>
      <c r="K139" s="4"/>
    </row>
    <row r="140" spans="1:28" x14ac:dyDescent="0.2">
      <c r="B140" s="9" t="s">
        <v>9</v>
      </c>
      <c r="C140" s="11">
        <f t="shared" ref="C140:I140" si="62">C134*C135</f>
        <v>10671.5</v>
      </c>
      <c r="D140" s="11">
        <f t="shared" si="62"/>
        <v>28295.75</v>
      </c>
      <c r="E140" s="11">
        <f t="shared" si="62"/>
        <v>28295.75</v>
      </c>
      <c r="F140" s="11">
        <f t="shared" si="62"/>
        <v>28295.75</v>
      </c>
      <c r="G140" s="11">
        <f>G134*G135</f>
        <v>10671.5</v>
      </c>
      <c r="H140" s="11">
        <f>H134*H135</f>
        <v>10671.5</v>
      </c>
      <c r="I140" s="11">
        <f t="shared" si="62"/>
        <v>28295.75</v>
      </c>
      <c r="K140" s="4"/>
    </row>
    <row r="141" spans="1:28" x14ac:dyDescent="0.2">
      <c r="B141" s="7" t="s">
        <v>10</v>
      </c>
      <c r="C141" s="11">
        <f t="shared" ref="C141:I141" si="63">SUM(C139:C140)</f>
        <v>10671.5</v>
      </c>
      <c r="D141" s="11">
        <f t="shared" si="63"/>
        <v>12788.75</v>
      </c>
      <c r="E141" s="11">
        <f t="shared" si="63"/>
        <v>12788.75</v>
      </c>
      <c r="F141" s="11">
        <f t="shared" si="63"/>
        <v>12788.75</v>
      </c>
      <c r="G141" s="11">
        <f>SUM(G139:G140)</f>
        <v>10671.5</v>
      </c>
      <c r="H141" s="11">
        <f>SUM(H139:H140)</f>
        <v>10671.5</v>
      </c>
      <c r="I141" s="11">
        <f t="shared" si="63"/>
        <v>12788.75</v>
      </c>
      <c r="K141" s="4"/>
    </row>
    <row r="142" spans="1:28" x14ac:dyDescent="0.2">
      <c r="A142" s="13"/>
      <c r="B142" s="2" t="s">
        <v>11</v>
      </c>
      <c r="C142" s="12">
        <f t="shared" ref="C142:I142" si="64">C136*C137</f>
        <v>-10500</v>
      </c>
      <c r="D142" s="12">
        <f t="shared" si="64"/>
        <v>-11000</v>
      </c>
      <c r="E142" s="12">
        <f t="shared" si="64"/>
        <v>-11000</v>
      </c>
      <c r="F142" s="12">
        <f t="shared" si="64"/>
        <v>-11000</v>
      </c>
      <c r="G142" s="12">
        <f>G136*G137</f>
        <v>-10500</v>
      </c>
      <c r="H142" s="12">
        <f>H136*H137</f>
        <v>-10500</v>
      </c>
      <c r="I142" s="12">
        <f t="shared" si="64"/>
        <v>-11000</v>
      </c>
    </row>
    <row r="143" spans="1:28" x14ac:dyDescent="0.2">
      <c r="A143" s="14"/>
      <c r="E143" s="2"/>
      <c r="G143" s="2"/>
      <c r="H143" s="2"/>
      <c r="I143" s="2"/>
    </row>
    <row r="144" spans="1:28" s="1" customFormat="1" x14ac:dyDescent="0.2">
      <c r="A144" s="13"/>
      <c r="B144" s="1" t="s">
        <v>12</v>
      </c>
      <c r="C144" s="15">
        <f t="shared" ref="C144:I144" si="65">SUM(C141:C142)</f>
        <v>171.5</v>
      </c>
      <c r="D144" s="15">
        <f t="shared" si="65"/>
        <v>1788.75</v>
      </c>
      <c r="E144" s="15">
        <f t="shared" si="65"/>
        <v>1788.75</v>
      </c>
      <c r="F144" s="15">
        <f t="shared" si="65"/>
        <v>1788.75</v>
      </c>
      <c r="G144" s="15">
        <f>SUM(G141:G142)</f>
        <v>171.5</v>
      </c>
      <c r="H144" s="15">
        <f>SUM(H141:H142)</f>
        <v>171.5</v>
      </c>
      <c r="I144" s="15">
        <f t="shared" si="65"/>
        <v>1788.75</v>
      </c>
      <c r="J144" s="8"/>
    </row>
    <row r="145" spans="1:11" x14ac:dyDescent="0.2">
      <c r="A145" s="16"/>
      <c r="B145" s="1" t="s">
        <v>13</v>
      </c>
      <c r="C145" s="15">
        <f t="shared" ref="C145:I145" si="66">C144*16</f>
        <v>2744</v>
      </c>
      <c r="D145" s="15">
        <f t="shared" si="66"/>
        <v>28620</v>
      </c>
      <c r="E145" s="15">
        <f t="shared" si="66"/>
        <v>28620</v>
      </c>
      <c r="F145" s="15">
        <f t="shared" si="66"/>
        <v>28620</v>
      </c>
      <c r="G145" s="15">
        <f>G144*16</f>
        <v>2744</v>
      </c>
      <c r="H145" s="15">
        <f>H144*16</f>
        <v>2744</v>
      </c>
      <c r="I145" s="15">
        <f t="shared" si="66"/>
        <v>28620</v>
      </c>
      <c r="J145" s="3">
        <f>SUM(C145:I145)</f>
        <v>122712</v>
      </c>
    </row>
    <row r="146" spans="1:11" x14ac:dyDescent="0.2">
      <c r="A146" s="20"/>
    </row>
    <row r="147" spans="1:11" x14ac:dyDescent="0.2">
      <c r="A147" s="13"/>
      <c r="B147" s="2" t="s">
        <v>82</v>
      </c>
      <c r="C147" s="11">
        <f>(C139+C142)*16</f>
        <v>-168000</v>
      </c>
      <c r="D147" s="11">
        <f t="shared" ref="D147:I147" si="67">(D139+D142)*16</f>
        <v>-424112</v>
      </c>
      <c r="E147" s="11">
        <f t="shared" si="67"/>
        <v>-424112</v>
      </c>
      <c r="F147" s="11">
        <f t="shared" si="67"/>
        <v>-424112</v>
      </c>
      <c r="G147" s="11">
        <f t="shared" si="67"/>
        <v>-168000</v>
      </c>
      <c r="H147" s="11">
        <f t="shared" si="67"/>
        <v>-168000</v>
      </c>
      <c r="I147" s="11">
        <f t="shared" si="67"/>
        <v>-424112</v>
      </c>
    </row>
    <row r="148" spans="1:11" x14ac:dyDescent="0.2">
      <c r="A148" s="13"/>
      <c r="B148" s="2" t="s">
        <v>83</v>
      </c>
      <c r="C148" s="11">
        <f>C140*16</f>
        <v>170744</v>
      </c>
      <c r="D148" s="11">
        <f t="shared" ref="D148:I148" si="68">D140*16</f>
        <v>452732</v>
      </c>
      <c r="E148" s="11">
        <f t="shared" si="68"/>
        <v>452732</v>
      </c>
      <c r="F148" s="11">
        <f t="shared" si="68"/>
        <v>452732</v>
      </c>
      <c r="G148" s="11">
        <f t="shared" si="68"/>
        <v>170744</v>
      </c>
      <c r="H148" s="11">
        <f t="shared" si="68"/>
        <v>170744</v>
      </c>
      <c r="I148" s="11">
        <f t="shared" si="68"/>
        <v>452732</v>
      </c>
    </row>
    <row r="149" spans="1:11" x14ac:dyDescent="0.2">
      <c r="A149" s="13"/>
      <c r="B149" s="2" t="s">
        <v>77</v>
      </c>
      <c r="C149" s="11">
        <f t="shared" ref="C149:I149" si="69">SUM(C147:C148)</f>
        <v>2744</v>
      </c>
      <c r="D149" s="11">
        <f t="shared" si="69"/>
        <v>28620</v>
      </c>
      <c r="E149" s="11">
        <f t="shared" si="69"/>
        <v>28620</v>
      </c>
      <c r="F149" s="11">
        <f t="shared" si="69"/>
        <v>28620</v>
      </c>
      <c r="G149" s="11">
        <f t="shared" si="69"/>
        <v>2744</v>
      </c>
      <c r="H149" s="11">
        <f t="shared" si="69"/>
        <v>2744</v>
      </c>
      <c r="I149" s="11">
        <f t="shared" si="69"/>
        <v>28620</v>
      </c>
    </row>
    <row r="150" spans="1:11" x14ac:dyDescent="0.2">
      <c r="A150" s="13"/>
    </row>
    <row r="151" spans="1:11" x14ac:dyDescent="0.2">
      <c r="A151" s="20"/>
    </row>
    <row r="152" spans="1:11" s="1" customFormat="1" x14ac:dyDescent="0.2">
      <c r="A152" s="1" t="s">
        <v>20</v>
      </c>
      <c r="B152" s="5" t="s">
        <v>2</v>
      </c>
      <c r="C152" s="28">
        <v>37257</v>
      </c>
      <c r="D152" s="6">
        <v>37258</v>
      </c>
      <c r="E152" s="6">
        <v>37259</v>
      </c>
      <c r="F152" s="6">
        <v>37260</v>
      </c>
      <c r="G152" s="28">
        <v>37261</v>
      </c>
      <c r="H152" s="28">
        <v>37262</v>
      </c>
      <c r="I152" s="6">
        <v>37263</v>
      </c>
      <c r="J152" s="8"/>
      <c r="K152" s="7"/>
    </row>
    <row r="153" spans="1:11" x14ac:dyDescent="0.2">
      <c r="B153" s="1" t="s">
        <v>3</v>
      </c>
      <c r="D153" s="19">
        <v>0</v>
      </c>
      <c r="E153" s="19">
        <v>0</v>
      </c>
      <c r="F153" s="19">
        <v>0</v>
      </c>
      <c r="G153" s="10"/>
      <c r="H153" s="21"/>
      <c r="I153" s="19">
        <v>0</v>
      </c>
      <c r="K153" s="4"/>
    </row>
    <row r="154" spans="1:11" x14ac:dyDescent="0.2">
      <c r="B154" s="8" t="s">
        <v>4</v>
      </c>
      <c r="C154" s="3">
        <v>0</v>
      </c>
      <c r="D154" s="10">
        <v>0</v>
      </c>
      <c r="E154" s="10">
        <v>0</v>
      </c>
      <c r="F154" s="10">
        <v>0</v>
      </c>
      <c r="G154" s="10"/>
      <c r="H154" s="21"/>
      <c r="I154" s="10">
        <v>0</v>
      </c>
      <c r="K154" s="4"/>
    </row>
    <row r="155" spans="1:11" x14ac:dyDescent="0.2">
      <c r="B155" s="1" t="s">
        <v>5</v>
      </c>
      <c r="D155" s="19">
        <v>300</v>
      </c>
      <c r="E155" s="19">
        <v>300</v>
      </c>
      <c r="F155" s="19">
        <v>300</v>
      </c>
      <c r="G155" s="10"/>
      <c r="H155" s="21"/>
      <c r="I155" s="19">
        <v>300</v>
      </c>
      <c r="K155" s="4"/>
    </row>
    <row r="156" spans="1:11" x14ac:dyDescent="0.2">
      <c r="B156" s="8" t="s">
        <v>4</v>
      </c>
      <c r="C156" s="3">
        <v>0</v>
      </c>
      <c r="D156" s="10">
        <v>48.6</v>
      </c>
      <c r="E156" s="10">
        <v>48.6</v>
      </c>
      <c r="F156" s="10">
        <v>48.6</v>
      </c>
      <c r="G156" s="10"/>
      <c r="H156" s="21"/>
      <c r="I156" s="10">
        <v>48.6</v>
      </c>
      <c r="K156" s="4"/>
    </row>
    <row r="157" spans="1:11" x14ac:dyDescent="0.2">
      <c r="B157" s="7" t="s">
        <v>6</v>
      </c>
      <c r="C157" s="4">
        <f>C153-C155</f>
        <v>0</v>
      </c>
      <c r="D157" s="4">
        <f t="shared" ref="D157:I157" si="70">D153-D155</f>
        <v>-300</v>
      </c>
      <c r="E157" s="4">
        <f t="shared" si="70"/>
        <v>-300</v>
      </c>
      <c r="F157" s="4">
        <f t="shared" si="70"/>
        <v>-300</v>
      </c>
      <c r="G157" s="4">
        <f t="shared" si="70"/>
        <v>0</v>
      </c>
      <c r="H157" s="4">
        <f t="shared" si="70"/>
        <v>0</v>
      </c>
      <c r="I157" s="4">
        <f t="shared" si="70"/>
        <v>-300</v>
      </c>
      <c r="K157" s="4"/>
    </row>
    <row r="158" spans="1:11" x14ac:dyDescent="0.2">
      <c r="B158" s="9" t="s">
        <v>7</v>
      </c>
      <c r="C158" s="10">
        <v>22</v>
      </c>
      <c r="D158" s="29">
        <v>28</v>
      </c>
      <c r="E158" s="29">
        <v>28</v>
      </c>
      <c r="F158" s="29">
        <v>28</v>
      </c>
      <c r="G158" s="10">
        <v>22</v>
      </c>
      <c r="H158" s="10">
        <v>22</v>
      </c>
      <c r="I158" s="29">
        <v>28</v>
      </c>
      <c r="K158" s="4"/>
    </row>
    <row r="159" spans="1:11" x14ac:dyDescent="0.2">
      <c r="B159" s="9"/>
      <c r="C159" s="11"/>
      <c r="D159" s="19"/>
      <c r="E159" s="19"/>
      <c r="F159" s="10"/>
      <c r="G159" s="10"/>
      <c r="H159" s="21"/>
      <c r="K159" s="4"/>
    </row>
    <row r="160" spans="1:11" x14ac:dyDescent="0.2">
      <c r="B160" s="9" t="s">
        <v>8</v>
      </c>
      <c r="C160" s="12">
        <f t="shared" ref="C160:I160" si="71">(C153*C154)*(-1)</f>
        <v>0</v>
      </c>
      <c r="D160" s="12">
        <f t="shared" si="71"/>
        <v>0</v>
      </c>
      <c r="E160" s="12">
        <f t="shared" si="71"/>
        <v>0</v>
      </c>
      <c r="F160" s="12">
        <f t="shared" si="71"/>
        <v>0</v>
      </c>
      <c r="G160" s="12">
        <f t="shared" si="71"/>
        <v>0</v>
      </c>
      <c r="H160" s="12">
        <f t="shared" si="71"/>
        <v>0</v>
      </c>
      <c r="I160" s="12">
        <f t="shared" si="71"/>
        <v>0</v>
      </c>
      <c r="K160" s="4"/>
    </row>
    <row r="161" spans="1:11" x14ac:dyDescent="0.2">
      <c r="B161" s="9" t="s">
        <v>9</v>
      </c>
      <c r="C161" s="11">
        <f t="shared" ref="C161:I161" si="72">C155*C156</f>
        <v>0</v>
      </c>
      <c r="D161" s="11">
        <f t="shared" si="72"/>
        <v>14580</v>
      </c>
      <c r="E161" s="11">
        <f t="shared" si="72"/>
        <v>14580</v>
      </c>
      <c r="F161" s="11">
        <f t="shared" si="72"/>
        <v>14580</v>
      </c>
      <c r="G161" s="11">
        <f t="shared" si="72"/>
        <v>0</v>
      </c>
      <c r="H161" s="11">
        <f t="shared" si="72"/>
        <v>0</v>
      </c>
      <c r="I161" s="11">
        <f t="shared" si="72"/>
        <v>14580</v>
      </c>
      <c r="K161" s="4"/>
    </row>
    <row r="162" spans="1:11" x14ac:dyDescent="0.2">
      <c r="B162" s="7" t="s">
        <v>10</v>
      </c>
      <c r="C162" s="11">
        <f t="shared" ref="C162:I162" si="73">SUM(C160:C161)</f>
        <v>0</v>
      </c>
      <c r="D162" s="11">
        <f t="shared" si="73"/>
        <v>14580</v>
      </c>
      <c r="E162" s="11">
        <f t="shared" si="73"/>
        <v>14580</v>
      </c>
      <c r="F162" s="11">
        <f t="shared" si="73"/>
        <v>14580</v>
      </c>
      <c r="G162" s="11">
        <f t="shared" si="73"/>
        <v>0</v>
      </c>
      <c r="H162" s="11">
        <f t="shared" si="73"/>
        <v>0</v>
      </c>
      <c r="I162" s="11">
        <f t="shared" si="73"/>
        <v>14580</v>
      </c>
      <c r="K162" s="4"/>
    </row>
    <row r="163" spans="1:11" x14ac:dyDescent="0.2">
      <c r="A163" s="13"/>
      <c r="B163" s="2" t="s">
        <v>11</v>
      </c>
      <c r="C163" s="12">
        <f t="shared" ref="C163:I163" si="74">C157*C158</f>
        <v>0</v>
      </c>
      <c r="D163" s="12">
        <f t="shared" si="74"/>
        <v>-8400</v>
      </c>
      <c r="E163" s="12">
        <f t="shared" si="74"/>
        <v>-8400</v>
      </c>
      <c r="F163" s="12">
        <f t="shared" si="74"/>
        <v>-8400</v>
      </c>
      <c r="G163" s="12">
        <f t="shared" si="74"/>
        <v>0</v>
      </c>
      <c r="H163" s="12">
        <f t="shared" si="74"/>
        <v>0</v>
      </c>
      <c r="I163" s="12">
        <f t="shared" si="74"/>
        <v>-8400</v>
      </c>
    </row>
    <row r="164" spans="1:11" x14ac:dyDescent="0.2">
      <c r="A164" s="14"/>
      <c r="E164" s="2"/>
      <c r="G164" s="2"/>
      <c r="H164" s="2"/>
      <c r="I164" s="2"/>
    </row>
    <row r="165" spans="1:11" s="1" customFormat="1" x14ac:dyDescent="0.2">
      <c r="A165" s="13"/>
      <c r="B165" s="1" t="s">
        <v>12</v>
      </c>
      <c r="C165" s="15">
        <f t="shared" ref="C165:I165" si="75">SUM(C162:C163)</f>
        <v>0</v>
      </c>
      <c r="D165" s="15">
        <f t="shared" si="75"/>
        <v>6180</v>
      </c>
      <c r="E165" s="15">
        <f t="shared" si="75"/>
        <v>6180</v>
      </c>
      <c r="F165" s="15">
        <f t="shared" si="75"/>
        <v>6180</v>
      </c>
      <c r="G165" s="15">
        <f t="shared" si="75"/>
        <v>0</v>
      </c>
      <c r="H165" s="15">
        <f t="shared" si="75"/>
        <v>0</v>
      </c>
      <c r="I165" s="15">
        <f t="shared" si="75"/>
        <v>6180</v>
      </c>
      <c r="J165" s="8"/>
    </row>
    <row r="166" spans="1:11" x14ac:dyDescent="0.2">
      <c r="A166" s="16"/>
      <c r="B166" s="1" t="s">
        <v>13</v>
      </c>
      <c r="C166" s="15">
        <f t="shared" ref="C166:I166" si="76">C165*16</f>
        <v>0</v>
      </c>
      <c r="D166" s="15">
        <f t="shared" si="76"/>
        <v>98880</v>
      </c>
      <c r="E166" s="15">
        <f t="shared" si="76"/>
        <v>98880</v>
      </c>
      <c r="F166" s="15">
        <f t="shared" si="76"/>
        <v>98880</v>
      </c>
      <c r="G166" s="15">
        <f t="shared" si="76"/>
        <v>0</v>
      </c>
      <c r="H166" s="15">
        <f t="shared" si="76"/>
        <v>0</v>
      </c>
      <c r="I166" s="15">
        <f t="shared" si="76"/>
        <v>98880</v>
      </c>
      <c r="J166" s="3">
        <f>SUM(C166:I166)</f>
        <v>395520</v>
      </c>
    </row>
    <row r="167" spans="1:11" x14ac:dyDescent="0.2">
      <c r="A167" s="20"/>
    </row>
    <row r="168" spans="1:11" x14ac:dyDescent="0.2">
      <c r="A168" s="13"/>
      <c r="B168" s="2" t="s">
        <v>82</v>
      </c>
      <c r="C168" s="11">
        <f>(C160+C163)*16</f>
        <v>0</v>
      </c>
      <c r="D168" s="11">
        <f t="shared" ref="D168:I168" si="77">(D160+D163)*16</f>
        <v>-134400</v>
      </c>
      <c r="E168" s="11">
        <f t="shared" si="77"/>
        <v>-134400</v>
      </c>
      <c r="F168" s="11">
        <f t="shared" si="77"/>
        <v>-134400</v>
      </c>
      <c r="G168" s="11">
        <f t="shared" si="77"/>
        <v>0</v>
      </c>
      <c r="H168" s="11">
        <f t="shared" si="77"/>
        <v>0</v>
      </c>
      <c r="I168" s="11">
        <f t="shared" si="77"/>
        <v>-134400</v>
      </c>
    </row>
    <row r="169" spans="1:11" x14ac:dyDescent="0.2">
      <c r="A169" s="13"/>
      <c r="B169" s="2" t="s">
        <v>83</v>
      </c>
      <c r="C169" s="11">
        <f>C161*16</f>
        <v>0</v>
      </c>
      <c r="D169" s="11">
        <f t="shared" ref="D169:I169" si="78">D161*16</f>
        <v>233280</v>
      </c>
      <c r="E169" s="11">
        <f t="shared" si="78"/>
        <v>233280</v>
      </c>
      <c r="F169" s="11">
        <f t="shared" si="78"/>
        <v>233280</v>
      </c>
      <c r="G169" s="11">
        <f t="shared" si="78"/>
        <v>0</v>
      </c>
      <c r="H169" s="11">
        <f t="shared" si="78"/>
        <v>0</v>
      </c>
      <c r="I169" s="11">
        <f t="shared" si="78"/>
        <v>233280</v>
      </c>
    </row>
    <row r="170" spans="1:11" x14ac:dyDescent="0.2">
      <c r="A170" s="13"/>
      <c r="B170" s="2" t="s">
        <v>77</v>
      </c>
      <c r="C170" s="11">
        <f t="shared" ref="C170:I170" si="79">SUM(C168:C169)</f>
        <v>0</v>
      </c>
      <c r="D170" s="11">
        <f t="shared" si="79"/>
        <v>98880</v>
      </c>
      <c r="E170" s="11">
        <f t="shared" si="79"/>
        <v>98880</v>
      </c>
      <c r="F170" s="11">
        <f t="shared" si="79"/>
        <v>98880</v>
      </c>
      <c r="G170" s="11">
        <f t="shared" si="79"/>
        <v>0</v>
      </c>
      <c r="H170" s="11">
        <f t="shared" si="79"/>
        <v>0</v>
      </c>
      <c r="I170" s="11">
        <f t="shared" si="79"/>
        <v>98880</v>
      </c>
    </row>
    <row r="171" spans="1:11" x14ac:dyDescent="0.2">
      <c r="A171" s="13"/>
    </row>
    <row r="172" spans="1:11" x14ac:dyDescent="0.2">
      <c r="A172" s="20"/>
    </row>
    <row r="173" spans="1:11" s="1" customFormat="1" x14ac:dyDescent="0.2">
      <c r="A173" s="1" t="s">
        <v>21</v>
      </c>
      <c r="B173" s="5" t="s">
        <v>2</v>
      </c>
      <c r="C173" s="28">
        <v>37257</v>
      </c>
      <c r="D173" s="6">
        <v>37258</v>
      </c>
      <c r="E173" s="6">
        <v>37259</v>
      </c>
      <c r="F173" s="6">
        <v>37260</v>
      </c>
      <c r="G173" s="28">
        <v>37261</v>
      </c>
      <c r="H173" s="28">
        <v>37262</v>
      </c>
      <c r="I173" s="6">
        <v>37263</v>
      </c>
      <c r="J173" s="8"/>
      <c r="K173" s="7"/>
    </row>
    <row r="174" spans="1:11" x14ac:dyDescent="0.2">
      <c r="B174" s="1" t="s">
        <v>3</v>
      </c>
      <c r="D174" s="19">
        <v>100</v>
      </c>
      <c r="E174" s="19">
        <v>100</v>
      </c>
      <c r="F174" s="19">
        <v>100</v>
      </c>
      <c r="G174" s="10"/>
      <c r="H174" s="21"/>
      <c r="I174" s="19">
        <v>100</v>
      </c>
      <c r="K174" s="4"/>
    </row>
    <row r="175" spans="1:11" x14ac:dyDescent="0.2">
      <c r="B175" s="8" t="s">
        <v>4</v>
      </c>
      <c r="C175" s="3">
        <v>0</v>
      </c>
      <c r="D175" s="10">
        <v>37.549999999999997</v>
      </c>
      <c r="E175" s="10">
        <v>37.549999999999997</v>
      </c>
      <c r="F175" s="10">
        <v>37.549999999999997</v>
      </c>
      <c r="G175" s="10"/>
      <c r="H175" s="21"/>
      <c r="I175" s="10">
        <v>37.549999999999997</v>
      </c>
      <c r="K175" s="4"/>
    </row>
    <row r="176" spans="1:11" x14ac:dyDescent="0.2">
      <c r="B176" s="1" t="s">
        <v>5</v>
      </c>
      <c r="D176" s="19">
        <v>100</v>
      </c>
      <c r="E176" s="19">
        <v>100</v>
      </c>
      <c r="F176" s="19">
        <v>100</v>
      </c>
      <c r="G176" s="10"/>
      <c r="H176" s="21"/>
      <c r="I176" s="19">
        <v>100</v>
      </c>
      <c r="K176" s="4"/>
    </row>
    <row r="177" spans="1:11" x14ac:dyDescent="0.2">
      <c r="B177" s="8" t="s">
        <v>4</v>
      </c>
      <c r="C177" s="3">
        <v>0</v>
      </c>
      <c r="D177" s="10">
        <v>39.979999999999997</v>
      </c>
      <c r="E177" s="10">
        <v>39.979999999999997</v>
      </c>
      <c r="F177" s="10">
        <v>39.979999999999997</v>
      </c>
      <c r="G177" s="10"/>
      <c r="H177" s="21"/>
      <c r="I177" s="10">
        <v>39.979999999999997</v>
      </c>
      <c r="K177" s="4"/>
    </row>
    <row r="178" spans="1:11" x14ac:dyDescent="0.2">
      <c r="B178" s="7" t="s">
        <v>6</v>
      </c>
      <c r="C178" s="4">
        <f>C174-C176</f>
        <v>0</v>
      </c>
      <c r="D178" s="21"/>
      <c r="E178" s="21">
        <f>E174-E176</f>
        <v>0</v>
      </c>
      <c r="F178" s="21">
        <f>F174-F176</f>
        <v>0</v>
      </c>
      <c r="G178" s="10"/>
      <c r="H178" s="21"/>
      <c r="I178" s="4">
        <f>I174-I176</f>
        <v>0</v>
      </c>
      <c r="K178" s="4"/>
    </row>
    <row r="179" spans="1:11" x14ac:dyDescent="0.2">
      <c r="B179" s="9" t="s">
        <v>7</v>
      </c>
      <c r="C179" s="10">
        <v>22</v>
      </c>
      <c r="D179" s="29">
        <v>28</v>
      </c>
      <c r="E179" s="29">
        <v>28</v>
      </c>
      <c r="F179" s="29">
        <v>28</v>
      </c>
      <c r="G179" s="10">
        <v>22</v>
      </c>
      <c r="H179" s="10">
        <v>22</v>
      </c>
      <c r="I179" s="29">
        <v>28</v>
      </c>
      <c r="K179" s="4"/>
    </row>
    <row r="180" spans="1:11" x14ac:dyDescent="0.2">
      <c r="B180" s="9"/>
      <c r="C180" s="11"/>
      <c r="D180" s="19"/>
      <c r="E180" s="19"/>
      <c r="F180" s="10"/>
      <c r="G180" s="10"/>
      <c r="H180" s="21"/>
      <c r="K180" s="4"/>
    </row>
    <row r="181" spans="1:11" x14ac:dyDescent="0.2">
      <c r="B181" s="9" t="s">
        <v>8</v>
      </c>
      <c r="C181" s="12">
        <f t="shared" ref="C181:I181" si="80">(C174*C175)*(-1)</f>
        <v>0</v>
      </c>
      <c r="D181" s="12">
        <f t="shared" si="80"/>
        <v>-3754.9999999999995</v>
      </c>
      <c r="E181" s="12">
        <f t="shared" si="80"/>
        <v>-3754.9999999999995</v>
      </c>
      <c r="F181" s="12">
        <f t="shared" si="80"/>
        <v>-3754.9999999999995</v>
      </c>
      <c r="G181" s="12">
        <f t="shared" si="80"/>
        <v>0</v>
      </c>
      <c r="H181" s="12">
        <f t="shared" si="80"/>
        <v>0</v>
      </c>
      <c r="I181" s="12">
        <f t="shared" si="80"/>
        <v>-3754.9999999999995</v>
      </c>
      <c r="K181" s="4"/>
    </row>
    <row r="182" spans="1:11" x14ac:dyDescent="0.2">
      <c r="B182" s="9" t="s">
        <v>9</v>
      </c>
      <c r="C182" s="11">
        <f t="shared" ref="C182:I182" si="81">C176*C177</f>
        <v>0</v>
      </c>
      <c r="D182" s="11">
        <f t="shared" si="81"/>
        <v>3997.9999999999995</v>
      </c>
      <c r="E182" s="11">
        <f t="shared" si="81"/>
        <v>3997.9999999999995</v>
      </c>
      <c r="F182" s="11">
        <f t="shared" si="81"/>
        <v>3997.9999999999995</v>
      </c>
      <c r="G182" s="11">
        <f t="shared" si="81"/>
        <v>0</v>
      </c>
      <c r="H182" s="11">
        <f t="shared" si="81"/>
        <v>0</v>
      </c>
      <c r="I182" s="11">
        <f t="shared" si="81"/>
        <v>3997.9999999999995</v>
      </c>
      <c r="K182" s="4"/>
    </row>
    <row r="183" spans="1:11" x14ac:dyDescent="0.2">
      <c r="B183" s="7" t="s">
        <v>10</v>
      </c>
      <c r="C183" s="11">
        <f t="shared" ref="C183:I183" si="82">SUM(C181:C182)</f>
        <v>0</v>
      </c>
      <c r="D183" s="11">
        <f t="shared" si="82"/>
        <v>243</v>
      </c>
      <c r="E183" s="11">
        <f t="shared" si="82"/>
        <v>243</v>
      </c>
      <c r="F183" s="11">
        <f t="shared" si="82"/>
        <v>243</v>
      </c>
      <c r="G183" s="11">
        <f t="shared" si="82"/>
        <v>0</v>
      </c>
      <c r="H183" s="11">
        <f t="shared" si="82"/>
        <v>0</v>
      </c>
      <c r="I183" s="11">
        <f t="shared" si="82"/>
        <v>243</v>
      </c>
      <c r="K183" s="4"/>
    </row>
    <row r="184" spans="1:11" x14ac:dyDescent="0.2">
      <c r="A184" s="13"/>
      <c r="B184" s="2" t="s">
        <v>11</v>
      </c>
      <c r="C184" s="12">
        <f t="shared" ref="C184:I184" si="83">C178*C179</f>
        <v>0</v>
      </c>
      <c r="D184" s="12">
        <f t="shared" si="83"/>
        <v>0</v>
      </c>
      <c r="E184" s="12">
        <f t="shared" si="83"/>
        <v>0</v>
      </c>
      <c r="F184" s="12">
        <f t="shared" si="83"/>
        <v>0</v>
      </c>
      <c r="G184" s="12">
        <f t="shared" si="83"/>
        <v>0</v>
      </c>
      <c r="H184" s="12">
        <f t="shared" si="83"/>
        <v>0</v>
      </c>
      <c r="I184" s="12">
        <f t="shared" si="83"/>
        <v>0</v>
      </c>
    </row>
    <row r="185" spans="1:11" x14ac:dyDescent="0.2">
      <c r="A185" s="14"/>
      <c r="E185" s="2"/>
      <c r="G185" s="2"/>
      <c r="H185" s="2"/>
      <c r="I185" s="2"/>
    </row>
    <row r="186" spans="1:11" s="1" customFormat="1" x14ac:dyDescent="0.2">
      <c r="A186" s="13"/>
      <c r="B186" s="1" t="s">
        <v>12</v>
      </c>
      <c r="C186" s="15">
        <f t="shared" ref="C186:I186" si="84">SUM(C183:C184)</f>
        <v>0</v>
      </c>
      <c r="D186" s="15">
        <f t="shared" si="84"/>
        <v>243</v>
      </c>
      <c r="E186" s="15">
        <f t="shared" si="84"/>
        <v>243</v>
      </c>
      <c r="F186" s="15">
        <f t="shared" si="84"/>
        <v>243</v>
      </c>
      <c r="G186" s="15">
        <f t="shared" si="84"/>
        <v>0</v>
      </c>
      <c r="H186" s="15">
        <f t="shared" si="84"/>
        <v>0</v>
      </c>
      <c r="I186" s="15">
        <f t="shared" si="84"/>
        <v>243</v>
      </c>
      <c r="J186" s="8"/>
    </row>
    <row r="187" spans="1:11" x14ac:dyDescent="0.2">
      <c r="A187" s="16"/>
      <c r="B187" s="1" t="s">
        <v>13</v>
      </c>
      <c r="C187" s="15">
        <f t="shared" ref="C187:I187" si="85">C186*16</f>
        <v>0</v>
      </c>
      <c r="D187" s="15">
        <f t="shared" si="85"/>
        <v>3888</v>
      </c>
      <c r="E187" s="15">
        <f t="shared" si="85"/>
        <v>3888</v>
      </c>
      <c r="F187" s="15">
        <f t="shared" si="85"/>
        <v>3888</v>
      </c>
      <c r="G187" s="15">
        <f t="shared" si="85"/>
        <v>0</v>
      </c>
      <c r="H187" s="15">
        <f t="shared" si="85"/>
        <v>0</v>
      </c>
      <c r="I187" s="15">
        <f t="shared" si="85"/>
        <v>3888</v>
      </c>
      <c r="J187" s="3">
        <f>SUM(C187:I187)</f>
        <v>15552</v>
      </c>
    </row>
    <row r="188" spans="1:11" x14ac:dyDescent="0.2">
      <c r="A188" s="20"/>
    </row>
    <row r="189" spans="1:11" x14ac:dyDescent="0.2">
      <c r="A189" s="13"/>
      <c r="B189" s="2" t="s">
        <v>82</v>
      </c>
      <c r="C189" s="11">
        <f>(C181+C184)*16</f>
        <v>0</v>
      </c>
      <c r="D189" s="11">
        <f t="shared" ref="D189:I189" si="86">(D181+D184)*16</f>
        <v>-60079.999999999993</v>
      </c>
      <c r="E189" s="11">
        <f t="shared" si="86"/>
        <v>-60079.999999999993</v>
      </c>
      <c r="F189" s="11">
        <f t="shared" si="86"/>
        <v>-60079.999999999993</v>
      </c>
      <c r="G189" s="11">
        <f t="shared" si="86"/>
        <v>0</v>
      </c>
      <c r="H189" s="11">
        <f t="shared" si="86"/>
        <v>0</v>
      </c>
      <c r="I189" s="11">
        <f t="shared" si="86"/>
        <v>-60079.999999999993</v>
      </c>
    </row>
    <row r="190" spans="1:11" x14ac:dyDescent="0.2">
      <c r="A190" s="13"/>
      <c r="B190" s="2" t="s">
        <v>83</v>
      </c>
      <c r="C190" s="11">
        <f>C182*16</f>
        <v>0</v>
      </c>
      <c r="D190" s="11">
        <f t="shared" ref="D190:I190" si="87">D182*16</f>
        <v>63967.999999999993</v>
      </c>
      <c r="E190" s="11">
        <f t="shared" si="87"/>
        <v>63967.999999999993</v>
      </c>
      <c r="F190" s="11">
        <f t="shared" si="87"/>
        <v>63967.999999999993</v>
      </c>
      <c r="G190" s="11">
        <f t="shared" si="87"/>
        <v>0</v>
      </c>
      <c r="H190" s="11">
        <f t="shared" si="87"/>
        <v>0</v>
      </c>
      <c r="I190" s="11">
        <f t="shared" si="87"/>
        <v>63967.999999999993</v>
      </c>
    </row>
    <row r="191" spans="1:11" x14ac:dyDescent="0.2">
      <c r="A191" s="13"/>
      <c r="B191" s="2" t="s">
        <v>77</v>
      </c>
      <c r="C191" s="11">
        <f t="shared" ref="C191:I191" si="88">SUM(C189:C190)</f>
        <v>0</v>
      </c>
      <c r="D191" s="11">
        <f t="shared" si="88"/>
        <v>3888</v>
      </c>
      <c r="E191" s="11">
        <f t="shared" si="88"/>
        <v>3888</v>
      </c>
      <c r="F191" s="11">
        <f t="shared" si="88"/>
        <v>3888</v>
      </c>
      <c r="G191" s="11">
        <f t="shared" si="88"/>
        <v>0</v>
      </c>
      <c r="H191" s="11">
        <f t="shared" si="88"/>
        <v>0</v>
      </c>
      <c r="I191" s="11">
        <f t="shared" si="88"/>
        <v>3888</v>
      </c>
    </row>
    <row r="192" spans="1:11" x14ac:dyDescent="0.2">
      <c r="A192" s="13"/>
    </row>
    <row r="193" spans="1:11" x14ac:dyDescent="0.2">
      <c r="A193" s="14"/>
    </row>
    <row r="194" spans="1:11" s="1" customFormat="1" x14ac:dyDescent="0.2">
      <c r="A194" s="1" t="s">
        <v>21</v>
      </c>
      <c r="B194" s="5" t="s">
        <v>19</v>
      </c>
      <c r="C194" s="28">
        <v>37257</v>
      </c>
      <c r="D194" s="6">
        <v>37258</v>
      </c>
      <c r="E194" s="6">
        <v>37259</v>
      </c>
      <c r="F194" s="6">
        <v>37260</v>
      </c>
      <c r="G194" s="28">
        <v>37261</v>
      </c>
      <c r="H194" s="28">
        <v>37262</v>
      </c>
      <c r="I194" s="6">
        <v>37263</v>
      </c>
      <c r="J194" s="8"/>
      <c r="K194" s="7"/>
    </row>
    <row r="195" spans="1:11" x14ac:dyDescent="0.2">
      <c r="B195" s="1" t="s">
        <v>3</v>
      </c>
      <c r="C195" s="2">
        <v>150</v>
      </c>
      <c r="D195" s="19">
        <v>800</v>
      </c>
      <c r="E195" s="19">
        <v>800</v>
      </c>
      <c r="F195" s="19">
        <v>800</v>
      </c>
      <c r="G195" s="2">
        <v>150</v>
      </c>
      <c r="H195" s="2">
        <v>150</v>
      </c>
      <c r="I195" s="19">
        <v>800</v>
      </c>
      <c r="K195" s="4"/>
    </row>
    <row r="196" spans="1:11" x14ac:dyDescent="0.2">
      <c r="B196" s="8" t="s">
        <v>4</v>
      </c>
      <c r="C196" s="3">
        <v>30.82</v>
      </c>
      <c r="D196" s="10">
        <v>45.83</v>
      </c>
      <c r="E196" s="10">
        <v>45.83</v>
      </c>
      <c r="F196" s="10">
        <v>45.83</v>
      </c>
      <c r="G196" s="3">
        <v>30.82</v>
      </c>
      <c r="H196" s="3">
        <v>30.82</v>
      </c>
      <c r="I196" s="10">
        <v>45.83</v>
      </c>
      <c r="K196" s="4"/>
    </row>
    <row r="197" spans="1:11" x14ac:dyDescent="0.2">
      <c r="B197" s="1" t="s">
        <v>5</v>
      </c>
      <c r="C197" s="2">
        <v>150</v>
      </c>
      <c r="D197" s="19">
        <v>600</v>
      </c>
      <c r="E197" s="19">
        <v>600</v>
      </c>
      <c r="F197" s="19">
        <v>600</v>
      </c>
      <c r="G197" s="2">
        <v>150</v>
      </c>
      <c r="H197" s="2">
        <v>150</v>
      </c>
      <c r="I197" s="19">
        <v>600</v>
      </c>
      <c r="K197" s="4"/>
    </row>
    <row r="198" spans="1:11" x14ac:dyDescent="0.2">
      <c r="B198" s="8" t="s">
        <v>4</v>
      </c>
      <c r="C198" s="3">
        <v>40.130000000000003</v>
      </c>
      <c r="D198" s="10">
        <v>46.95</v>
      </c>
      <c r="E198" s="10">
        <v>46.95</v>
      </c>
      <c r="F198" s="10">
        <v>46.95</v>
      </c>
      <c r="G198" s="3">
        <v>40.130000000000003</v>
      </c>
      <c r="H198" s="3">
        <v>40.130000000000003</v>
      </c>
      <c r="I198" s="10">
        <v>46.95</v>
      </c>
      <c r="K198" s="4"/>
    </row>
    <row r="199" spans="1:11" x14ac:dyDescent="0.2">
      <c r="B199" s="7" t="s">
        <v>6</v>
      </c>
      <c r="C199" s="4">
        <f t="shared" ref="C199:I199" si="89">C195-C197</f>
        <v>0</v>
      </c>
      <c r="D199" s="4">
        <f t="shared" si="89"/>
        <v>200</v>
      </c>
      <c r="E199" s="4">
        <f t="shared" si="89"/>
        <v>200</v>
      </c>
      <c r="F199" s="4">
        <f t="shared" si="89"/>
        <v>200</v>
      </c>
      <c r="G199" s="4">
        <f t="shared" si="89"/>
        <v>0</v>
      </c>
      <c r="H199" s="4">
        <f t="shared" si="89"/>
        <v>0</v>
      </c>
      <c r="I199" s="4">
        <f t="shared" si="89"/>
        <v>200</v>
      </c>
      <c r="K199" s="4"/>
    </row>
    <row r="200" spans="1:11" x14ac:dyDescent="0.2">
      <c r="B200" s="9" t="s">
        <v>7</v>
      </c>
      <c r="C200" s="10">
        <v>30</v>
      </c>
      <c r="D200" s="29">
        <v>40</v>
      </c>
      <c r="E200" s="29">
        <v>40</v>
      </c>
      <c r="F200" s="29">
        <v>40</v>
      </c>
      <c r="G200" s="10">
        <v>30</v>
      </c>
      <c r="H200" s="10">
        <v>30</v>
      </c>
      <c r="I200" s="29">
        <v>40</v>
      </c>
      <c r="K200" s="4"/>
    </row>
    <row r="201" spans="1:11" x14ac:dyDescent="0.2">
      <c r="B201" s="9"/>
      <c r="C201" s="11"/>
      <c r="D201" s="19"/>
      <c r="E201" s="19"/>
      <c r="F201" s="10"/>
      <c r="G201" s="11"/>
      <c r="H201" s="11"/>
      <c r="K201" s="4"/>
    </row>
    <row r="202" spans="1:11" x14ac:dyDescent="0.2">
      <c r="B202" s="9" t="s">
        <v>8</v>
      </c>
      <c r="C202" s="12">
        <f t="shared" ref="C202:I202" si="90">(C195*C196)*(-1)</f>
        <v>-4623</v>
      </c>
      <c r="D202" s="12">
        <f t="shared" si="90"/>
        <v>-36664</v>
      </c>
      <c r="E202" s="12">
        <f t="shared" si="90"/>
        <v>-36664</v>
      </c>
      <c r="F202" s="12">
        <f t="shared" si="90"/>
        <v>-36664</v>
      </c>
      <c r="G202" s="12">
        <f>(G195*G196)*(-1)</f>
        <v>-4623</v>
      </c>
      <c r="H202" s="12">
        <f>(H195*H196)*(-1)</f>
        <v>-4623</v>
      </c>
      <c r="I202" s="12">
        <f t="shared" si="90"/>
        <v>-36664</v>
      </c>
      <c r="K202" s="4"/>
    </row>
    <row r="203" spans="1:11" x14ac:dyDescent="0.2">
      <c r="B203" s="9" t="s">
        <v>9</v>
      </c>
      <c r="C203" s="11">
        <f t="shared" ref="C203:I203" si="91">C197*C198</f>
        <v>6019.5</v>
      </c>
      <c r="D203" s="11">
        <f t="shared" si="91"/>
        <v>28170</v>
      </c>
      <c r="E203" s="11">
        <f t="shared" si="91"/>
        <v>28170</v>
      </c>
      <c r="F203" s="11">
        <f t="shared" si="91"/>
        <v>28170</v>
      </c>
      <c r="G203" s="11">
        <f>G197*G198</f>
        <v>6019.5</v>
      </c>
      <c r="H203" s="11">
        <f>H197*H198</f>
        <v>6019.5</v>
      </c>
      <c r="I203" s="11">
        <f t="shared" si="91"/>
        <v>28170</v>
      </c>
      <c r="K203" s="4"/>
    </row>
    <row r="204" spans="1:11" x14ac:dyDescent="0.2">
      <c r="B204" s="7" t="s">
        <v>10</v>
      </c>
      <c r="C204" s="11">
        <f t="shared" ref="C204:I204" si="92">SUM(C202:C203)</f>
        <v>1396.5</v>
      </c>
      <c r="D204" s="11">
        <f t="shared" si="92"/>
        <v>-8494</v>
      </c>
      <c r="E204" s="11">
        <f t="shared" si="92"/>
        <v>-8494</v>
      </c>
      <c r="F204" s="11">
        <f t="shared" si="92"/>
        <v>-8494</v>
      </c>
      <c r="G204" s="11">
        <f>SUM(G202:G203)</f>
        <v>1396.5</v>
      </c>
      <c r="H204" s="11">
        <f>SUM(H202:H203)</f>
        <v>1396.5</v>
      </c>
      <c r="I204" s="11">
        <f t="shared" si="92"/>
        <v>-8494</v>
      </c>
      <c r="K204" s="4"/>
    </row>
    <row r="205" spans="1:11" x14ac:dyDescent="0.2">
      <c r="A205" s="13"/>
      <c r="B205" s="2" t="s">
        <v>11</v>
      </c>
      <c r="C205" s="12">
        <f t="shared" ref="C205:I205" si="93">C199*C200</f>
        <v>0</v>
      </c>
      <c r="D205" s="12">
        <f t="shared" si="93"/>
        <v>8000</v>
      </c>
      <c r="E205" s="12">
        <f t="shared" si="93"/>
        <v>8000</v>
      </c>
      <c r="F205" s="12">
        <f t="shared" si="93"/>
        <v>8000</v>
      </c>
      <c r="G205" s="12">
        <f>G199*G200</f>
        <v>0</v>
      </c>
      <c r="H205" s="12">
        <f>H199*H200</f>
        <v>0</v>
      </c>
      <c r="I205" s="12">
        <f t="shared" si="93"/>
        <v>8000</v>
      </c>
    </row>
    <row r="206" spans="1:11" x14ac:dyDescent="0.2">
      <c r="A206" s="14"/>
      <c r="E206" s="2"/>
      <c r="G206" s="2"/>
      <c r="H206" s="2"/>
      <c r="I206" s="2"/>
    </row>
    <row r="207" spans="1:11" s="1" customFormat="1" x14ac:dyDescent="0.2">
      <c r="A207" s="13"/>
      <c r="B207" s="1" t="s">
        <v>12</v>
      </c>
      <c r="C207" s="15">
        <f t="shared" ref="C207:I207" si="94">SUM(C204:C205)</f>
        <v>1396.5</v>
      </c>
      <c r="D207" s="15">
        <f t="shared" si="94"/>
        <v>-494</v>
      </c>
      <c r="E207" s="15">
        <f t="shared" si="94"/>
        <v>-494</v>
      </c>
      <c r="F207" s="15">
        <f t="shared" si="94"/>
        <v>-494</v>
      </c>
      <c r="G207" s="15">
        <f>SUM(G204:G205)</f>
        <v>1396.5</v>
      </c>
      <c r="H207" s="15">
        <f>SUM(H204:H205)</f>
        <v>1396.5</v>
      </c>
      <c r="I207" s="15">
        <f t="shared" si="94"/>
        <v>-494</v>
      </c>
      <c r="J207" s="8"/>
    </row>
    <row r="208" spans="1:11" x14ac:dyDescent="0.2">
      <c r="A208" s="16"/>
      <c r="B208" s="1" t="s">
        <v>13</v>
      </c>
      <c r="C208" s="15">
        <f t="shared" ref="C208:I208" si="95">C207*16</f>
        <v>22344</v>
      </c>
      <c r="D208" s="15">
        <f t="shared" si="95"/>
        <v>-7904</v>
      </c>
      <c r="E208" s="15">
        <f t="shared" si="95"/>
        <v>-7904</v>
      </c>
      <c r="F208" s="15">
        <f t="shared" si="95"/>
        <v>-7904</v>
      </c>
      <c r="G208" s="15">
        <f>G207*16</f>
        <v>22344</v>
      </c>
      <c r="H208" s="15">
        <f>H207*16</f>
        <v>22344</v>
      </c>
      <c r="I208" s="15">
        <f t="shared" si="95"/>
        <v>-7904</v>
      </c>
      <c r="J208" s="3">
        <f>SUM(C208:I208)</f>
        <v>35416</v>
      </c>
    </row>
    <row r="209" spans="1:10" x14ac:dyDescent="0.2">
      <c r="A209" s="20"/>
    </row>
    <row r="210" spans="1:10" x14ac:dyDescent="0.2">
      <c r="A210" s="13"/>
      <c r="B210" s="2" t="s">
        <v>82</v>
      </c>
      <c r="C210" s="11">
        <f>(C202+C205)*16</f>
        <v>-73968</v>
      </c>
      <c r="D210" s="11">
        <f t="shared" ref="D210:I210" si="96">(D202+D205)*16</f>
        <v>-458624</v>
      </c>
      <c r="E210" s="11">
        <f t="shared" si="96"/>
        <v>-458624</v>
      </c>
      <c r="F210" s="11">
        <f t="shared" si="96"/>
        <v>-458624</v>
      </c>
      <c r="G210" s="11">
        <f t="shared" si="96"/>
        <v>-73968</v>
      </c>
      <c r="H210" s="11">
        <f t="shared" si="96"/>
        <v>-73968</v>
      </c>
      <c r="I210" s="11">
        <f t="shared" si="96"/>
        <v>-458624</v>
      </c>
    </row>
    <row r="211" spans="1:10" x14ac:dyDescent="0.2">
      <c r="A211" s="13"/>
      <c r="B211" s="2" t="s">
        <v>83</v>
      </c>
      <c r="C211" s="11">
        <f>C203*16</f>
        <v>96312</v>
      </c>
      <c r="D211" s="11">
        <f t="shared" ref="D211:I211" si="97">D203*16</f>
        <v>450720</v>
      </c>
      <c r="E211" s="11">
        <f t="shared" si="97"/>
        <v>450720</v>
      </c>
      <c r="F211" s="11">
        <f t="shared" si="97"/>
        <v>450720</v>
      </c>
      <c r="G211" s="11">
        <f t="shared" si="97"/>
        <v>96312</v>
      </c>
      <c r="H211" s="11">
        <f t="shared" si="97"/>
        <v>96312</v>
      </c>
      <c r="I211" s="11">
        <f t="shared" si="97"/>
        <v>450720</v>
      </c>
    </row>
    <row r="212" spans="1:10" x14ac:dyDescent="0.2">
      <c r="A212" s="13"/>
      <c r="B212" s="2" t="s">
        <v>77</v>
      </c>
      <c r="C212" s="11">
        <f t="shared" ref="C212:I212" si="98">SUM(C210:C211)</f>
        <v>22344</v>
      </c>
      <c r="D212" s="11">
        <f t="shared" si="98"/>
        <v>-7904</v>
      </c>
      <c r="E212" s="11">
        <f t="shared" si="98"/>
        <v>-7904</v>
      </c>
      <c r="F212" s="11">
        <f t="shared" si="98"/>
        <v>-7904</v>
      </c>
      <c r="G212" s="11">
        <f t="shared" si="98"/>
        <v>22344</v>
      </c>
      <c r="H212" s="11">
        <f t="shared" si="98"/>
        <v>22344</v>
      </c>
      <c r="I212" s="11">
        <f t="shared" si="98"/>
        <v>-7904</v>
      </c>
    </row>
    <row r="213" spans="1:10" x14ac:dyDescent="0.2">
      <c r="A213" s="13"/>
    </row>
    <row r="214" spans="1:10" x14ac:dyDescent="0.2">
      <c r="A214" s="14"/>
    </row>
    <row r="215" spans="1:10" x14ac:dyDescent="0.2">
      <c r="A215" s="1" t="s">
        <v>22</v>
      </c>
      <c r="B215" s="5" t="s">
        <v>38</v>
      </c>
      <c r="C215" s="28">
        <v>37257</v>
      </c>
      <c r="D215" s="6">
        <v>37258</v>
      </c>
      <c r="E215" s="6">
        <v>37259</v>
      </c>
      <c r="F215" s="6">
        <v>37260</v>
      </c>
      <c r="G215" s="28">
        <v>37261</v>
      </c>
      <c r="H215" s="28">
        <v>37262</v>
      </c>
      <c r="I215" s="6">
        <v>37263</v>
      </c>
      <c r="J215" s="8"/>
    </row>
    <row r="216" spans="1:10" x14ac:dyDescent="0.2">
      <c r="B216" s="1" t="s">
        <v>3</v>
      </c>
      <c r="D216" s="19">
        <v>0</v>
      </c>
      <c r="E216" s="19">
        <v>0</v>
      </c>
      <c r="F216" s="19">
        <v>0</v>
      </c>
      <c r="G216" s="10"/>
      <c r="H216" s="21"/>
      <c r="I216" s="19">
        <v>0</v>
      </c>
    </row>
    <row r="217" spans="1:10" x14ac:dyDescent="0.2">
      <c r="B217" s="8" t="s">
        <v>4</v>
      </c>
      <c r="C217" s="3">
        <v>0</v>
      </c>
      <c r="D217" s="10">
        <v>0</v>
      </c>
      <c r="E217" s="10">
        <v>0</v>
      </c>
      <c r="F217" s="10">
        <v>0</v>
      </c>
      <c r="G217" s="10"/>
      <c r="H217" s="21"/>
      <c r="I217" s="10">
        <v>0</v>
      </c>
    </row>
    <row r="218" spans="1:10" x14ac:dyDescent="0.2">
      <c r="B218" s="1" t="s">
        <v>5</v>
      </c>
      <c r="D218" s="19">
        <v>50</v>
      </c>
      <c r="E218" s="19">
        <v>50</v>
      </c>
      <c r="F218" s="19">
        <v>50</v>
      </c>
      <c r="G218" s="10"/>
      <c r="H218" s="21"/>
      <c r="I218" s="19">
        <v>50</v>
      </c>
    </row>
    <row r="219" spans="1:10" x14ac:dyDescent="0.2">
      <c r="B219" s="8" t="s">
        <v>4</v>
      </c>
      <c r="C219" s="3">
        <v>0</v>
      </c>
      <c r="D219" s="10">
        <v>32</v>
      </c>
      <c r="E219" s="10">
        <v>32</v>
      </c>
      <c r="F219" s="10">
        <v>32</v>
      </c>
      <c r="G219" s="10"/>
      <c r="H219" s="21"/>
      <c r="I219" s="10">
        <v>32</v>
      </c>
    </row>
    <row r="220" spans="1:10" x14ac:dyDescent="0.2">
      <c r="B220" s="7" t="s">
        <v>6</v>
      </c>
      <c r="C220" s="4">
        <f t="shared" ref="C220:I220" si="99">C216-C218</f>
        <v>0</v>
      </c>
      <c r="D220" s="4">
        <f t="shared" si="99"/>
        <v>-50</v>
      </c>
      <c r="E220" s="4">
        <f t="shared" si="99"/>
        <v>-50</v>
      </c>
      <c r="F220" s="4">
        <f t="shared" si="99"/>
        <v>-50</v>
      </c>
      <c r="G220" s="4">
        <f t="shared" si="99"/>
        <v>0</v>
      </c>
      <c r="H220" s="4">
        <f t="shared" si="99"/>
        <v>0</v>
      </c>
      <c r="I220" s="4">
        <f t="shared" si="99"/>
        <v>-50</v>
      </c>
    </row>
    <row r="221" spans="1:10" x14ac:dyDescent="0.2">
      <c r="B221" s="9" t="s">
        <v>7</v>
      </c>
      <c r="C221" s="10">
        <v>22</v>
      </c>
      <c r="D221" s="29">
        <v>28</v>
      </c>
      <c r="E221" s="29">
        <v>28</v>
      </c>
      <c r="F221" s="29">
        <v>28</v>
      </c>
      <c r="G221" s="10">
        <v>22</v>
      </c>
      <c r="H221" s="10">
        <v>22</v>
      </c>
      <c r="I221" s="29">
        <v>28</v>
      </c>
    </row>
    <row r="222" spans="1:10" x14ac:dyDescent="0.2">
      <c r="B222" s="9"/>
      <c r="C222" s="11"/>
      <c r="D222" s="19"/>
      <c r="E222" s="19"/>
      <c r="F222" s="10"/>
      <c r="G222" s="10"/>
      <c r="H222" s="21"/>
    </row>
    <row r="223" spans="1:10" x14ac:dyDescent="0.2">
      <c r="B223" s="9" t="s">
        <v>8</v>
      </c>
      <c r="C223" s="12">
        <f t="shared" ref="C223:I223" si="100">(C216*C217)*(-1)</f>
        <v>0</v>
      </c>
      <c r="D223" s="12">
        <f t="shared" si="100"/>
        <v>0</v>
      </c>
      <c r="E223" s="12">
        <f t="shared" si="100"/>
        <v>0</v>
      </c>
      <c r="F223" s="12">
        <f t="shared" si="100"/>
        <v>0</v>
      </c>
      <c r="G223" s="12">
        <f t="shared" si="100"/>
        <v>0</v>
      </c>
      <c r="H223" s="12">
        <f t="shared" si="100"/>
        <v>0</v>
      </c>
      <c r="I223" s="12">
        <f t="shared" si="100"/>
        <v>0</v>
      </c>
    </row>
    <row r="224" spans="1:10" x14ac:dyDescent="0.2">
      <c r="B224" s="9" t="s">
        <v>9</v>
      </c>
      <c r="C224" s="11">
        <f t="shared" ref="C224:I224" si="101">C218*C219</f>
        <v>0</v>
      </c>
      <c r="D224" s="11">
        <f t="shared" si="101"/>
        <v>1600</v>
      </c>
      <c r="E224" s="11">
        <f t="shared" si="101"/>
        <v>1600</v>
      </c>
      <c r="F224" s="11">
        <f t="shared" si="101"/>
        <v>1600</v>
      </c>
      <c r="G224" s="11">
        <f t="shared" si="101"/>
        <v>0</v>
      </c>
      <c r="H224" s="11">
        <f t="shared" si="101"/>
        <v>0</v>
      </c>
      <c r="I224" s="11">
        <f t="shared" si="101"/>
        <v>1600</v>
      </c>
    </row>
    <row r="225" spans="1:11" x14ac:dyDescent="0.2">
      <c r="B225" s="7" t="s">
        <v>10</v>
      </c>
      <c r="C225" s="11">
        <f t="shared" ref="C225:I225" si="102">SUM(C223:C224)</f>
        <v>0</v>
      </c>
      <c r="D225" s="11">
        <f t="shared" si="102"/>
        <v>1600</v>
      </c>
      <c r="E225" s="11">
        <f t="shared" si="102"/>
        <v>1600</v>
      </c>
      <c r="F225" s="11">
        <f t="shared" si="102"/>
        <v>1600</v>
      </c>
      <c r="G225" s="11">
        <f t="shared" si="102"/>
        <v>0</v>
      </c>
      <c r="H225" s="11">
        <f t="shared" si="102"/>
        <v>0</v>
      </c>
      <c r="I225" s="11">
        <f t="shared" si="102"/>
        <v>1600</v>
      </c>
    </row>
    <row r="226" spans="1:11" x14ac:dyDescent="0.2">
      <c r="A226" s="13"/>
      <c r="B226" s="2" t="s">
        <v>11</v>
      </c>
      <c r="C226" s="12">
        <f t="shared" ref="C226:I226" si="103">C220*C221</f>
        <v>0</v>
      </c>
      <c r="D226" s="12">
        <f t="shared" si="103"/>
        <v>-1400</v>
      </c>
      <c r="E226" s="12">
        <f t="shared" si="103"/>
        <v>-1400</v>
      </c>
      <c r="F226" s="12">
        <f t="shared" si="103"/>
        <v>-1400</v>
      </c>
      <c r="G226" s="12">
        <f t="shared" si="103"/>
        <v>0</v>
      </c>
      <c r="H226" s="12">
        <f t="shared" si="103"/>
        <v>0</v>
      </c>
      <c r="I226" s="12">
        <f t="shared" si="103"/>
        <v>-1400</v>
      </c>
    </row>
    <row r="227" spans="1:11" x14ac:dyDescent="0.2">
      <c r="A227" s="14"/>
      <c r="E227" s="2"/>
      <c r="G227" s="2"/>
      <c r="H227" s="2"/>
      <c r="I227" s="2"/>
    </row>
    <row r="228" spans="1:11" x14ac:dyDescent="0.2">
      <c r="A228" s="13"/>
      <c r="B228" s="1" t="s">
        <v>12</v>
      </c>
      <c r="C228" s="15">
        <f t="shared" ref="C228:I228" si="104">SUM(C225:C226)</f>
        <v>0</v>
      </c>
      <c r="D228" s="15">
        <f t="shared" si="104"/>
        <v>200</v>
      </c>
      <c r="E228" s="15">
        <f t="shared" si="104"/>
        <v>200</v>
      </c>
      <c r="F228" s="15">
        <f t="shared" si="104"/>
        <v>200</v>
      </c>
      <c r="G228" s="15">
        <f t="shared" si="104"/>
        <v>0</v>
      </c>
      <c r="H228" s="15">
        <f t="shared" si="104"/>
        <v>0</v>
      </c>
      <c r="I228" s="15">
        <f t="shared" si="104"/>
        <v>200</v>
      </c>
      <c r="J228" s="8"/>
    </row>
    <row r="229" spans="1:11" x14ac:dyDescent="0.2">
      <c r="A229" s="16"/>
      <c r="B229" s="1" t="s">
        <v>13</v>
      </c>
      <c r="C229" s="15">
        <f t="shared" ref="C229:I229" si="105">C228*16</f>
        <v>0</v>
      </c>
      <c r="D229" s="15">
        <f t="shared" si="105"/>
        <v>3200</v>
      </c>
      <c r="E229" s="15">
        <f t="shared" si="105"/>
        <v>3200</v>
      </c>
      <c r="F229" s="15">
        <f t="shared" si="105"/>
        <v>3200</v>
      </c>
      <c r="G229" s="15">
        <f t="shared" si="105"/>
        <v>0</v>
      </c>
      <c r="H229" s="15">
        <f t="shared" si="105"/>
        <v>0</v>
      </c>
      <c r="I229" s="15">
        <f t="shared" si="105"/>
        <v>3200</v>
      </c>
      <c r="J229" s="3">
        <f>SUM(C229:I229)</f>
        <v>12800</v>
      </c>
    </row>
    <row r="231" spans="1:11" x14ac:dyDescent="0.2">
      <c r="A231" s="13"/>
      <c r="B231" s="2" t="s">
        <v>82</v>
      </c>
      <c r="C231" s="11">
        <f>(C223+C226)*16</f>
        <v>0</v>
      </c>
      <c r="D231" s="11">
        <f t="shared" ref="D231:I231" si="106">(D223+D226)*16</f>
        <v>-22400</v>
      </c>
      <c r="E231" s="11">
        <f t="shared" si="106"/>
        <v>-22400</v>
      </c>
      <c r="F231" s="11">
        <f t="shared" si="106"/>
        <v>-22400</v>
      </c>
      <c r="G231" s="11">
        <f t="shared" si="106"/>
        <v>0</v>
      </c>
      <c r="H231" s="11">
        <f t="shared" si="106"/>
        <v>0</v>
      </c>
      <c r="I231" s="11">
        <f t="shared" si="106"/>
        <v>-22400</v>
      </c>
    </row>
    <row r="232" spans="1:11" x14ac:dyDescent="0.2">
      <c r="A232" s="13"/>
      <c r="B232" s="2" t="s">
        <v>83</v>
      </c>
      <c r="C232" s="11">
        <f>C224*16</f>
        <v>0</v>
      </c>
      <c r="D232" s="11">
        <f t="shared" ref="D232:I232" si="107">D224*16</f>
        <v>25600</v>
      </c>
      <c r="E232" s="11">
        <f t="shared" si="107"/>
        <v>25600</v>
      </c>
      <c r="F232" s="11">
        <f t="shared" si="107"/>
        <v>25600</v>
      </c>
      <c r="G232" s="11">
        <f t="shared" si="107"/>
        <v>0</v>
      </c>
      <c r="H232" s="11">
        <f t="shared" si="107"/>
        <v>0</v>
      </c>
      <c r="I232" s="11">
        <f t="shared" si="107"/>
        <v>25600</v>
      </c>
    </row>
    <row r="233" spans="1:11" x14ac:dyDescent="0.2">
      <c r="A233" s="13"/>
      <c r="B233" s="2" t="s">
        <v>77</v>
      </c>
      <c r="C233" s="11">
        <f t="shared" ref="C233:I233" si="108">SUM(C231:C232)</f>
        <v>0</v>
      </c>
      <c r="D233" s="11">
        <f t="shared" si="108"/>
        <v>3200</v>
      </c>
      <c r="E233" s="11">
        <f t="shared" si="108"/>
        <v>3200</v>
      </c>
      <c r="F233" s="11">
        <f t="shared" si="108"/>
        <v>3200</v>
      </c>
      <c r="G233" s="11">
        <f t="shared" si="108"/>
        <v>0</v>
      </c>
      <c r="H233" s="11">
        <f t="shared" si="108"/>
        <v>0</v>
      </c>
      <c r="I233" s="11">
        <f t="shared" si="108"/>
        <v>3200</v>
      </c>
    </row>
    <row r="234" spans="1:11" x14ac:dyDescent="0.2">
      <c r="A234" s="13"/>
    </row>
    <row r="236" spans="1:11" s="1" customFormat="1" x14ac:dyDescent="0.2">
      <c r="A236" s="1" t="s">
        <v>22</v>
      </c>
      <c r="B236" s="5" t="s">
        <v>18</v>
      </c>
      <c r="C236" s="28">
        <v>37257</v>
      </c>
      <c r="D236" s="6">
        <v>37258</v>
      </c>
      <c r="E236" s="6">
        <v>37259</v>
      </c>
      <c r="F236" s="6">
        <v>37260</v>
      </c>
      <c r="G236" s="28">
        <v>37261</v>
      </c>
      <c r="H236" s="28">
        <v>37262</v>
      </c>
      <c r="I236" s="6">
        <v>37263</v>
      </c>
      <c r="J236" s="8"/>
      <c r="K236" s="7"/>
    </row>
    <row r="237" spans="1:11" x14ac:dyDescent="0.2">
      <c r="B237" s="1" t="s">
        <v>3</v>
      </c>
      <c r="D237" s="19">
        <v>0</v>
      </c>
      <c r="E237" s="19">
        <v>0</v>
      </c>
      <c r="F237" s="19">
        <v>0</v>
      </c>
      <c r="G237" s="10"/>
      <c r="H237" s="21"/>
      <c r="I237" s="19">
        <v>0</v>
      </c>
      <c r="K237" s="4"/>
    </row>
    <row r="238" spans="1:11" x14ac:dyDescent="0.2">
      <c r="B238" s="8" t="s">
        <v>4</v>
      </c>
      <c r="C238" s="3">
        <v>0</v>
      </c>
      <c r="D238" s="10">
        <v>0</v>
      </c>
      <c r="E238" s="10">
        <v>0</v>
      </c>
      <c r="F238" s="10">
        <v>0</v>
      </c>
      <c r="G238" s="10"/>
      <c r="H238" s="21"/>
      <c r="I238" s="10">
        <v>0</v>
      </c>
      <c r="K238" s="4"/>
    </row>
    <row r="239" spans="1:11" x14ac:dyDescent="0.2">
      <c r="B239" s="1" t="s">
        <v>5</v>
      </c>
      <c r="D239" s="19">
        <v>200</v>
      </c>
      <c r="E239" s="19">
        <v>200</v>
      </c>
      <c r="F239" s="19">
        <v>200</v>
      </c>
      <c r="G239" s="10"/>
      <c r="H239" s="21"/>
      <c r="I239" s="19">
        <v>200</v>
      </c>
      <c r="K239" s="4"/>
    </row>
    <row r="240" spans="1:11" x14ac:dyDescent="0.2">
      <c r="B240" s="8" t="s">
        <v>4</v>
      </c>
      <c r="C240" s="3">
        <v>0</v>
      </c>
      <c r="D240" s="10">
        <v>32.75</v>
      </c>
      <c r="E240" s="10">
        <v>32.75</v>
      </c>
      <c r="F240" s="10">
        <v>32.75</v>
      </c>
      <c r="G240" s="10"/>
      <c r="H240" s="21"/>
      <c r="I240" s="10">
        <v>32.75</v>
      </c>
      <c r="K240" s="4"/>
    </row>
    <row r="241" spans="1:11" x14ac:dyDescent="0.2">
      <c r="B241" s="7" t="s">
        <v>6</v>
      </c>
      <c r="C241" s="4">
        <f>C237-C239</f>
        <v>0</v>
      </c>
      <c r="D241" s="4">
        <f t="shared" ref="D241:I241" si="109">D237-D239</f>
        <v>-200</v>
      </c>
      <c r="E241" s="4">
        <f t="shared" si="109"/>
        <v>-200</v>
      </c>
      <c r="F241" s="4">
        <f t="shared" si="109"/>
        <v>-200</v>
      </c>
      <c r="G241" s="4">
        <f t="shared" si="109"/>
        <v>0</v>
      </c>
      <c r="H241" s="4">
        <f t="shared" si="109"/>
        <v>0</v>
      </c>
      <c r="I241" s="4">
        <f t="shared" si="109"/>
        <v>-200</v>
      </c>
      <c r="K241" s="4"/>
    </row>
    <row r="242" spans="1:11" x14ac:dyDescent="0.2">
      <c r="B242" s="9" t="s">
        <v>7</v>
      </c>
      <c r="C242" s="10">
        <v>22</v>
      </c>
      <c r="D242" s="29">
        <v>28</v>
      </c>
      <c r="E242" s="29">
        <v>28</v>
      </c>
      <c r="F242" s="29">
        <v>28</v>
      </c>
      <c r="G242" s="10">
        <v>22</v>
      </c>
      <c r="H242" s="10">
        <v>22</v>
      </c>
      <c r="I242" s="29">
        <v>28</v>
      </c>
      <c r="K242" s="4"/>
    </row>
    <row r="243" spans="1:11" x14ac:dyDescent="0.2">
      <c r="B243" s="9"/>
      <c r="C243" s="11"/>
      <c r="D243" s="19"/>
      <c r="E243" s="19"/>
      <c r="F243" s="10"/>
      <c r="G243" s="10"/>
      <c r="H243" s="21"/>
      <c r="K243" s="4"/>
    </row>
    <row r="244" spans="1:11" x14ac:dyDescent="0.2">
      <c r="B244" s="9" t="s">
        <v>8</v>
      </c>
      <c r="C244" s="12">
        <f t="shared" ref="C244:I244" si="110">(C237*C238)*(-1)</f>
        <v>0</v>
      </c>
      <c r="D244" s="12">
        <f t="shared" si="110"/>
        <v>0</v>
      </c>
      <c r="E244" s="12">
        <f t="shared" si="110"/>
        <v>0</v>
      </c>
      <c r="F244" s="12">
        <f t="shared" si="110"/>
        <v>0</v>
      </c>
      <c r="G244" s="12">
        <f t="shared" si="110"/>
        <v>0</v>
      </c>
      <c r="H244" s="12">
        <f t="shared" si="110"/>
        <v>0</v>
      </c>
      <c r="I244" s="12">
        <f t="shared" si="110"/>
        <v>0</v>
      </c>
      <c r="K244" s="4"/>
    </row>
    <row r="245" spans="1:11" x14ac:dyDescent="0.2">
      <c r="B245" s="9" t="s">
        <v>9</v>
      </c>
      <c r="C245" s="11">
        <f t="shared" ref="C245:I245" si="111">C239*C240</f>
        <v>0</v>
      </c>
      <c r="D245" s="11">
        <f t="shared" si="111"/>
        <v>6550</v>
      </c>
      <c r="E245" s="11">
        <f t="shared" si="111"/>
        <v>6550</v>
      </c>
      <c r="F245" s="11">
        <f t="shared" si="111"/>
        <v>6550</v>
      </c>
      <c r="G245" s="11">
        <f t="shared" si="111"/>
        <v>0</v>
      </c>
      <c r="H245" s="11">
        <f t="shared" si="111"/>
        <v>0</v>
      </c>
      <c r="I245" s="11">
        <f t="shared" si="111"/>
        <v>6550</v>
      </c>
      <c r="K245" s="4"/>
    </row>
    <row r="246" spans="1:11" x14ac:dyDescent="0.2">
      <c r="B246" s="7" t="s">
        <v>10</v>
      </c>
      <c r="C246" s="11">
        <f t="shared" ref="C246:I246" si="112">SUM(C244:C245)</f>
        <v>0</v>
      </c>
      <c r="D246" s="11">
        <f t="shared" si="112"/>
        <v>6550</v>
      </c>
      <c r="E246" s="11">
        <f t="shared" si="112"/>
        <v>6550</v>
      </c>
      <c r="F246" s="11">
        <f t="shared" si="112"/>
        <v>6550</v>
      </c>
      <c r="G246" s="11">
        <f t="shared" si="112"/>
        <v>0</v>
      </c>
      <c r="H246" s="11">
        <f t="shared" si="112"/>
        <v>0</v>
      </c>
      <c r="I246" s="11">
        <f t="shared" si="112"/>
        <v>6550</v>
      </c>
      <c r="K246" s="4"/>
    </row>
    <row r="247" spans="1:11" x14ac:dyDescent="0.2">
      <c r="A247" s="13"/>
      <c r="B247" s="2" t="s">
        <v>11</v>
      </c>
      <c r="C247" s="12">
        <f t="shared" ref="C247:I247" si="113">C241*C242</f>
        <v>0</v>
      </c>
      <c r="D247" s="12">
        <f t="shared" si="113"/>
        <v>-5600</v>
      </c>
      <c r="E247" s="12">
        <f t="shared" si="113"/>
        <v>-5600</v>
      </c>
      <c r="F247" s="12">
        <f t="shared" si="113"/>
        <v>-5600</v>
      </c>
      <c r="G247" s="12">
        <f t="shared" si="113"/>
        <v>0</v>
      </c>
      <c r="H247" s="12">
        <f t="shared" si="113"/>
        <v>0</v>
      </c>
      <c r="I247" s="12">
        <f t="shared" si="113"/>
        <v>-5600</v>
      </c>
    </row>
    <row r="248" spans="1:11" x14ac:dyDescent="0.2">
      <c r="A248" s="14"/>
      <c r="E248" s="2"/>
      <c r="G248" s="2"/>
      <c r="H248" s="2"/>
      <c r="I248" s="2"/>
    </row>
    <row r="249" spans="1:11" s="1" customFormat="1" x14ac:dyDescent="0.2">
      <c r="A249" s="13"/>
      <c r="B249" s="1" t="s">
        <v>12</v>
      </c>
      <c r="C249" s="15">
        <f t="shared" ref="C249:I249" si="114">SUM(C246:C247)</f>
        <v>0</v>
      </c>
      <c r="D249" s="15">
        <f t="shared" si="114"/>
        <v>950</v>
      </c>
      <c r="E249" s="15">
        <f t="shared" si="114"/>
        <v>950</v>
      </c>
      <c r="F249" s="15">
        <f t="shared" si="114"/>
        <v>950</v>
      </c>
      <c r="G249" s="15">
        <f t="shared" si="114"/>
        <v>0</v>
      </c>
      <c r="H249" s="15">
        <f t="shared" si="114"/>
        <v>0</v>
      </c>
      <c r="I249" s="15">
        <f t="shared" si="114"/>
        <v>950</v>
      </c>
      <c r="J249" s="8"/>
    </row>
    <row r="250" spans="1:11" x14ac:dyDescent="0.2">
      <c r="A250" s="16"/>
      <c r="B250" s="1" t="s">
        <v>13</v>
      </c>
      <c r="C250" s="15">
        <f t="shared" ref="C250:I250" si="115">C249*16</f>
        <v>0</v>
      </c>
      <c r="D250" s="15">
        <f t="shared" si="115"/>
        <v>15200</v>
      </c>
      <c r="E250" s="15">
        <f t="shared" si="115"/>
        <v>15200</v>
      </c>
      <c r="F250" s="15">
        <f t="shared" si="115"/>
        <v>15200</v>
      </c>
      <c r="G250" s="15">
        <f t="shared" si="115"/>
        <v>0</v>
      </c>
      <c r="H250" s="15">
        <f t="shared" si="115"/>
        <v>0</v>
      </c>
      <c r="I250" s="15">
        <f t="shared" si="115"/>
        <v>15200</v>
      </c>
      <c r="J250" s="3">
        <f>SUM(C250:I250)</f>
        <v>60800</v>
      </c>
    </row>
    <row r="251" spans="1:11" x14ac:dyDescent="0.2">
      <c r="A251" s="20"/>
    </row>
    <row r="252" spans="1:11" x14ac:dyDescent="0.2">
      <c r="A252" s="13"/>
      <c r="B252" s="2" t="s">
        <v>82</v>
      </c>
      <c r="C252" s="11">
        <f>(C244+C247)*16</f>
        <v>0</v>
      </c>
      <c r="D252" s="11">
        <f t="shared" ref="D252:I252" si="116">(D244+D247)*16</f>
        <v>-89600</v>
      </c>
      <c r="E252" s="11">
        <f t="shared" si="116"/>
        <v>-89600</v>
      </c>
      <c r="F252" s="11">
        <f t="shared" si="116"/>
        <v>-89600</v>
      </c>
      <c r="G252" s="11">
        <f t="shared" si="116"/>
        <v>0</v>
      </c>
      <c r="H252" s="11">
        <f t="shared" si="116"/>
        <v>0</v>
      </c>
      <c r="I252" s="11">
        <f t="shared" si="116"/>
        <v>-89600</v>
      </c>
    </row>
    <row r="253" spans="1:11" x14ac:dyDescent="0.2">
      <c r="A253" s="13"/>
      <c r="B253" s="2" t="s">
        <v>83</v>
      </c>
      <c r="C253" s="11">
        <f>C245*16</f>
        <v>0</v>
      </c>
      <c r="D253" s="11">
        <f t="shared" ref="D253:I253" si="117">D245*16</f>
        <v>104800</v>
      </c>
      <c r="E253" s="11">
        <f t="shared" si="117"/>
        <v>104800</v>
      </c>
      <c r="F253" s="11">
        <f t="shared" si="117"/>
        <v>104800</v>
      </c>
      <c r="G253" s="11">
        <f t="shared" si="117"/>
        <v>0</v>
      </c>
      <c r="H253" s="11">
        <f t="shared" si="117"/>
        <v>0</v>
      </c>
      <c r="I253" s="11">
        <f t="shared" si="117"/>
        <v>104800</v>
      </c>
    </row>
    <row r="254" spans="1:11" x14ac:dyDescent="0.2">
      <c r="A254" s="13"/>
      <c r="B254" s="2" t="s">
        <v>77</v>
      </c>
      <c r="C254" s="11">
        <f t="shared" ref="C254:I254" si="118">SUM(C252:C253)</f>
        <v>0</v>
      </c>
      <c r="D254" s="11">
        <f t="shared" si="118"/>
        <v>15200</v>
      </c>
      <c r="E254" s="11">
        <f t="shared" si="118"/>
        <v>15200</v>
      </c>
      <c r="F254" s="11">
        <f t="shared" si="118"/>
        <v>15200</v>
      </c>
      <c r="G254" s="11">
        <f t="shared" si="118"/>
        <v>0</v>
      </c>
      <c r="H254" s="11">
        <f t="shared" si="118"/>
        <v>0</v>
      </c>
      <c r="I254" s="11">
        <f t="shared" si="118"/>
        <v>15200</v>
      </c>
    </row>
    <row r="255" spans="1:11" x14ac:dyDescent="0.2">
      <c r="A255" s="13"/>
    </row>
    <row r="256" spans="1:11" x14ac:dyDescent="0.2">
      <c r="A256" s="20"/>
    </row>
    <row r="257" spans="1:11" x14ac:dyDescent="0.2">
      <c r="A257" s="16"/>
      <c r="B257" s="1"/>
      <c r="C257" s="15"/>
      <c r="D257" s="15"/>
      <c r="E257" s="15"/>
      <c r="F257" s="15"/>
      <c r="G257" s="15"/>
      <c r="H257" s="15"/>
      <c r="I257" s="15"/>
    </row>
    <row r="258" spans="1:11" x14ac:dyDescent="0.2">
      <c r="A258" s="16"/>
      <c r="B258" s="1"/>
      <c r="C258" s="15"/>
      <c r="D258" s="15"/>
      <c r="E258" s="15"/>
      <c r="F258" s="15"/>
      <c r="G258" s="15"/>
      <c r="H258" s="15"/>
      <c r="I258" s="15"/>
    </row>
    <row r="259" spans="1:11" x14ac:dyDescent="0.2">
      <c r="A259" s="16"/>
      <c r="B259" s="1"/>
      <c r="C259" s="15"/>
      <c r="D259" s="15"/>
      <c r="E259" s="15"/>
      <c r="F259" s="15"/>
      <c r="G259" s="15"/>
      <c r="H259" s="15"/>
      <c r="I259" s="15"/>
    </row>
    <row r="261" spans="1:11" x14ac:dyDescent="0.2">
      <c r="A261" s="20"/>
    </row>
    <row r="262" spans="1:11" s="1" customFormat="1" x14ac:dyDescent="0.2">
      <c r="A262" s="1" t="s">
        <v>24</v>
      </c>
      <c r="B262" s="5" t="s">
        <v>39</v>
      </c>
      <c r="C262" s="28">
        <v>37257</v>
      </c>
      <c r="D262" s="6">
        <v>37258</v>
      </c>
      <c r="E262" s="6">
        <v>37259</v>
      </c>
      <c r="F262" s="6">
        <v>37260</v>
      </c>
      <c r="G262" s="28">
        <v>37261</v>
      </c>
      <c r="H262" s="28">
        <v>37262</v>
      </c>
      <c r="I262" s="6">
        <v>37263</v>
      </c>
      <c r="J262" s="8"/>
      <c r="K262" s="7"/>
    </row>
    <row r="263" spans="1:11" x14ac:dyDescent="0.2">
      <c r="B263" s="1" t="s">
        <v>3</v>
      </c>
      <c r="D263" s="19">
        <v>50</v>
      </c>
      <c r="E263" s="19">
        <v>50</v>
      </c>
      <c r="F263" s="19">
        <v>50</v>
      </c>
      <c r="G263" s="10"/>
      <c r="H263" s="21"/>
      <c r="I263" s="19">
        <v>50</v>
      </c>
      <c r="K263" s="4"/>
    </row>
    <row r="264" spans="1:11" x14ac:dyDescent="0.2">
      <c r="B264" s="8" t="s">
        <v>4</v>
      </c>
      <c r="C264" s="3">
        <v>0</v>
      </c>
      <c r="D264" s="10">
        <v>25</v>
      </c>
      <c r="E264" s="10">
        <v>25</v>
      </c>
      <c r="F264" s="10">
        <v>25</v>
      </c>
      <c r="G264" s="10"/>
      <c r="H264" s="21"/>
      <c r="I264" s="10">
        <v>25</v>
      </c>
      <c r="K264" s="4"/>
    </row>
    <row r="265" spans="1:11" x14ac:dyDescent="0.2">
      <c r="B265" s="1" t="s">
        <v>5</v>
      </c>
      <c r="D265" s="19">
        <v>200</v>
      </c>
      <c r="E265" s="19">
        <v>200</v>
      </c>
      <c r="F265" s="19">
        <v>200</v>
      </c>
      <c r="G265" s="10"/>
      <c r="H265" s="21"/>
      <c r="I265" s="19">
        <v>200</v>
      </c>
      <c r="K265" s="4"/>
    </row>
    <row r="266" spans="1:11" x14ac:dyDescent="0.2">
      <c r="B266" s="8" t="s">
        <v>4</v>
      </c>
      <c r="C266" s="3">
        <v>0</v>
      </c>
      <c r="D266" s="10">
        <v>39.58</v>
      </c>
      <c r="E266" s="10">
        <v>39.58</v>
      </c>
      <c r="F266" s="10">
        <v>39.58</v>
      </c>
      <c r="G266" s="10"/>
      <c r="H266" s="21"/>
      <c r="I266" s="10">
        <v>39.58</v>
      </c>
      <c r="K266" s="4"/>
    </row>
    <row r="267" spans="1:11" x14ac:dyDescent="0.2">
      <c r="B267" s="7" t="s">
        <v>6</v>
      </c>
      <c r="C267" s="4">
        <f>C263-C265</f>
        <v>0</v>
      </c>
      <c r="D267" s="4">
        <f>D263-D265</f>
        <v>-150</v>
      </c>
      <c r="E267" s="4">
        <f>E263-E265</f>
        <v>-150</v>
      </c>
      <c r="F267" s="4">
        <f>F263-F265</f>
        <v>-150</v>
      </c>
      <c r="G267" s="10"/>
      <c r="H267" s="21"/>
      <c r="I267" s="4">
        <f>I263-I265</f>
        <v>-150</v>
      </c>
      <c r="K267" s="4"/>
    </row>
    <row r="268" spans="1:11" x14ac:dyDescent="0.2">
      <c r="B268" s="9" t="s">
        <v>7</v>
      </c>
      <c r="C268" s="10">
        <v>20.5</v>
      </c>
      <c r="D268" s="29">
        <v>26.5</v>
      </c>
      <c r="E268" s="29">
        <v>26.5</v>
      </c>
      <c r="F268" s="29">
        <v>26.5</v>
      </c>
      <c r="G268" s="10">
        <v>20.5</v>
      </c>
      <c r="H268" s="10">
        <v>20.5</v>
      </c>
      <c r="I268" s="29">
        <v>26.5</v>
      </c>
      <c r="K268" s="4"/>
    </row>
    <row r="269" spans="1:11" x14ac:dyDescent="0.2">
      <c r="B269" s="9"/>
      <c r="C269" s="11"/>
      <c r="D269" s="19"/>
      <c r="E269" s="19"/>
      <c r="F269" s="10"/>
      <c r="G269" s="10"/>
      <c r="H269" s="21"/>
      <c r="K269" s="4"/>
    </row>
    <row r="270" spans="1:11" x14ac:dyDescent="0.2">
      <c r="B270" s="9" t="s">
        <v>8</v>
      </c>
      <c r="C270" s="12">
        <f t="shared" ref="C270:I270" si="119">(C263*C264)*(-1)</f>
        <v>0</v>
      </c>
      <c r="D270" s="12">
        <f t="shared" si="119"/>
        <v>-1250</v>
      </c>
      <c r="E270" s="12">
        <f t="shared" si="119"/>
        <v>-1250</v>
      </c>
      <c r="F270" s="12">
        <f t="shared" si="119"/>
        <v>-1250</v>
      </c>
      <c r="G270" s="12">
        <f t="shared" si="119"/>
        <v>0</v>
      </c>
      <c r="H270" s="12">
        <f t="shared" si="119"/>
        <v>0</v>
      </c>
      <c r="I270" s="12">
        <f t="shared" si="119"/>
        <v>-1250</v>
      </c>
      <c r="K270" s="4"/>
    </row>
    <row r="271" spans="1:11" x14ac:dyDescent="0.2">
      <c r="B271" s="9" t="s">
        <v>9</v>
      </c>
      <c r="C271" s="11">
        <f t="shared" ref="C271:I271" si="120">C265*C266</f>
        <v>0</v>
      </c>
      <c r="D271" s="11">
        <f t="shared" si="120"/>
        <v>7916</v>
      </c>
      <c r="E271" s="11">
        <f t="shared" si="120"/>
        <v>7916</v>
      </c>
      <c r="F271" s="11">
        <f t="shared" si="120"/>
        <v>7916</v>
      </c>
      <c r="G271" s="11">
        <f t="shared" si="120"/>
        <v>0</v>
      </c>
      <c r="H271" s="11">
        <f t="shared" si="120"/>
        <v>0</v>
      </c>
      <c r="I271" s="11">
        <f t="shared" si="120"/>
        <v>7916</v>
      </c>
      <c r="K271" s="4"/>
    </row>
    <row r="272" spans="1:11" x14ac:dyDescent="0.2">
      <c r="B272" s="7" t="s">
        <v>10</v>
      </c>
      <c r="C272" s="11">
        <f t="shared" ref="C272:I272" si="121">SUM(C270:C271)</f>
        <v>0</v>
      </c>
      <c r="D272" s="11">
        <f t="shared" si="121"/>
        <v>6666</v>
      </c>
      <c r="E272" s="11">
        <f t="shared" si="121"/>
        <v>6666</v>
      </c>
      <c r="F272" s="11">
        <f t="shared" si="121"/>
        <v>6666</v>
      </c>
      <c r="G272" s="11">
        <f t="shared" si="121"/>
        <v>0</v>
      </c>
      <c r="H272" s="11">
        <f t="shared" si="121"/>
        <v>0</v>
      </c>
      <c r="I272" s="11">
        <f t="shared" si="121"/>
        <v>6666</v>
      </c>
      <c r="K272" s="4"/>
    </row>
    <row r="273" spans="1:11" x14ac:dyDescent="0.2">
      <c r="A273" s="13"/>
      <c r="B273" s="2" t="s">
        <v>11</v>
      </c>
      <c r="C273" s="12">
        <f t="shared" ref="C273:I273" si="122">C267*C268</f>
        <v>0</v>
      </c>
      <c r="D273" s="12">
        <f t="shared" si="122"/>
        <v>-3975</v>
      </c>
      <c r="E273" s="12">
        <f t="shared" si="122"/>
        <v>-3975</v>
      </c>
      <c r="F273" s="12">
        <f t="shared" si="122"/>
        <v>-3975</v>
      </c>
      <c r="G273" s="12">
        <f t="shared" si="122"/>
        <v>0</v>
      </c>
      <c r="H273" s="12">
        <f t="shared" si="122"/>
        <v>0</v>
      </c>
      <c r="I273" s="12">
        <f t="shared" si="122"/>
        <v>-3975</v>
      </c>
    </row>
    <row r="274" spans="1:11" x14ac:dyDescent="0.2">
      <c r="A274" s="14"/>
      <c r="E274" s="2"/>
      <c r="G274" s="2"/>
      <c r="H274" s="2"/>
      <c r="I274" s="2"/>
    </row>
    <row r="275" spans="1:11" s="1" customFormat="1" x14ac:dyDescent="0.2">
      <c r="A275" s="13"/>
      <c r="B275" s="1" t="s">
        <v>12</v>
      </c>
      <c r="C275" s="15">
        <f t="shared" ref="C275:I275" si="123">SUM(C272:C273)</f>
        <v>0</v>
      </c>
      <c r="D275" s="15">
        <f t="shared" si="123"/>
        <v>2691</v>
      </c>
      <c r="E275" s="15">
        <f t="shared" si="123"/>
        <v>2691</v>
      </c>
      <c r="F275" s="15">
        <f t="shared" si="123"/>
        <v>2691</v>
      </c>
      <c r="G275" s="15">
        <f t="shared" si="123"/>
        <v>0</v>
      </c>
      <c r="H275" s="15">
        <f t="shared" si="123"/>
        <v>0</v>
      </c>
      <c r="I275" s="15">
        <f t="shared" si="123"/>
        <v>2691</v>
      </c>
      <c r="J275" s="8"/>
    </row>
    <row r="276" spans="1:11" x14ac:dyDescent="0.2">
      <c r="A276" s="16"/>
      <c r="B276" s="1" t="s">
        <v>13</v>
      </c>
      <c r="C276" s="15">
        <f t="shared" ref="C276:I276" si="124">C275*16</f>
        <v>0</v>
      </c>
      <c r="D276" s="15">
        <f t="shared" si="124"/>
        <v>43056</v>
      </c>
      <c r="E276" s="15">
        <f t="shared" si="124"/>
        <v>43056</v>
      </c>
      <c r="F276" s="15">
        <f t="shared" si="124"/>
        <v>43056</v>
      </c>
      <c r="G276" s="15">
        <f t="shared" si="124"/>
        <v>0</v>
      </c>
      <c r="H276" s="15">
        <f t="shared" si="124"/>
        <v>0</v>
      </c>
      <c r="I276" s="15">
        <f t="shared" si="124"/>
        <v>43056</v>
      </c>
      <c r="J276" s="3">
        <f>SUM(C276:I276)</f>
        <v>172224</v>
      </c>
    </row>
    <row r="277" spans="1:11" x14ac:dyDescent="0.2">
      <c r="A277" s="16"/>
      <c r="B277" s="1"/>
      <c r="C277" s="15"/>
      <c r="D277" s="15"/>
      <c r="E277" s="15"/>
      <c r="F277" s="15"/>
      <c r="G277" s="15"/>
      <c r="H277" s="15"/>
      <c r="I277" s="15"/>
    </row>
    <row r="278" spans="1:11" x14ac:dyDescent="0.2">
      <c r="A278" s="13"/>
      <c r="B278" s="2" t="s">
        <v>82</v>
      </c>
      <c r="C278" s="11">
        <f>(C270+C273)*16</f>
        <v>0</v>
      </c>
      <c r="D278" s="11">
        <f t="shared" ref="D278:I278" si="125">(D270+D273)*16</f>
        <v>-83600</v>
      </c>
      <c r="E278" s="11">
        <f t="shared" si="125"/>
        <v>-83600</v>
      </c>
      <c r="F278" s="11">
        <f t="shared" si="125"/>
        <v>-83600</v>
      </c>
      <c r="G278" s="11">
        <f t="shared" si="125"/>
        <v>0</v>
      </c>
      <c r="H278" s="11">
        <f t="shared" si="125"/>
        <v>0</v>
      </c>
      <c r="I278" s="11">
        <f t="shared" si="125"/>
        <v>-83600</v>
      </c>
    </row>
    <row r="279" spans="1:11" x14ac:dyDescent="0.2">
      <c r="A279" s="13"/>
      <c r="B279" s="2" t="s">
        <v>83</v>
      </c>
      <c r="C279" s="11">
        <f>C271*16</f>
        <v>0</v>
      </c>
      <c r="D279" s="11">
        <f t="shared" ref="D279:I279" si="126">D271*16</f>
        <v>126656</v>
      </c>
      <c r="E279" s="11">
        <f t="shared" si="126"/>
        <v>126656</v>
      </c>
      <c r="F279" s="11">
        <f t="shared" si="126"/>
        <v>126656</v>
      </c>
      <c r="G279" s="11">
        <f t="shared" si="126"/>
        <v>0</v>
      </c>
      <c r="H279" s="11">
        <f t="shared" si="126"/>
        <v>0</v>
      </c>
      <c r="I279" s="11">
        <f t="shared" si="126"/>
        <v>126656</v>
      </c>
    </row>
    <row r="280" spans="1:11" x14ac:dyDescent="0.2">
      <c r="A280" s="13"/>
      <c r="B280" s="2" t="s">
        <v>77</v>
      </c>
      <c r="C280" s="11">
        <f t="shared" ref="C280:I280" si="127">SUM(C278:C279)</f>
        <v>0</v>
      </c>
      <c r="D280" s="11">
        <f t="shared" si="127"/>
        <v>43056</v>
      </c>
      <c r="E280" s="11">
        <f t="shared" si="127"/>
        <v>43056</v>
      </c>
      <c r="F280" s="11">
        <f t="shared" si="127"/>
        <v>43056</v>
      </c>
      <c r="G280" s="11">
        <f t="shared" si="127"/>
        <v>0</v>
      </c>
      <c r="H280" s="11">
        <f t="shared" si="127"/>
        <v>0</v>
      </c>
      <c r="I280" s="11">
        <f t="shared" si="127"/>
        <v>43056</v>
      </c>
    </row>
    <row r="281" spans="1:11" x14ac:dyDescent="0.2">
      <c r="A281" s="13"/>
    </row>
    <row r="282" spans="1:11" s="1" customFormat="1" x14ac:dyDescent="0.2">
      <c r="A282" s="1" t="s">
        <v>24</v>
      </c>
      <c r="B282" s="5" t="s">
        <v>18</v>
      </c>
      <c r="C282" s="28">
        <v>37257</v>
      </c>
      <c r="D282" s="6">
        <v>37258</v>
      </c>
      <c r="E282" s="6">
        <v>37259</v>
      </c>
      <c r="F282" s="6">
        <v>37260</v>
      </c>
      <c r="G282" s="28">
        <v>37261</v>
      </c>
      <c r="H282" s="28">
        <v>37262</v>
      </c>
      <c r="I282" s="6">
        <v>37263</v>
      </c>
      <c r="J282" s="8"/>
      <c r="K282" s="7"/>
    </row>
    <row r="283" spans="1:11" x14ac:dyDescent="0.2">
      <c r="B283" s="1" t="s">
        <v>3</v>
      </c>
      <c r="D283" s="19">
        <v>900</v>
      </c>
      <c r="E283" s="19">
        <v>900</v>
      </c>
      <c r="F283" s="19">
        <v>900</v>
      </c>
      <c r="G283" s="10"/>
      <c r="H283" s="21"/>
      <c r="I283" s="19">
        <v>900</v>
      </c>
      <c r="K283" s="4"/>
    </row>
    <row r="284" spans="1:11" x14ac:dyDescent="0.2">
      <c r="B284" s="8" t="s">
        <v>4</v>
      </c>
      <c r="C284" s="3">
        <v>0</v>
      </c>
      <c r="D284" s="10">
        <v>31.27</v>
      </c>
      <c r="E284" s="10">
        <v>31.27</v>
      </c>
      <c r="F284" s="10">
        <v>31.27</v>
      </c>
      <c r="G284" s="10"/>
      <c r="H284" s="21"/>
      <c r="I284" s="10">
        <v>31.27</v>
      </c>
      <c r="K284" s="4"/>
    </row>
    <row r="285" spans="1:11" x14ac:dyDescent="0.2">
      <c r="B285" s="1" t="s">
        <v>5</v>
      </c>
      <c r="D285" s="19">
        <v>800</v>
      </c>
      <c r="E285" s="19">
        <v>800</v>
      </c>
      <c r="F285" s="19">
        <v>800</v>
      </c>
      <c r="G285" s="10"/>
      <c r="H285" s="21"/>
      <c r="I285" s="19">
        <v>800</v>
      </c>
      <c r="K285" s="4"/>
    </row>
    <row r="286" spans="1:11" x14ac:dyDescent="0.2">
      <c r="B286" s="8" t="s">
        <v>4</v>
      </c>
      <c r="C286" s="3">
        <v>0</v>
      </c>
      <c r="D286" s="10">
        <v>29.38</v>
      </c>
      <c r="E286" s="10">
        <v>29.38</v>
      </c>
      <c r="F286" s="10">
        <v>29.38</v>
      </c>
      <c r="G286" s="10"/>
      <c r="H286" s="21"/>
      <c r="I286" s="10">
        <v>29.38</v>
      </c>
      <c r="K286" s="4"/>
    </row>
    <row r="287" spans="1:11" x14ac:dyDescent="0.2">
      <c r="B287" s="7" t="s">
        <v>6</v>
      </c>
      <c r="C287" s="4">
        <f>C283-C285</f>
        <v>0</v>
      </c>
      <c r="D287" s="4">
        <f t="shared" ref="D287:I287" si="128">D283-D285</f>
        <v>100</v>
      </c>
      <c r="E287" s="4">
        <f t="shared" si="128"/>
        <v>100</v>
      </c>
      <c r="F287" s="4">
        <f t="shared" si="128"/>
        <v>100</v>
      </c>
      <c r="G287" s="4">
        <f t="shared" si="128"/>
        <v>0</v>
      </c>
      <c r="H287" s="4">
        <f t="shared" si="128"/>
        <v>0</v>
      </c>
      <c r="I287" s="4">
        <f t="shared" si="128"/>
        <v>100</v>
      </c>
      <c r="K287" s="4"/>
    </row>
    <row r="288" spans="1:11" x14ac:dyDescent="0.2">
      <c r="B288" s="9" t="s">
        <v>7</v>
      </c>
      <c r="C288" s="10">
        <v>22</v>
      </c>
      <c r="D288" s="29">
        <v>28</v>
      </c>
      <c r="E288" s="29">
        <v>28</v>
      </c>
      <c r="F288" s="29">
        <v>28</v>
      </c>
      <c r="G288" s="10">
        <v>22</v>
      </c>
      <c r="H288" s="10">
        <v>22</v>
      </c>
      <c r="I288" s="29">
        <v>28</v>
      </c>
      <c r="K288" s="4"/>
    </row>
    <row r="289" spans="1:11" x14ac:dyDescent="0.2">
      <c r="B289" s="9"/>
      <c r="C289" s="11"/>
      <c r="D289" s="19"/>
      <c r="E289" s="19"/>
      <c r="F289" s="10"/>
      <c r="G289" s="10"/>
      <c r="H289" s="21"/>
      <c r="K289" s="4"/>
    </row>
    <row r="290" spans="1:11" x14ac:dyDescent="0.2">
      <c r="B290" s="9" t="s">
        <v>8</v>
      </c>
      <c r="C290" s="12">
        <f t="shared" ref="C290:I290" si="129">(C283*C284)*(-1)</f>
        <v>0</v>
      </c>
      <c r="D290" s="12">
        <f t="shared" si="129"/>
        <v>-28143</v>
      </c>
      <c r="E290" s="12">
        <f t="shared" si="129"/>
        <v>-28143</v>
      </c>
      <c r="F290" s="12">
        <f t="shared" si="129"/>
        <v>-28143</v>
      </c>
      <c r="G290" s="12">
        <f t="shared" si="129"/>
        <v>0</v>
      </c>
      <c r="H290" s="12">
        <f t="shared" si="129"/>
        <v>0</v>
      </c>
      <c r="I290" s="12">
        <f t="shared" si="129"/>
        <v>-28143</v>
      </c>
      <c r="K290" s="4"/>
    </row>
    <row r="291" spans="1:11" x14ac:dyDescent="0.2">
      <c r="B291" s="9" t="s">
        <v>9</v>
      </c>
      <c r="C291" s="11">
        <f t="shared" ref="C291:I291" si="130">C285*C286</f>
        <v>0</v>
      </c>
      <c r="D291" s="11">
        <f t="shared" si="130"/>
        <v>23504</v>
      </c>
      <c r="E291" s="11">
        <f t="shared" si="130"/>
        <v>23504</v>
      </c>
      <c r="F291" s="11">
        <f t="shared" si="130"/>
        <v>23504</v>
      </c>
      <c r="G291" s="11">
        <f t="shared" si="130"/>
        <v>0</v>
      </c>
      <c r="H291" s="11">
        <f t="shared" si="130"/>
        <v>0</v>
      </c>
      <c r="I291" s="11">
        <f t="shared" si="130"/>
        <v>23504</v>
      </c>
      <c r="K291" s="4"/>
    </row>
    <row r="292" spans="1:11" x14ac:dyDescent="0.2">
      <c r="B292" s="7" t="s">
        <v>10</v>
      </c>
      <c r="C292" s="11">
        <f t="shared" ref="C292:I292" si="131">SUM(C290:C291)</f>
        <v>0</v>
      </c>
      <c r="D292" s="11">
        <f t="shared" si="131"/>
        <v>-4639</v>
      </c>
      <c r="E292" s="11">
        <f t="shared" si="131"/>
        <v>-4639</v>
      </c>
      <c r="F292" s="11">
        <f t="shared" si="131"/>
        <v>-4639</v>
      </c>
      <c r="G292" s="11">
        <f t="shared" si="131"/>
        <v>0</v>
      </c>
      <c r="H292" s="11">
        <f t="shared" si="131"/>
        <v>0</v>
      </c>
      <c r="I292" s="11">
        <f t="shared" si="131"/>
        <v>-4639</v>
      </c>
      <c r="K292" s="4"/>
    </row>
    <row r="293" spans="1:11" x14ac:dyDescent="0.2">
      <c r="A293" s="13"/>
      <c r="B293" s="2" t="s">
        <v>11</v>
      </c>
      <c r="C293" s="12">
        <f t="shared" ref="C293:I293" si="132">C287*C288</f>
        <v>0</v>
      </c>
      <c r="D293" s="12">
        <f t="shared" si="132"/>
        <v>2800</v>
      </c>
      <c r="E293" s="12">
        <f t="shared" si="132"/>
        <v>2800</v>
      </c>
      <c r="F293" s="12">
        <f t="shared" si="132"/>
        <v>2800</v>
      </c>
      <c r="G293" s="12">
        <f t="shared" si="132"/>
        <v>0</v>
      </c>
      <c r="H293" s="12">
        <f t="shared" si="132"/>
        <v>0</v>
      </c>
      <c r="I293" s="12">
        <f t="shared" si="132"/>
        <v>2800</v>
      </c>
    </row>
    <row r="294" spans="1:11" x14ac:dyDescent="0.2">
      <c r="A294" s="14"/>
      <c r="E294" s="2"/>
      <c r="G294" s="2"/>
      <c r="H294" s="2"/>
      <c r="I294" s="2"/>
    </row>
    <row r="295" spans="1:11" s="1" customFormat="1" x14ac:dyDescent="0.2">
      <c r="A295" s="13"/>
      <c r="B295" s="1" t="s">
        <v>12</v>
      </c>
      <c r="C295" s="15">
        <f t="shared" ref="C295:I295" si="133">SUM(C292:C293)</f>
        <v>0</v>
      </c>
      <c r="D295" s="15">
        <f t="shared" si="133"/>
        <v>-1839</v>
      </c>
      <c r="E295" s="15">
        <f t="shared" si="133"/>
        <v>-1839</v>
      </c>
      <c r="F295" s="15">
        <f t="shared" si="133"/>
        <v>-1839</v>
      </c>
      <c r="G295" s="15">
        <f t="shared" si="133"/>
        <v>0</v>
      </c>
      <c r="H295" s="15">
        <f t="shared" si="133"/>
        <v>0</v>
      </c>
      <c r="I295" s="15">
        <f t="shared" si="133"/>
        <v>-1839</v>
      </c>
      <c r="J295" s="8"/>
    </row>
    <row r="296" spans="1:11" x14ac:dyDescent="0.2">
      <c r="A296" s="16"/>
      <c r="B296" s="1" t="s">
        <v>13</v>
      </c>
      <c r="C296" s="15">
        <f t="shared" ref="C296:I296" si="134">C295*16</f>
        <v>0</v>
      </c>
      <c r="D296" s="15">
        <f t="shared" si="134"/>
        <v>-29424</v>
      </c>
      <c r="E296" s="15">
        <f t="shared" si="134"/>
        <v>-29424</v>
      </c>
      <c r="F296" s="15">
        <f t="shared" si="134"/>
        <v>-29424</v>
      </c>
      <c r="G296" s="15">
        <f t="shared" si="134"/>
        <v>0</v>
      </c>
      <c r="H296" s="15">
        <f t="shared" si="134"/>
        <v>0</v>
      </c>
      <c r="I296" s="15">
        <f t="shared" si="134"/>
        <v>-29424</v>
      </c>
      <c r="J296" s="3">
        <f>SUM(C296:I296)</f>
        <v>-117696</v>
      </c>
    </row>
    <row r="298" spans="1:11" x14ac:dyDescent="0.2">
      <c r="A298" s="13"/>
      <c r="B298" s="2" t="s">
        <v>82</v>
      </c>
      <c r="C298" s="11">
        <f>(C290+C293)*16</f>
        <v>0</v>
      </c>
      <c r="D298" s="11">
        <f t="shared" ref="D298:I298" si="135">(D290+D293)*16</f>
        <v>-405488</v>
      </c>
      <c r="E298" s="11">
        <f t="shared" si="135"/>
        <v>-405488</v>
      </c>
      <c r="F298" s="11">
        <f t="shared" si="135"/>
        <v>-405488</v>
      </c>
      <c r="G298" s="11">
        <f t="shared" si="135"/>
        <v>0</v>
      </c>
      <c r="H298" s="11">
        <f t="shared" si="135"/>
        <v>0</v>
      </c>
      <c r="I298" s="11">
        <f t="shared" si="135"/>
        <v>-405488</v>
      </c>
    </row>
    <row r="299" spans="1:11" x14ac:dyDescent="0.2">
      <c r="A299" s="13"/>
      <c r="B299" s="2" t="s">
        <v>83</v>
      </c>
      <c r="C299" s="11">
        <f>C291*16</f>
        <v>0</v>
      </c>
      <c r="D299" s="11">
        <f t="shared" ref="D299:I299" si="136">D291*16</f>
        <v>376064</v>
      </c>
      <c r="E299" s="11">
        <f t="shared" si="136"/>
        <v>376064</v>
      </c>
      <c r="F299" s="11">
        <f t="shared" si="136"/>
        <v>376064</v>
      </c>
      <c r="G299" s="11">
        <f t="shared" si="136"/>
        <v>0</v>
      </c>
      <c r="H299" s="11">
        <f t="shared" si="136"/>
        <v>0</v>
      </c>
      <c r="I299" s="11">
        <f t="shared" si="136"/>
        <v>376064</v>
      </c>
    </row>
    <row r="300" spans="1:11" x14ac:dyDescent="0.2">
      <c r="A300" s="13"/>
      <c r="B300" s="2" t="s">
        <v>77</v>
      </c>
      <c r="C300" s="11">
        <f t="shared" ref="C300:I300" si="137">SUM(C298:C299)</f>
        <v>0</v>
      </c>
      <c r="D300" s="11">
        <f t="shared" si="137"/>
        <v>-29424</v>
      </c>
      <c r="E300" s="11">
        <f t="shared" si="137"/>
        <v>-29424</v>
      </c>
      <c r="F300" s="11">
        <f t="shared" si="137"/>
        <v>-29424</v>
      </c>
      <c r="G300" s="11">
        <f t="shared" si="137"/>
        <v>0</v>
      </c>
      <c r="H300" s="11">
        <f t="shared" si="137"/>
        <v>0</v>
      </c>
      <c r="I300" s="11">
        <f t="shared" si="137"/>
        <v>-29424</v>
      </c>
    </row>
    <row r="301" spans="1:11" x14ac:dyDescent="0.2">
      <c r="A301" s="13"/>
    </row>
    <row r="302" spans="1:11" s="1" customFormat="1" x14ac:dyDescent="0.2">
      <c r="A302" s="1" t="s">
        <v>24</v>
      </c>
      <c r="B302" s="5" t="s">
        <v>26</v>
      </c>
      <c r="C302" s="28">
        <v>37257</v>
      </c>
      <c r="D302" s="6">
        <v>37258</v>
      </c>
      <c r="E302" s="6">
        <v>37259</v>
      </c>
      <c r="F302" s="6">
        <v>37260</v>
      </c>
      <c r="G302" s="28">
        <v>37261</v>
      </c>
      <c r="H302" s="28">
        <v>37262</v>
      </c>
      <c r="I302" s="6">
        <v>37263</v>
      </c>
      <c r="J302" s="8"/>
      <c r="K302" s="7"/>
    </row>
    <row r="303" spans="1:11" x14ac:dyDescent="0.2">
      <c r="A303" s="17"/>
      <c r="B303" s="17" t="s">
        <v>3</v>
      </c>
      <c r="D303" s="19">
        <v>50</v>
      </c>
      <c r="E303" s="19">
        <v>50</v>
      </c>
      <c r="F303" s="19">
        <v>50</v>
      </c>
      <c r="G303" s="10"/>
      <c r="H303" s="21"/>
      <c r="I303" s="19">
        <v>50</v>
      </c>
      <c r="K303" s="4"/>
    </row>
    <row r="304" spans="1:11" x14ac:dyDescent="0.2">
      <c r="A304" s="17"/>
      <c r="B304" s="22" t="s">
        <v>4</v>
      </c>
      <c r="C304" s="3">
        <v>0</v>
      </c>
      <c r="D304" s="10">
        <v>34</v>
      </c>
      <c r="E304" s="10">
        <v>34</v>
      </c>
      <c r="F304" s="10">
        <v>34</v>
      </c>
      <c r="G304" s="10"/>
      <c r="H304" s="21"/>
      <c r="I304" s="10">
        <v>34</v>
      </c>
      <c r="K304" s="4"/>
    </row>
    <row r="305" spans="1:11" x14ac:dyDescent="0.2">
      <c r="A305" s="17"/>
      <c r="B305" s="17" t="s">
        <v>5</v>
      </c>
      <c r="D305" s="19">
        <v>0</v>
      </c>
      <c r="E305" s="19">
        <v>0</v>
      </c>
      <c r="F305" s="19">
        <v>0</v>
      </c>
      <c r="G305" s="10"/>
      <c r="H305" s="21"/>
      <c r="I305" s="19">
        <v>0</v>
      </c>
      <c r="K305" s="4"/>
    </row>
    <row r="306" spans="1:11" x14ac:dyDescent="0.2">
      <c r="A306" s="17"/>
      <c r="B306" s="22" t="s">
        <v>4</v>
      </c>
      <c r="C306" s="3">
        <v>0</v>
      </c>
      <c r="D306" s="10">
        <v>0</v>
      </c>
      <c r="E306" s="10">
        <v>0</v>
      </c>
      <c r="F306" s="10">
        <v>0</v>
      </c>
      <c r="G306" s="10"/>
      <c r="H306" s="21"/>
      <c r="I306" s="10">
        <v>0</v>
      </c>
      <c r="K306" s="4"/>
    </row>
    <row r="307" spans="1:11" x14ac:dyDescent="0.2">
      <c r="A307" s="17"/>
      <c r="B307" s="23" t="s">
        <v>6</v>
      </c>
      <c r="C307" s="4">
        <f>C303-C305</f>
        <v>0</v>
      </c>
      <c r="D307" s="4">
        <f>D303-D305</f>
        <v>50</v>
      </c>
      <c r="E307" s="4">
        <f>E303-E305</f>
        <v>50</v>
      </c>
      <c r="F307" s="4">
        <f>F303-F305</f>
        <v>50</v>
      </c>
      <c r="G307" s="10"/>
      <c r="H307" s="21"/>
      <c r="I307" s="4">
        <f>I303-I305</f>
        <v>50</v>
      </c>
      <c r="K307" s="4"/>
    </row>
    <row r="308" spans="1:11" x14ac:dyDescent="0.2">
      <c r="A308" s="17"/>
      <c r="B308" s="24" t="s">
        <v>7</v>
      </c>
      <c r="C308" s="10">
        <v>22</v>
      </c>
      <c r="D308" s="29">
        <v>28</v>
      </c>
      <c r="E308" s="29">
        <v>28</v>
      </c>
      <c r="F308" s="29">
        <v>28</v>
      </c>
      <c r="G308" s="10">
        <v>22</v>
      </c>
      <c r="H308" s="10">
        <v>22</v>
      </c>
      <c r="I308" s="29">
        <v>28</v>
      </c>
      <c r="K308" s="4"/>
    </row>
    <row r="309" spans="1:11" x14ac:dyDescent="0.2">
      <c r="A309" s="17"/>
      <c r="B309" s="24"/>
      <c r="C309" s="11"/>
      <c r="D309" s="19"/>
      <c r="E309" s="19"/>
      <c r="F309" s="10"/>
      <c r="G309" s="10"/>
      <c r="H309" s="21"/>
      <c r="K309" s="4"/>
    </row>
    <row r="310" spans="1:11" x14ac:dyDescent="0.2">
      <c r="A310" s="17"/>
      <c r="B310" s="24" t="s">
        <v>8</v>
      </c>
      <c r="C310" s="12">
        <f t="shared" ref="C310:I310" si="138">(C303*C304)*(-1)</f>
        <v>0</v>
      </c>
      <c r="D310" s="12">
        <f t="shared" si="138"/>
        <v>-1700</v>
      </c>
      <c r="E310" s="12">
        <f t="shared" si="138"/>
        <v>-1700</v>
      </c>
      <c r="F310" s="12">
        <f t="shared" si="138"/>
        <v>-1700</v>
      </c>
      <c r="G310" s="12">
        <f t="shared" si="138"/>
        <v>0</v>
      </c>
      <c r="H310" s="12">
        <f t="shared" si="138"/>
        <v>0</v>
      </c>
      <c r="I310" s="12">
        <f t="shared" si="138"/>
        <v>-1700</v>
      </c>
      <c r="K310" s="4"/>
    </row>
    <row r="311" spans="1:11" x14ac:dyDescent="0.2">
      <c r="A311" s="17"/>
      <c r="B311" s="24" t="s">
        <v>9</v>
      </c>
      <c r="C311" s="11">
        <f t="shared" ref="C311:I311" si="139">C305*C306</f>
        <v>0</v>
      </c>
      <c r="D311" s="11">
        <f t="shared" si="139"/>
        <v>0</v>
      </c>
      <c r="E311" s="11">
        <f t="shared" si="139"/>
        <v>0</v>
      </c>
      <c r="F311" s="11">
        <f t="shared" si="139"/>
        <v>0</v>
      </c>
      <c r="G311" s="11">
        <f t="shared" si="139"/>
        <v>0</v>
      </c>
      <c r="H311" s="11">
        <f t="shared" si="139"/>
        <v>0</v>
      </c>
      <c r="I311" s="11">
        <f t="shared" si="139"/>
        <v>0</v>
      </c>
      <c r="K311" s="4"/>
    </row>
    <row r="312" spans="1:11" x14ac:dyDescent="0.2">
      <c r="A312" s="17"/>
      <c r="B312" s="23" t="s">
        <v>10</v>
      </c>
      <c r="C312" s="11">
        <f t="shared" ref="C312:I312" si="140">SUM(C310:C311)</f>
        <v>0</v>
      </c>
      <c r="D312" s="11">
        <f t="shared" si="140"/>
        <v>-1700</v>
      </c>
      <c r="E312" s="11">
        <f t="shared" si="140"/>
        <v>-1700</v>
      </c>
      <c r="F312" s="11">
        <f t="shared" si="140"/>
        <v>-1700</v>
      </c>
      <c r="G312" s="11">
        <f t="shared" si="140"/>
        <v>0</v>
      </c>
      <c r="H312" s="11">
        <f t="shared" si="140"/>
        <v>0</v>
      </c>
      <c r="I312" s="11">
        <f t="shared" si="140"/>
        <v>-1700</v>
      </c>
      <c r="K312" s="4"/>
    </row>
    <row r="313" spans="1:11" x14ac:dyDescent="0.2">
      <c r="A313" s="13"/>
      <c r="B313" s="19" t="s">
        <v>11</v>
      </c>
      <c r="C313" s="12">
        <f t="shared" ref="C313:I313" si="141">C307*C308</f>
        <v>0</v>
      </c>
      <c r="D313" s="12">
        <f t="shared" si="141"/>
        <v>1400</v>
      </c>
      <c r="E313" s="12">
        <f t="shared" si="141"/>
        <v>1400</v>
      </c>
      <c r="F313" s="12">
        <f t="shared" si="141"/>
        <v>1400</v>
      </c>
      <c r="G313" s="12">
        <f t="shared" si="141"/>
        <v>0</v>
      </c>
      <c r="H313" s="12">
        <f t="shared" si="141"/>
        <v>0</v>
      </c>
      <c r="I313" s="12">
        <f t="shared" si="141"/>
        <v>1400</v>
      </c>
    </row>
    <row r="314" spans="1:11" x14ac:dyDescent="0.2">
      <c r="A314" s="14"/>
      <c r="B314" s="19"/>
      <c r="E314" s="2"/>
      <c r="G314" s="2"/>
      <c r="H314" s="2"/>
      <c r="I314" s="2"/>
    </row>
    <row r="315" spans="1:11" s="1" customFormat="1" x14ac:dyDescent="0.2">
      <c r="A315" s="13"/>
      <c r="B315" s="17" t="s">
        <v>12</v>
      </c>
      <c r="C315" s="15">
        <f t="shared" ref="C315:I315" si="142">SUM(C312:C313)</f>
        <v>0</v>
      </c>
      <c r="D315" s="15">
        <f t="shared" si="142"/>
        <v>-300</v>
      </c>
      <c r="E315" s="15">
        <f t="shared" si="142"/>
        <v>-300</v>
      </c>
      <c r="F315" s="15">
        <f t="shared" si="142"/>
        <v>-300</v>
      </c>
      <c r="G315" s="15">
        <f t="shared" si="142"/>
        <v>0</v>
      </c>
      <c r="H315" s="15">
        <f t="shared" si="142"/>
        <v>0</v>
      </c>
      <c r="I315" s="15">
        <f t="shared" si="142"/>
        <v>-300</v>
      </c>
      <c r="J315" s="8"/>
    </row>
    <row r="316" spans="1:11" x14ac:dyDescent="0.2">
      <c r="A316" s="16"/>
      <c r="B316" s="17" t="s">
        <v>13</v>
      </c>
      <c r="C316" s="15">
        <f t="shared" ref="C316:I316" si="143">C315*16</f>
        <v>0</v>
      </c>
      <c r="D316" s="15">
        <f t="shared" si="143"/>
        <v>-4800</v>
      </c>
      <c r="E316" s="15">
        <f t="shared" si="143"/>
        <v>-4800</v>
      </c>
      <c r="F316" s="15">
        <f t="shared" si="143"/>
        <v>-4800</v>
      </c>
      <c r="G316" s="15">
        <f t="shared" si="143"/>
        <v>0</v>
      </c>
      <c r="H316" s="15">
        <f t="shared" si="143"/>
        <v>0</v>
      </c>
      <c r="I316" s="15">
        <f t="shared" si="143"/>
        <v>-4800</v>
      </c>
      <c r="J316" s="3">
        <f>SUM(C316:I316)</f>
        <v>-19200</v>
      </c>
    </row>
    <row r="317" spans="1:11" x14ac:dyDescent="0.2">
      <c r="A317" s="16"/>
      <c r="B317" s="17"/>
      <c r="C317" s="18"/>
      <c r="D317" s="18"/>
      <c r="E317" s="18"/>
      <c r="F317" s="18"/>
      <c r="G317" s="18"/>
      <c r="H317" s="18"/>
      <c r="I317" s="18"/>
      <c r="J317" s="10"/>
    </row>
    <row r="318" spans="1:11" x14ac:dyDescent="0.2">
      <c r="A318" s="13"/>
      <c r="B318" s="2" t="s">
        <v>82</v>
      </c>
      <c r="C318" s="11">
        <f>(C310+C313)*16</f>
        <v>0</v>
      </c>
      <c r="D318" s="11">
        <f t="shared" ref="D318:I318" si="144">(D310+D313)*16</f>
        <v>-4800</v>
      </c>
      <c r="E318" s="11">
        <f t="shared" si="144"/>
        <v>-4800</v>
      </c>
      <c r="F318" s="11">
        <f t="shared" si="144"/>
        <v>-4800</v>
      </c>
      <c r="G318" s="11">
        <f t="shared" si="144"/>
        <v>0</v>
      </c>
      <c r="H318" s="11">
        <f t="shared" si="144"/>
        <v>0</v>
      </c>
      <c r="I318" s="11">
        <f t="shared" si="144"/>
        <v>-4800</v>
      </c>
    </row>
    <row r="319" spans="1:11" x14ac:dyDescent="0.2">
      <c r="A319" s="13"/>
      <c r="B319" s="2" t="s">
        <v>83</v>
      </c>
      <c r="C319" s="11">
        <f>C311*16</f>
        <v>0</v>
      </c>
      <c r="D319" s="11">
        <f t="shared" ref="D319:I319" si="145">D311*16</f>
        <v>0</v>
      </c>
      <c r="E319" s="11">
        <f t="shared" si="145"/>
        <v>0</v>
      </c>
      <c r="F319" s="11">
        <f t="shared" si="145"/>
        <v>0</v>
      </c>
      <c r="G319" s="11">
        <f t="shared" si="145"/>
        <v>0</v>
      </c>
      <c r="H319" s="11">
        <f t="shared" si="145"/>
        <v>0</v>
      </c>
      <c r="I319" s="11">
        <f t="shared" si="145"/>
        <v>0</v>
      </c>
    </row>
    <row r="320" spans="1:11" x14ac:dyDescent="0.2">
      <c r="A320" s="13"/>
      <c r="B320" s="2" t="s">
        <v>77</v>
      </c>
      <c r="C320" s="11">
        <f t="shared" ref="C320:I320" si="146">SUM(C318:C319)</f>
        <v>0</v>
      </c>
      <c r="D320" s="11">
        <f t="shared" si="146"/>
        <v>-4800</v>
      </c>
      <c r="E320" s="11">
        <f t="shared" si="146"/>
        <v>-4800</v>
      </c>
      <c r="F320" s="11">
        <f t="shared" si="146"/>
        <v>-4800</v>
      </c>
      <c r="G320" s="11">
        <f t="shared" si="146"/>
        <v>0</v>
      </c>
      <c r="H320" s="11">
        <f t="shared" si="146"/>
        <v>0</v>
      </c>
      <c r="I320" s="11">
        <f t="shared" si="146"/>
        <v>-4800</v>
      </c>
    </row>
    <row r="321" spans="1:11" x14ac:dyDescent="0.2">
      <c r="A321" s="13"/>
    </row>
    <row r="322" spans="1:11" x14ac:dyDescent="0.2">
      <c r="A322" s="16"/>
      <c r="B322" s="1"/>
      <c r="C322" s="15"/>
      <c r="D322" s="15"/>
      <c r="E322" s="15"/>
      <c r="F322" s="15"/>
      <c r="G322" s="15"/>
      <c r="H322" s="15"/>
      <c r="I322" s="15"/>
    </row>
    <row r="323" spans="1:11" x14ac:dyDescent="0.2">
      <c r="A323" s="16"/>
      <c r="B323" s="1"/>
      <c r="C323" s="15"/>
      <c r="E323" s="25"/>
    </row>
    <row r="324" spans="1:11" s="1" customFormat="1" x14ac:dyDescent="0.2">
      <c r="A324" s="1" t="s">
        <v>28</v>
      </c>
      <c r="B324" s="5" t="s">
        <v>25</v>
      </c>
      <c r="C324" s="28">
        <v>37257</v>
      </c>
      <c r="D324" s="6">
        <v>37258</v>
      </c>
      <c r="E324" s="6">
        <v>37259</v>
      </c>
      <c r="F324" s="6">
        <v>37260</v>
      </c>
      <c r="G324" s="28">
        <v>37261</v>
      </c>
      <c r="H324" s="28">
        <v>37262</v>
      </c>
      <c r="I324" s="6">
        <v>37263</v>
      </c>
      <c r="J324" s="8"/>
      <c r="K324" s="7"/>
    </row>
    <row r="325" spans="1:11" x14ac:dyDescent="0.2">
      <c r="B325" s="1" t="s">
        <v>3</v>
      </c>
      <c r="D325" s="19">
        <v>200</v>
      </c>
      <c r="E325" s="19">
        <v>200</v>
      </c>
      <c r="F325" s="19">
        <v>200</v>
      </c>
      <c r="G325" s="10"/>
      <c r="H325" s="21"/>
      <c r="I325" s="19">
        <v>200</v>
      </c>
      <c r="K325" s="4"/>
    </row>
    <row r="326" spans="1:11" x14ac:dyDescent="0.2">
      <c r="B326" s="8" t="s">
        <v>4</v>
      </c>
      <c r="C326" s="3">
        <v>0</v>
      </c>
      <c r="D326" s="10">
        <v>33.75</v>
      </c>
      <c r="E326" s="10">
        <v>33.75</v>
      </c>
      <c r="F326" s="10">
        <v>33.75</v>
      </c>
      <c r="G326" s="10"/>
      <c r="H326" s="21"/>
      <c r="I326" s="10">
        <v>33.75</v>
      </c>
      <c r="K326" s="4"/>
    </row>
    <row r="327" spans="1:11" x14ac:dyDescent="0.2">
      <c r="B327" s="1" t="s">
        <v>5</v>
      </c>
      <c r="D327" s="19">
        <v>200</v>
      </c>
      <c r="E327" s="19">
        <v>200</v>
      </c>
      <c r="F327" s="19">
        <v>200</v>
      </c>
      <c r="G327" s="10"/>
      <c r="H327" s="21"/>
      <c r="I327" s="19">
        <v>200</v>
      </c>
      <c r="K327" s="4"/>
    </row>
    <row r="328" spans="1:11" x14ac:dyDescent="0.2">
      <c r="B328" s="8" t="s">
        <v>4</v>
      </c>
      <c r="C328" s="3">
        <v>0</v>
      </c>
      <c r="D328" s="10">
        <v>23.3</v>
      </c>
      <c r="E328" s="10">
        <v>23.3</v>
      </c>
      <c r="F328" s="10">
        <v>23.3</v>
      </c>
      <c r="G328" s="10"/>
      <c r="H328" s="21"/>
      <c r="I328" s="10">
        <v>23.3</v>
      </c>
      <c r="K328" s="4"/>
    </row>
    <row r="329" spans="1:11" x14ac:dyDescent="0.2">
      <c r="B329" s="7" t="s">
        <v>6</v>
      </c>
      <c r="C329" s="4">
        <f t="shared" ref="C329:I329" si="147">C325-C327</f>
        <v>0</v>
      </c>
      <c r="D329" s="4">
        <f t="shared" si="147"/>
        <v>0</v>
      </c>
      <c r="E329" s="4">
        <f t="shared" si="147"/>
        <v>0</v>
      </c>
      <c r="F329" s="4">
        <f t="shared" si="147"/>
        <v>0</v>
      </c>
      <c r="G329" s="4">
        <f t="shared" si="147"/>
        <v>0</v>
      </c>
      <c r="H329" s="4">
        <f t="shared" si="147"/>
        <v>0</v>
      </c>
      <c r="I329" s="4">
        <f t="shared" si="147"/>
        <v>0</v>
      </c>
      <c r="K329" s="4"/>
    </row>
    <row r="330" spans="1:11" x14ac:dyDescent="0.2">
      <c r="B330" s="9" t="s">
        <v>7</v>
      </c>
      <c r="C330" s="10">
        <v>20</v>
      </c>
      <c r="D330" s="29">
        <v>27</v>
      </c>
      <c r="E330" s="29">
        <v>27</v>
      </c>
      <c r="F330" s="29">
        <v>27</v>
      </c>
      <c r="G330" s="10">
        <v>20</v>
      </c>
      <c r="H330" s="10">
        <v>20</v>
      </c>
      <c r="I330" s="29">
        <v>27</v>
      </c>
      <c r="K330" s="4"/>
    </row>
    <row r="331" spans="1:11" x14ac:dyDescent="0.2">
      <c r="B331" s="9"/>
      <c r="C331" s="11"/>
      <c r="D331" s="19"/>
      <c r="E331" s="19"/>
      <c r="F331" s="10"/>
      <c r="G331" s="10"/>
      <c r="H331" s="21"/>
      <c r="K331" s="4"/>
    </row>
    <row r="332" spans="1:11" x14ac:dyDescent="0.2">
      <c r="B332" s="9" t="s">
        <v>8</v>
      </c>
      <c r="C332" s="12">
        <f t="shared" ref="C332:I332" si="148">(C325*C326)*(-1)</f>
        <v>0</v>
      </c>
      <c r="D332" s="12">
        <f t="shared" si="148"/>
        <v>-6750</v>
      </c>
      <c r="E332" s="12">
        <f t="shared" si="148"/>
        <v>-6750</v>
      </c>
      <c r="F332" s="12">
        <f t="shared" si="148"/>
        <v>-6750</v>
      </c>
      <c r="G332" s="12">
        <f t="shared" si="148"/>
        <v>0</v>
      </c>
      <c r="H332" s="12">
        <f t="shared" si="148"/>
        <v>0</v>
      </c>
      <c r="I332" s="12">
        <f t="shared" si="148"/>
        <v>-6750</v>
      </c>
      <c r="K332" s="4"/>
    </row>
    <row r="333" spans="1:11" x14ac:dyDescent="0.2">
      <c r="B333" s="9" t="s">
        <v>9</v>
      </c>
      <c r="C333" s="11">
        <f t="shared" ref="C333:I333" si="149">C327*C328</f>
        <v>0</v>
      </c>
      <c r="D333" s="11">
        <f t="shared" si="149"/>
        <v>4660</v>
      </c>
      <c r="E333" s="11">
        <f t="shared" si="149"/>
        <v>4660</v>
      </c>
      <c r="F333" s="11">
        <f t="shared" si="149"/>
        <v>4660</v>
      </c>
      <c r="G333" s="11">
        <f t="shared" si="149"/>
        <v>0</v>
      </c>
      <c r="H333" s="11">
        <f t="shared" si="149"/>
        <v>0</v>
      </c>
      <c r="I333" s="11">
        <f t="shared" si="149"/>
        <v>4660</v>
      </c>
      <c r="K333" s="4"/>
    </row>
    <row r="334" spans="1:11" x14ac:dyDescent="0.2">
      <c r="B334" s="7" t="s">
        <v>10</v>
      </c>
      <c r="C334" s="11">
        <f t="shared" ref="C334:I334" si="150">SUM(C332:C333)</f>
        <v>0</v>
      </c>
      <c r="D334" s="11">
        <f t="shared" si="150"/>
        <v>-2090</v>
      </c>
      <c r="E334" s="11">
        <f t="shared" si="150"/>
        <v>-2090</v>
      </c>
      <c r="F334" s="11">
        <f t="shared" si="150"/>
        <v>-2090</v>
      </c>
      <c r="G334" s="11">
        <f t="shared" si="150"/>
        <v>0</v>
      </c>
      <c r="H334" s="11">
        <f t="shared" si="150"/>
        <v>0</v>
      </c>
      <c r="I334" s="11">
        <f t="shared" si="150"/>
        <v>-2090</v>
      </c>
      <c r="K334" s="4"/>
    </row>
    <row r="335" spans="1:11" x14ac:dyDescent="0.2">
      <c r="A335" s="13"/>
      <c r="B335" s="2" t="s">
        <v>11</v>
      </c>
      <c r="C335" s="12">
        <f t="shared" ref="C335:I335" si="151">C329*C330</f>
        <v>0</v>
      </c>
      <c r="D335" s="12">
        <f t="shared" si="151"/>
        <v>0</v>
      </c>
      <c r="E335" s="12">
        <f t="shared" si="151"/>
        <v>0</v>
      </c>
      <c r="F335" s="12">
        <f t="shared" si="151"/>
        <v>0</v>
      </c>
      <c r="G335" s="12">
        <f t="shared" si="151"/>
        <v>0</v>
      </c>
      <c r="H335" s="12">
        <f t="shared" si="151"/>
        <v>0</v>
      </c>
      <c r="I335" s="12">
        <f t="shared" si="151"/>
        <v>0</v>
      </c>
    </row>
    <row r="336" spans="1:11" x14ac:dyDescent="0.2">
      <c r="A336" s="14"/>
      <c r="E336" s="2"/>
      <c r="G336" s="2"/>
      <c r="H336" s="2"/>
      <c r="I336" s="2"/>
    </row>
    <row r="337" spans="1:11" s="1" customFormat="1" x14ac:dyDescent="0.2">
      <c r="A337" s="13"/>
      <c r="B337" s="1" t="s">
        <v>12</v>
      </c>
      <c r="C337" s="15">
        <f t="shared" ref="C337:I337" si="152">SUM(C334:C335)</f>
        <v>0</v>
      </c>
      <c r="D337" s="15">
        <f t="shared" si="152"/>
        <v>-2090</v>
      </c>
      <c r="E337" s="15">
        <f t="shared" si="152"/>
        <v>-2090</v>
      </c>
      <c r="F337" s="15">
        <f t="shared" si="152"/>
        <v>-2090</v>
      </c>
      <c r="G337" s="15">
        <f t="shared" si="152"/>
        <v>0</v>
      </c>
      <c r="H337" s="15">
        <f t="shared" si="152"/>
        <v>0</v>
      </c>
      <c r="I337" s="15">
        <f t="shared" si="152"/>
        <v>-2090</v>
      </c>
      <c r="J337" s="8"/>
    </row>
    <row r="338" spans="1:11" x14ac:dyDescent="0.2">
      <c r="A338" s="16"/>
      <c r="B338" s="1" t="s">
        <v>13</v>
      </c>
      <c r="C338" s="15">
        <f t="shared" ref="C338:I338" si="153">C337*16</f>
        <v>0</v>
      </c>
      <c r="D338" s="15">
        <f t="shared" si="153"/>
        <v>-33440</v>
      </c>
      <c r="E338" s="15">
        <f t="shared" si="153"/>
        <v>-33440</v>
      </c>
      <c r="F338" s="15">
        <f t="shared" si="153"/>
        <v>-33440</v>
      </c>
      <c r="G338" s="15">
        <f t="shared" si="153"/>
        <v>0</v>
      </c>
      <c r="H338" s="15">
        <f t="shared" si="153"/>
        <v>0</v>
      </c>
      <c r="I338" s="15">
        <f t="shared" si="153"/>
        <v>-33440</v>
      </c>
      <c r="J338" s="3">
        <f>SUM(C338:I338)</f>
        <v>-133760</v>
      </c>
    </row>
    <row r="339" spans="1:11" x14ac:dyDescent="0.2">
      <c r="A339" s="16"/>
      <c r="B339" s="1"/>
      <c r="C339" s="15"/>
      <c r="D339" s="18"/>
      <c r="E339" s="18"/>
      <c r="F339" s="18"/>
      <c r="G339" s="18"/>
      <c r="H339" s="18"/>
      <c r="I339" s="15"/>
      <c r="J339" s="3"/>
    </row>
    <row r="340" spans="1:11" x14ac:dyDescent="0.2">
      <c r="A340" s="13"/>
      <c r="B340" s="2" t="s">
        <v>82</v>
      </c>
      <c r="C340" s="11">
        <f>(C332+C335)*16</f>
        <v>0</v>
      </c>
      <c r="D340" s="11">
        <f t="shared" ref="D340:I340" si="154">(D332+D335)*16</f>
        <v>-108000</v>
      </c>
      <c r="E340" s="11">
        <f t="shared" si="154"/>
        <v>-108000</v>
      </c>
      <c r="F340" s="11">
        <f t="shared" si="154"/>
        <v>-108000</v>
      </c>
      <c r="G340" s="11">
        <f t="shared" si="154"/>
        <v>0</v>
      </c>
      <c r="H340" s="11">
        <f t="shared" si="154"/>
        <v>0</v>
      </c>
      <c r="I340" s="11">
        <f t="shared" si="154"/>
        <v>-108000</v>
      </c>
    </row>
    <row r="341" spans="1:11" x14ac:dyDescent="0.2">
      <c r="A341" s="13"/>
      <c r="B341" s="2" t="s">
        <v>83</v>
      </c>
      <c r="C341" s="11">
        <f>C333*16</f>
        <v>0</v>
      </c>
      <c r="D341" s="11">
        <f t="shared" ref="D341:I341" si="155">D333*16</f>
        <v>74560</v>
      </c>
      <c r="E341" s="11">
        <f t="shared" si="155"/>
        <v>74560</v>
      </c>
      <c r="F341" s="11">
        <f t="shared" si="155"/>
        <v>74560</v>
      </c>
      <c r="G341" s="11">
        <f t="shared" si="155"/>
        <v>0</v>
      </c>
      <c r="H341" s="11">
        <f t="shared" si="155"/>
        <v>0</v>
      </c>
      <c r="I341" s="11">
        <f t="shared" si="155"/>
        <v>74560</v>
      </c>
    </row>
    <row r="342" spans="1:11" x14ac:dyDescent="0.2">
      <c r="A342" s="13"/>
      <c r="B342" s="2" t="s">
        <v>77</v>
      </c>
      <c r="C342" s="11">
        <f t="shared" ref="C342:I342" si="156">SUM(C340:C341)</f>
        <v>0</v>
      </c>
      <c r="D342" s="11">
        <f t="shared" si="156"/>
        <v>-33440</v>
      </c>
      <c r="E342" s="11">
        <f t="shared" si="156"/>
        <v>-33440</v>
      </c>
      <c r="F342" s="11">
        <f t="shared" si="156"/>
        <v>-33440</v>
      </c>
      <c r="G342" s="11">
        <f t="shared" si="156"/>
        <v>0</v>
      </c>
      <c r="H342" s="11">
        <f t="shared" si="156"/>
        <v>0</v>
      </c>
      <c r="I342" s="11">
        <f t="shared" si="156"/>
        <v>-33440</v>
      </c>
    </row>
    <row r="343" spans="1:11" x14ac:dyDescent="0.2">
      <c r="A343" s="13"/>
    </row>
    <row r="344" spans="1:11" x14ac:dyDescent="0.2">
      <c r="A344" s="16"/>
      <c r="B344" s="1"/>
      <c r="C344" s="15"/>
      <c r="D344" s="15"/>
      <c r="E344" s="15"/>
      <c r="F344" s="15"/>
      <c r="G344" s="15"/>
      <c r="H344" s="15"/>
      <c r="I344" s="15"/>
    </row>
    <row r="345" spans="1:11" s="1" customFormat="1" x14ac:dyDescent="0.2">
      <c r="A345" s="1" t="s">
        <v>28</v>
      </c>
      <c r="B345" s="5" t="s">
        <v>29</v>
      </c>
      <c r="C345" s="28">
        <v>37257</v>
      </c>
      <c r="D345" s="6">
        <v>37258</v>
      </c>
      <c r="E345" s="6">
        <v>37259</v>
      </c>
      <c r="F345" s="6">
        <v>37260</v>
      </c>
      <c r="G345" s="28">
        <v>37261</v>
      </c>
      <c r="H345" s="28">
        <v>37262</v>
      </c>
      <c r="I345" s="6">
        <v>37263</v>
      </c>
      <c r="J345" s="8"/>
      <c r="K345" s="7"/>
    </row>
    <row r="346" spans="1:11" x14ac:dyDescent="0.2">
      <c r="B346" s="1" t="s">
        <v>3</v>
      </c>
      <c r="D346" s="19">
        <v>300</v>
      </c>
      <c r="E346" s="19">
        <v>300</v>
      </c>
      <c r="F346" s="19">
        <v>300</v>
      </c>
      <c r="G346" s="10"/>
      <c r="H346" s="21"/>
      <c r="I346" s="19">
        <v>300</v>
      </c>
      <c r="K346" s="4"/>
    </row>
    <row r="347" spans="1:11" x14ac:dyDescent="0.2">
      <c r="B347" s="8" t="s">
        <v>4</v>
      </c>
      <c r="C347" s="3">
        <v>0</v>
      </c>
      <c r="D347" s="10">
        <v>28.38</v>
      </c>
      <c r="E347" s="10">
        <v>28.38</v>
      </c>
      <c r="F347" s="10">
        <v>28.38</v>
      </c>
      <c r="G347" s="10"/>
      <c r="H347" s="21"/>
      <c r="I347" s="10">
        <v>28.38</v>
      </c>
      <c r="K347" s="4"/>
    </row>
    <row r="348" spans="1:11" x14ac:dyDescent="0.2">
      <c r="B348" s="1" t="s">
        <v>5</v>
      </c>
      <c r="D348" s="19">
        <v>550</v>
      </c>
      <c r="E348" s="19">
        <v>550</v>
      </c>
      <c r="F348" s="19">
        <v>550</v>
      </c>
      <c r="G348" s="10"/>
      <c r="H348" s="21"/>
      <c r="I348" s="19">
        <v>550</v>
      </c>
      <c r="K348" s="4"/>
    </row>
    <row r="349" spans="1:11" x14ac:dyDescent="0.2">
      <c r="B349" s="8" t="s">
        <v>4</v>
      </c>
      <c r="C349" s="3">
        <v>0</v>
      </c>
      <c r="D349" s="10">
        <v>32.479999999999997</v>
      </c>
      <c r="E349" s="10">
        <v>32.479999999999997</v>
      </c>
      <c r="F349" s="10">
        <v>32.479999999999997</v>
      </c>
      <c r="G349" s="10"/>
      <c r="H349" s="21"/>
      <c r="I349" s="10">
        <v>32.479999999999997</v>
      </c>
      <c r="K349" s="4"/>
    </row>
    <row r="350" spans="1:11" x14ac:dyDescent="0.2">
      <c r="B350" s="7" t="s">
        <v>6</v>
      </c>
      <c r="C350" s="4">
        <f t="shared" ref="C350:I350" si="157">C346-C348</f>
        <v>0</v>
      </c>
      <c r="D350" s="4">
        <f t="shared" si="157"/>
        <v>-250</v>
      </c>
      <c r="E350" s="4">
        <f t="shared" si="157"/>
        <v>-250</v>
      </c>
      <c r="F350" s="4">
        <f t="shared" si="157"/>
        <v>-250</v>
      </c>
      <c r="G350" s="4">
        <f t="shared" si="157"/>
        <v>0</v>
      </c>
      <c r="H350" s="4">
        <f t="shared" si="157"/>
        <v>0</v>
      </c>
      <c r="I350" s="4">
        <f t="shared" si="157"/>
        <v>-250</v>
      </c>
      <c r="K350" s="4"/>
    </row>
    <row r="351" spans="1:11" x14ac:dyDescent="0.2">
      <c r="B351" s="9" t="s">
        <v>7</v>
      </c>
      <c r="C351" s="10">
        <v>22</v>
      </c>
      <c r="D351" s="29">
        <v>28</v>
      </c>
      <c r="E351" s="29">
        <v>28</v>
      </c>
      <c r="F351" s="29">
        <v>28</v>
      </c>
      <c r="G351" s="10">
        <v>22</v>
      </c>
      <c r="H351" s="10">
        <v>22</v>
      </c>
      <c r="I351" s="29">
        <v>28</v>
      </c>
      <c r="K351" s="4"/>
    </row>
    <row r="352" spans="1:11" x14ac:dyDescent="0.2">
      <c r="B352" s="9"/>
      <c r="C352" s="11"/>
      <c r="D352" s="19"/>
      <c r="E352" s="19"/>
      <c r="F352" s="10"/>
      <c r="G352" s="10"/>
      <c r="H352" s="21"/>
      <c r="K352" s="4"/>
    </row>
    <row r="353" spans="1:11" x14ac:dyDescent="0.2">
      <c r="B353" s="9" t="s">
        <v>8</v>
      </c>
      <c r="C353" s="12">
        <f t="shared" ref="C353:I353" si="158">(C346*C347)*(-1)</f>
        <v>0</v>
      </c>
      <c r="D353" s="12">
        <f t="shared" si="158"/>
        <v>-8514</v>
      </c>
      <c r="E353" s="12">
        <f t="shared" si="158"/>
        <v>-8514</v>
      </c>
      <c r="F353" s="12">
        <f t="shared" si="158"/>
        <v>-8514</v>
      </c>
      <c r="G353" s="12">
        <f t="shared" si="158"/>
        <v>0</v>
      </c>
      <c r="H353" s="12">
        <f t="shared" si="158"/>
        <v>0</v>
      </c>
      <c r="I353" s="12">
        <f t="shared" si="158"/>
        <v>-8514</v>
      </c>
      <c r="K353" s="4"/>
    </row>
    <row r="354" spans="1:11" x14ac:dyDescent="0.2">
      <c r="B354" s="9" t="s">
        <v>9</v>
      </c>
      <c r="C354" s="11">
        <f t="shared" ref="C354:I354" si="159">C348*C349</f>
        <v>0</v>
      </c>
      <c r="D354" s="11">
        <f t="shared" si="159"/>
        <v>17864</v>
      </c>
      <c r="E354" s="11">
        <f t="shared" si="159"/>
        <v>17864</v>
      </c>
      <c r="F354" s="11">
        <f t="shared" si="159"/>
        <v>17864</v>
      </c>
      <c r="G354" s="11">
        <f t="shared" si="159"/>
        <v>0</v>
      </c>
      <c r="H354" s="11">
        <f t="shared" si="159"/>
        <v>0</v>
      </c>
      <c r="I354" s="11">
        <f t="shared" si="159"/>
        <v>17864</v>
      </c>
      <c r="K354" s="4"/>
    </row>
    <row r="355" spans="1:11" x14ac:dyDescent="0.2">
      <c r="B355" s="7" t="s">
        <v>10</v>
      </c>
      <c r="C355" s="11">
        <f t="shared" ref="C355:I355" si="160">SUM(C353:C354)</f>
        <v>0</v>
      </c>
      <c r="D355" s="11">
        <f t="shared" si="160"/>
        <v>9350</v>
      </c>
      <c r="E355" s="11">
        <f t="shared" si="160"/>
        <v>9350</v>
      </c>
      <c r="F355" s="11">
        <f t="shared" si="160"/>
        <v>9350</v>
      </c>
      <c r="G355" s="11">
        <f t="shared" si="160"/>
        <v>0</v>
      </c>
      <c r="H355" s="11">
        <f t="shared" si="160"/>
        <v>0</v>
      </c>
      <c r="I355" s="11">
        <f t="shared" si="160"/>
        <v>9350</v>
      </c>
      <c r="K355" s="4"/>
    </row>
    <row r="356" spans="1:11" x14ac:dyDescent="0.2">
      <c r="A356" s="13"/>
      <c r="B356" s="2" t="s">
        <v>11</v>
      </c>
      <c r="C356" s="12">
        <f t="shared" ref="C356:I356" si="161">C350*C351</f>
        <v>0</v>
      </c>
      <c r="D356" s="12">
        <f t="shared" si="161"/>
        <v>-7000</v>
      </c>
      <c r="E356" s="12">
        <f t="shared" si="161"/>
        <v>-7000</v>
      </c>
      <c r="F356" s="12">
        <f t="shared" si="161"/>
        <v>-7000</v>
      </c>
      <c r="G356" s="12">
        <f t="shared" si="161"/>
        <v>0</v>
      </c>
      <c r="H356" s="12">
        <f t="shared" si="161"/>
        <v>0</v>
      </c>
      <c r="I356" s="12">
        <f t="shared" si="161"/>
        <v>-7000</v>
      </c>
    </row>
    <row r="357" spans="1:11" x14ac:dyDescent="0.2">
      <c r="A357" s="14"/>
      <c r="E357" s="2"/>
      <c r="G357" s="2"/>
      <c r="H357" s="2"/>
      <c r="I357" s="2"/>
    </row>
    <row r="358" spans="1:11" s="1" customFormat="1" x14ac:dyDescent="0.2">
      <c r="A358" s="13"/>
      <c r="B358" s="1" t="s">
        <v>12</v>
      </c>
      <c r="C358" s="15">
        <f t="shared" ref="C358:I358" si="162">SUM(C355:C356)</f>
        <v>0</v>
      </c>
      <c r="D358" s="15">
        <f t="shared" si="162"/>
        <v>2350</v>
      </c>
      <c r="E358" s="15">
        <f t="shared" si="162"/>
        <v>2350</v>
      </c>
      <c r="F358" s="15">
        <f t="shared" si="162"/>
        <v>2350</v>
      </c>
      <c r="G358" s="15">
        <f t="shared" si="162"/>
        <v>0</v>
      </c>
      <c r="H358" s="15">
        <f t="shared" si="162"/>
        <v>0</v>
      </c>
      <c r="I358" s="15">
        <f t="shared" si="162"/>
        <v>2350</v>
      </c>
      <c r="J358" s="8"/>
    </row>
    <row r="359" spans="1:11" x14ac:dyDescent="0.2">
      <c r="A359" s="16"/>
      <c r="B359" s="1" t="s">
        <v>13</v>
      </c>
      <c r="C359" s="15">
        <f t="shared" ref="C359:I359" si="163">C358*16</f>
        <v>0</v>
      </c>
      <c r="D359" s="15">
        <f t="shared" si="163"/>
        <v>37600</v>
      </c>
      <c r="E359" s="15">
        <f t="shared" si="163"/>
        <v>37600</v>
      </c>
      <c r="F359" s="15">
        <f t="shared" si="163"/>
        <v>37600</v>
      </c>
      <c r="G359" s="15">
        <f t="shared" si="163"/>
        <v>0</v>
      </c>
      <c r="H359" s="15">
        <f t="shared" si="163"/>
        <v>0</v>
      </c>
      <c r="I359" s="15">
        <f t="shared" si="163"/>
        <v>37600</v>
      </c>
      <c r="J359" s="3">
        <f>SUM(C359:I359)</f>
        <v>150400</v>
      </c>
    </row>
    <row r="360" spans="1:11" s="19" customFormat="1" x14ac:dyDescent="0.2">
      <c r="A360" s="16"/>
      <c r="B360" s="17"/>
      <c r="C360" s="18"/>
      <c r="D360" s="18"/>
      <c r="E360" s="18"/>
      <c r="F360" s="18"/>
      <c r="G360" s="18"/>
      <c r="H360" s="18"/>
      <c r="I360" s="18"/>
      <c r="J360" s="10"/>
    </row>
    <row r="361" spans="1:11" x14ac:dyDescent="0.2">
      <c r="A361" s="13"/>
      <c r="B361" s="2" t="s">
        <v>82</v>
      </c>
      <c r="C361" s="11">
        <f>(C353+C356)*16</f>
        <v>0</v>
      </c>
      <c r="D361" s="11">
        <f t="shared" ref="D361:I361" si="164">(D353+D356)*16</f>
        <v>-248224</v>
      </c>
      <c r="E361" s="11">
        <f t="shared" si="164"/>
        <v>-248224</v>
      </c>
      <c r="F361" s="11">
        <f t="shared" si="164"/>
        <v>-248224</v>
      </c>
      <c r="G361" s="11">
        <f t="shared" si="164"/>
        <v>0</v>
      </c>
      <c r="H361" s="11">
        <f t="shared" si="164"/>
        <v>0</v>
      </c>
      <c r="I361" s="11">
        <f t="shared" si="164"/>
        <v>-248224</v>
      </c>
    </row>
    <row r="362" spans="1:11" x14ac:dyDescent="0.2">
      <c r="A362" s="13"/>
      <c r="B362" s="2" t="s">
        <v>83</v>
      </c>
      <c r="C362" s="11">
        <f>C354*16</f>
        <v>0</v>
      </c>
      <c r="D362" s="11">
        <f t="shared" ref="D362:I362" si="165">D354*16</f>
        <v>285824</v>
      </c>
      <c r="E362" s="11">
        <f t="shared" si="165"/>
        <v>285824</v>
      </c>
      <c r="F362" s="11">
        <f t="shared" si="165"/>
        <v>285824</v>
      </c>
      <c r="G362" s="11">
        <f t="shared" si="165"/>
        <v>0</v>
      </c>
      <c r="H362" s="11">
        <f t="shared" si="165"/>
        <v>0</v>
      </c>
      <c r="I362" s="11">
        <f t="shared" si="165"/>
        <v>285824</v>
      </c>
    </row>
    <row r="363" spans="1:11" x14ac:dyDescent="0.2">
      <c r="A363" s="13"/>
      <c r="B363" s="2" t="s">
        <v>77</v>
      </c>
      <c r="C363" s="11">
        <f t="shared" ref="C363:I363" si="166">SUM(C361:C362)</f>
        <v>0</v>
      </c>
      <c r="D363" s="11">
        <f t="shared" si="166"/>
        <v>37600</v>
      </c>
      <c r="E363" s="11">
        <f t="shared" si="166"/>
        <v>37600</v>
      </c>
      <c r="F363" s="11">
        <f t="shared" si="166"/>
        <v>37600</v>
      </c>
      <c r="G363" s="11">
        <f t="shared" si="166"/>
        <v>0</v>
      </c>
      <c r="H363" s="11">
        <f t="shared" si="166"/>
        <v>0</v>
      </c>
      <c r="I363" s="11">
        <f t="shared" si="166"/>
        <v>37600</v>
      </c>
    </row>
    <row r="364" spans="1:11" x14ac:dyDescent="0.2">
      <c r="A364" s="13"/>
    </row>
    <row r="365" spans="1:11" x14ac:dyDescent="0.2">
      <c r="A365" s="16"/>
      <c r="B365" s="1"/>
      <c r="C365" s="15"/>
      <c r="D365" s="15"/>
      <c r="E365" s="15"/>
      <c r="F365" s="15"/>
      <c r="G365" s="15"/>
      <c r="H365" s="15"/>
      <c r="I365" s="15"/>
    </row>
    <row r="366" spans="1:11" x14ac:dyDescent="0.2">
      <c r="A366" s="16"/>
      <c r="B366" s="1"/>
      <c r="C366" s="18"/>
      <c r="D366" s="18"/>
      <c r="E366" s="18"/>
      <c r="F366" s="18"/>
      <c r="G366" s="18"/>
      <c r="H366" s="18"/>
      <c r="I366" s="18"/>
      <c r="J366" s="3"/>
    </row>
    <row r="367" spans="1:11" x14ac:dyDescent="0.2">
      <c r="A367" s="16"/>
      <c r="B367" s="1"/>
      <c r="C367" s="15"/>
      <c r="D367" s="15"/>
      <c r="E367" s="15"/>
      <c r="F367" s="15"/>
      <c r="G367" s="15"/>
      <c r="H367" s="15"/>
      <c r="I367" s="15"/>
    </row>
    <row r="368" spans="1:11" s="1" customFormat="1" x14ac:dyDescent="0.2">
      <c r="A368" s="1" t="s">
        <v>30</v>
      </c>
      <c r="B368" s="5" t="s">
        <v>2</v>
      </c>
      <c r="C368" s="28">
        <v>37257</v>
      </c>
      <c r="D368" s="6">
        <v>37258</v>
      </c>
      <c r="E368" s="6">
        <v>37259</v>
      </c>
      <c r="F368" s="6">
        <v>37260</v>
      </c>
      <c r="G368" s="28">
        <v>37261</v>
      </c>
      <c r="H368" s="28">
        <v>37262</v>
      </c>
      <c r="I368" s="6">
        <v>37263</v>
      </c>
      <c r="J368" s="8"/>
      <c r="K368" s="7"/>
    </row>
    <row r="369" spans="1:11" x14ac:dyDescent="0.2">
      <c r="A369" s="17"/>
      <c r="B369" s="17" t="s">
        <v>3</v>
      </c>
      <c r="D369" s="19">
        <v>150</v>
      </c>
      <c r="E369" s="19">
        <v>150</v>
      </c>
      <c r="F369" s="19">
        <v>150</v>
      </c>
      <c r="G369" s="10"/>
      <c r="H369" s="21"/>
      <c r="I369" s="19">
        <v>150</v>
      </c>
      <c r="K369" s="4"/>
    </row>
    <row r="370" spans="1:11" x14ac:dyDescent="0.2">
      <c r="A370" s="17"/>
      <c r="B370" s="22" t="s">
        <v>4</v>
      </c>
      <c r="C370" s="3">
        <v>0</v>
      </c>
      <c r="D370" s="10">
        <v>29.6</v>
      </c>
      <c r="E370" s="10">
        <v>29.6</v>
      </c>
      <c r="F370" s="10">
        <v>29.6</v>
      </c>
      <c r="G370" s="10"/>
      <c r="H370" s="21"/>
      <c r="I370" s="10">
        <v>29.6</v>
      </c>
      <c r="K370" s="4"/>
    </row>
    <row r="371" spans="1:11" x14ac:dyDescent="0.2">
      <c r="A371" s="17"/>
      <c r="B371" s="17" t="s">
        <v>5</v>
      </c>
      <c r="D371" s="19">
        <v>150</v>
      </c>
      <c r="E371" s="19">
        <v>150</v>
      </c>
      <c r="F371" s="19">
        <v>150</v>
      </c>
      <c r="G371" s="10"/>
      <c r="H371" s="21"/>
      <c r="I371" s="19">
        <v>150</v>
      </c>
      <c r="K371" s="4"/>
    </row>
    <row r="372" spans="1:11" x14ac:dyDescent="0.2">
      <c r="A372" s="17"/>
      <c r="B372" s="22" t="s">
        <v>4</v>
      </c>
      <c r="C372" s="3">
        <v>0</v>
      </c>
      <c r="D372" s="10">
        <v>33.700000000000003</v>
      </c>
      <c r="E372" s="10">
        <v>33.700000000000003</v>
      </c>
      <c r="F372" s="10">
        <v>33.700000000000003</v>
      </c>
      <c r="G372" s="10"/>
      <c r="H372" s="21"/>
      <c r="I372" s="10">
        <v>33.700000000000003</v>
      </c>
      <c r="K372" s="4"/>
    </row>
    <row r="373" spans="1:11" x14ac:dyDescent="0.2">
      <c r="A373" s="17"/>
      <c r="B373" s="23" t="s">
        <v>6</v>
      </c>
      <c r="C373" s="4">
        <f t="shared" ref="C373:I373" si="167">C369-C371</f>
        <v>0</v>
      </c>
      <c r="D373" s="4">
        <f t="shared" si="167"/>
        <v>0</v>
      </c>
      <c r="E373" s="4">
        <f t="shared" si="167"/>
        <v>0</v>
      </c>
      <c r="F373" s="4">
        <f t="shared" si="167"/>
        <v>0</v>
      </c>
      <c r="G373" s="4">
        <f t="shared" si="167"/>
        <v>0</v>
      </c>
      <c r="H373" s="4">
        <f t="shared" si="167"/>
        <v>0</v>
      </c>
      <c r="I373" s="4">
        <f t="shared" si="167"/>
        <v>0</v>
      </c>
      <c r="K373" s="4"/>
    </row>
    <row r="374" spans="1:11" x14ac:dyDescent="0.2">
      <c r="A374" s="17"/>
      <c r="B374" s="24" t="s">
        <v>7</v>
      </c>
      <c r="C374" s="10">
        <v>22</v>
      </c>
      <c r="D374" s="29">
        <v>28</v>
      </c>
      <c r="E374" s="29">
        <v>28</v>
      </c>
      <c r="F374" s="29">
        <v>28</v>
      </c>
      <c r="G374" s="10">
        <v>22</v>
      </c>
      <c r="H374" s="10">
        <v>22</v>
      </c>
      <c r="I374" s="29">
        <v>28</v>
      </c>
      <c r="K374" s="4"/>
    </row>
    <row r="375" spans="1:11" x14ac:dyDescent="0.2">
      <c r="A375" s="17"/>
      <c r="B375" s="24"/>
      <c r="C375" s="11"/>
      <c r="D375" s="19"/>
      <c r="E375" s="19"/>
      <c r="F375" s="10"/>
      <c r="G375" s="10"/>
      <c r="H375" s="21"/>
      <c r="K375" s="4"/>
    </row>
    <row r="376" spans="1:11" x14ac:dyDescent="0.2">
      <c r="A376" s="17"/>
      <c r="B376" s="24" t="s">
        <v>8</v>
      </c>
      <c r="C376" s="12">
        <f t="shared" ref="C376:I376" si="168">(C369*C370)*(-1)</f>
        <v>0</v>
      </c>
      <c r="D376" s="12">
        <f t="shared" si="168"/>
        <v>-4440</v>
      </c>
      <c r="E376" s="12">
        <f t="shared" si="168"/>
        <v>-4440</v>
      </c>
      <c r="F376" s="12">
        <f t="shared" si="168"/>
        <v>-4440</v>
      </c>
      <c r="G376" s="12">
        <f t="shared" si="168"/>
        <v>0</v>
      </c>
      <c r="H376" s="12">
        <f t="shared" si="168"/>
        <v>0</v>
      </c>
      <c r="I376" s="12">
        <f t="shared" si="168"/>
        <v>-4440</v>
      </c>
      <c r="K376" s="4"/>
    </row>
    <row r="377" spans="1:11" x14ac:dyDescent="0.2">
      <c r="A377" s="17"/>
      <c r="B377" s="24" t="s">
        <v>9</v>
      </c>
      <c r="C377" s="11">
        <f t="shared" ref="C377:I377" si="169">C371*C372</f>
        <v>0</v>
      </c>
      <c r="D377" s="11">
        <f t="shared" si="169"/>
        <v>5055</v>
      </c>
      <c r="E377" s="11">
        <f t="shared" si="169"/>
        <v>5055</v>
      </c>
      <c r="F377" s="11">
        <f t="shared" si="169"/>
        <v>5055</v>
      </c>
      <c r="G377" s="11">
        <f t="shared" si="169"/>
        <v>0</v>
      </c>
      <c r="H377" s="11">
        <f t="shared" si="169"/>
        <v>0</v>
      </c>
      <c r="I377" s="11">
        <f t="shared" si="169"/>
        <v>5055</v>
      </c>
      <c r="K377" s="4"/>
    </row>
    <row r="378" spans="1:11" x14ac:dyDescent="0.2">
      <c r="A378" s="17"/>
      <c r="B378" s="23" t="s">
        <v>10</v>
      </c>
      <c r="C378" s="11">
        <f t="shared" ref="C378:I378" si="170">SUM(C376:C377)</f>
        <v>0</v>
      </c>
      <c r="D378" s="11">
        <f t="shared" si="170"/>
        <v>615</v>
      </c>
      <c r="E378" s="11">
        <f t="shared" si="170"/>
        <v>615</v>
      </c>
      <c r="F378" s="11">
        <f t="shared" si="170"/>
        <v>615</v>
      </c>
      <c r="G378" s="11">
        <f t="shared" si="170"/>
        <v>0</v>
      </c>
      <c r="H378" s="11">
        <f t="shared" si="170"/>
        <v>0</v>
      </c>
      <c r="I378" s="11">
        <f t="shared" si="170"/>
        <v>615</v>
      </c>
      <c r="K378" s="4"/>
    </row>
    <row r="379" spans="1:11" x14ac:dyDescent="0.2">
      <c r="A379" s="13"/>
      <c r="B379" s="19" t="s">
        <v>11</v>
      </c>
      <c r="C379" s="12">
        <f t="shared" ref="C379:I379" si="171">C373*C374</f>
        <v>0</v>
      </c>
      <c r="D379" s="12">
        <f t="shared" si="171"/>
        <v>0</v>
      </c>
      <c r="E379" s="12">
        <f t="shared" si="171"/>
        <v>0</v>
      </c>
      <c r="F379" s="12">
        <f t="shared" si="171"/>
        <v>0</v>
      </c>
      <c r="G379" s="12">
        <f t="shared" si="171"/>
        <v>0</v>
      </c>
      <c r="H379" s="12">
        <f t="shared" si="171"/>
        <v>0</v>
      </c>
      <c r="I379" s="12">
        <f t="shared" si="171"/>
        <v>0</v>
      </c>
    </row>
    <row r="380" spans="1:11" x14ac:dyDescent="0.2">
      <c r="A380" s="14"/>
      <c r="B380" s="19"/>
      <c r="E380" s="2"/>
      <c r="G380" s="2"/>
      <c r="H380" s="2"/>
      <c r="I380" s="2"/>
    </row>
    <row r="381" spans="1:11" s="1" customFormat="1" x14ac:dyDescent="0.2">
      <c r="A381" s="13"/>
      <c r="B381" s="17" t="s">
        <v>12</v>
      </c>
      <c r="C381" s="15">
        <f t="shared" ref="C381:I381" si="172">SUM(C378:C379)</f>
        <v>0</v>
      </c>
      <c r="D381" s="15">
        <f t="shared" si="172"/>
        <v>615</v>
      </c>
      <c r="E381" s="15">
        <f t="shared" si="172"/>
        <v>615</v>
      </c>
      <c r="F381" s="15">
        <f t="shared" si="172"/>
        <v>615</v>
      </c>
      <c r="G381" s="15">
        <f t="shared" si="172"/>
        <v>0</v>
      </c>
      <c r="H381" s="15">
        <f t="shared" si="172"/>
        <v>0</v>
      </c>
      <c r="I381" s="15">
        <f t="shared" si="172"/>
        <v>615</v>
      </c>
      <c r="J381" s="8"/>
    </row>
    <row r="382" spans="1:11" x14ac:dyDescent="0.2">
      <c r="A382" s="16"/>
      <c r="B382" s="17" t="s">
        <v>13</v>
      </c>
      <c r="C382" s="15">
        <f t="shared" ref="C382:I382" si="173">C381*16</f>
        <v>0</v>
      </c>
      <c r="D382" s="15">
        <f t="shared" si="173"/>
        <v>9840</v>
      </c>
      <c r="E382" s="15">
        <f t="shared" si="173"/>
        <v>9840</v>
      </c>
      <c r="F382" s="15">
        <f t="shared" si="173"/>
        <v>9840</v>
      </c>
      <c r="G382" s="15">
        <f t="shared" si="173"/>
        <v>0</v>
      </c>
      <c r="H382" s="15">
        <f t="shared" si="173"/>
        <v>0</v>
      </c>
      <c r="I382" s="15">
        <f t="shared" si="173"/>
        <v>9840</v>
      </c>
      <c r="J382" s="3">
        <f>SUM(C382:I382)</f>
        <v>39360</v>
      </c>
    </row>
    <row r="383" spans="1:11" x14ac:dyDescent="0.2">
      <c r="A383" s="16"/>
      <c r="B383" s="17"/>
      <c r="C383" s="18"/>
      <c r="D383" s="18"/>
      <c r="E383" s="18"/>
      <c r="F383" s="18"/>
      <c r="G383" s="18"/>
      <c r="H383" s="18"/>
      <c r="I383" s="18"/>
      <c r="J383" s="10"/>
    </row>
    <row r="384" spans="1:11" x14ac:dyDescent="0.2">
      <c r="A384" s="13"/>
      <c r="B384" s="2" t="s">
        <v>82</v>
      </c>
      <c r="C384" s="11">
        <f>(C376+C379)*16</f>
        <v>0</v>
      </c>
      <c r="D384" s="11">
        <f t="shared" ref="D384:I384" si="174">(D376+D379)*16</f>
        <v>-71040</v>
      </c>
      <c r="E384" s="11">
        <f t="shared" si="174"/>
        <v>-71040</v>
      </c>
      <c r="F384" s="11">
        <f t="shared" si="174"/>
        <v>-71040</v>
      </c>
      <c r="G384" s="11">
        <f t="shared" si="174"/>
        <v>0</v>
      </c>
      <c r="H384" s="11">
        <f t="shared" si="174"/>
        <v>0</v>
      </c>
      <c r="I384" s="11">
        <f t="shared" si="174"/>
        <v>-71040</v>
      </c>
    </row>
    <row r="385" spans="1:11" x14ac:dyDescent="0.2">
      <c r="A385" s="13"/>
      <c r="B385" s="2" t="s">
        <v>83</v>
      </c>
      <c r="C385" s="11">
        <f>C377*16</f>
        <v>0</v>
      </c>
      <c r="D385" s="11">
        <f t="shared" ref="D385:I385" si="175">D377*16</f>
        <v>80880</v>
      </c>
      <c r="E385" s="11">
        <f t="shared" si="175"/>
        <v>80880</v>
      </c>
      <c r="F385" s="11">
        <f t="shared" si="175"/>
        <v>80880</v>
      </c>
      <c r="G385" s="11">
        <f t="shared" si="175"/>
        <v>0</v>
      </c>
      <c r="H385" s="11">
        <f t="shared" si="175"/>
        <v>0</v>
      </c>
      <c r="I385" s="11">
        <f t="shared" si="175"/>
        <v>80880</v>
      </c>
    </row>
    <row r="386" spans="1:11" x14ac:dyDescent="0.2">
      <c r="A386" s="13"/>
      <c r="B386" s="2" t="s">
        <v>77</v>
      </c>
      <c r="C386" s="11">
        <f t="shared" ref="C386:I386" si="176">SUM(C384:C385)</f>
        <v>0</v>
      </c>
      <c r="D386" s="11">
        <f t="shared" si="176"/>
        <v>9840</v>
      </c>
      <c r="E386" s="11">
        <f t="shared" si="176"/>
        <v>9840</v>
      </c>
      <c r="F386" s="11">
        <f t="shared" si="176"/>
        <v>9840</v>
      </c>
      <c r="G386" s="11">
        <f t="shared" si="176"/>
        <v>0</v>
      </c>
      <c r="H386" s="11">
        <f t="shared" si="176"/>
        <v>0</v>
      </c>
      <c r="I386" s="11">
        <f t="shared" si="176"/>
        <v>9840</v>
      </c>
    </row>
    <row r="387" spans="1:11" x14ac:dyDescent="0.2">
      <c r="A387" s="13"/>
    </row>
    <row r="388" spans="1:11" x14ac:dyDescent="0.2">
      <c r="A388" s="16"/>
      <c r="B388" s="1"/>
      <c r="C388" s="15"/>
      <c r="D388" s="15"/>
      <c r="E388" s="15"/>
      <c r="F388" s="15"/>
      <c r="G388" s="15"/>
      <c r="H388" s="15"/>
      <c r="I388" s="15"/>
    </row>
    <row r="389" spans="1:11" s="1" customFormat="1" x14ac:dyDescent="0.2">
      <c r="A389" s="1" t="s">
        <v>30</v>
      </c>
      <c r="B389" s="5" t="s">
        <v>18</v>
      </c>
      <c r="C389" s="28">
        <v>37257</v>
      </c>
      <c r="D389" s="6">
        <v>37258</v>
      </c>
      <c r="E389" s="6">
        <v>37259</v>
      </c>
      <c r="F389" s="6">
        <v>37260</v>
      </c>
      <c r="G389" s="28">
        <v>37261</v>
      </c>
      <c r="H389" s="28">
        <v>37262</v>
      </c>
      <c r="I389" s="6">
        <v>37263</v>
      </c>
      <c r="J389" s="8"/>
      <c r="K389" s="7"/>
    </row>
    <row r="390" spans="1:11" x14ac:dyDescent="0.2">
      <c r="A390" s="17"/>
      <c r="B390" s="17" t="s">
        <v>3</v>
      </c>
      <c r="D390" s="19">
        <v>100</v>
      </c>
      <c r="E390" s="19">
        <v>100</v>
      </c>
      <c r="F390" s="19">
        <v>100</v>
      </c>
      <c r="G390" s="10"/>
      <c r="H390" s="21"/>
      <c r="I390" s="19">
        <v>100</v>
      </c>
      <c r="K390" s="4"/>
    </row>
    <row r="391" spans="1:11" x14ac:dyDescent="0.2">
      <c r="A391" s="17"/>
      <c r="B391" s="22" t="s">
        <v>4</v>
      </c>
      <c r="C391" s="3">
        <v>0</v>
      </c>
      <c r="D391" s="10">
        <v>29.13</v>
      </c>
      <c r="E391" s="10">
        <v>29.13</v>
      </c>
      <c r="F391" s="10">
        <v>29.13</v>
      </c>
      <c r="G391" s="10"/>
      <c r="H391" s="21"/>
      <c r="I391" s="10">
        <v>29.13</v>
      </c>
      <c r="K391" s="4"/>
    </row>
    <row r="392" spans="1:11" x14ac:dyDescent="0.2">
      <c r="A392" s="17"/>
      <c r="B392" s="17" t="s">
        <v>5</v>
      </c>
      <c r="D392" s="19">
        <v>100</v>
      </c>
      <c r="E392" s="19">
        <v>100</v>
      </c>
      <c r="F392" s="19">
        <v>100</v>
      </c>
      <c r="G392" s="10"/>
      <c r="H392" s="21"/>
      <c r="I392" s="19">
        <v>100</v>
      </c>
      <c r="K392" s="4"/>
    </row>
    <row r="393" spans="1:11" x14ac:dyDescent="0.2">
      <c r="A393" s="17"/>
      <c r="B393" s="22" t="s">
        <v>4</v>
      </c>
      <c r="C393" s="3">
        <v>0</v>
      </c>
      <c r="D393" s="10">
        <v>30.38</v>
      </c>
      <c r="E393" s="10">
        <v>30.38</v>
      </c>
      <c r="F393" s="10">
        <v>30.38</v>
      </c>
      <c r="G393" s="10"/>
      <c r="H393" s="21"/>
      <c r="I393" s="10">
        <v>30.38</v>
      </c>
      <c r="K393" s="4"/>
    </row>
    <row r="394" spans="1:11" x14ac:dyDescent="0.2">
      <c r="A394" s="17"/>
      <c r="B394" s="23" t="s">
        <v>6</v>
      </c>
      <c r="C394" s="4">
        <f t="shared" ref="C394:I394" si="177">C390-C392</f>
        <v>0</v>
      </c>
      <c r="D394" s="4">
        <f t="shared" si="177"/>
        <v>0</v>
      </c>
      <c r="E394" s="4">
        <f t="shared" si="177"/>
        <v>0</v>
      </c>
      <c r="F394" s="4">
        <f t="shared" si="177"/>
        <v>0</v>
      </c>
      <c r="G394" s="4">
        <f t="shared" si="177"/>
        <v>0</v>
      </c>
      <c r="H394" s="4">
        <f t="shared" si="177"/>
        <v>0</v>
      </c>
      <c r="I394" s="4">
        <f t="shared" si="177"/>
        <v>0</v>
      </c>
      <c r="K394" s="4"/>
    </row>
    <row r="395" spans="1:11" x14ac:dyDescent="0.2">
      <c r="A395" s="17"/>
      <c r="B395" s="24" t="s">
        <v>7</v>
      </c>
      <c r="C395" s="10">
        <v>22</v>
      </c>
      <c r="D395" s="29">
        <v>28</v>
      </c>
      <c r="E395" s="29">
        <v>28</v>
      </c>
      <c r="F395" s="29">
        <v>28</v>
      </c>
      <c r="G395" s="10">
        <v>22</v>
      </c>
      <c r="H395" s="10">
        <v>22</v>
      </c>
      <c r="I395" s="29">
        <v>28</v>
      </c>
      <c r="K395" s="4"/>
    </row>
    <row r="396" spans="1:11" x14ac:dyDescent="0.2">
      <c r="A396" s="17"/>
      <c r="B396" s="24"/>
      <c r="C396" s="11"/>
      <c r="D396" s="19"/>
      <c r="E396" s="19"/>
      <c r="F396" s="10"/>
      <c r="G396" s="10"/>
      <c r="H396" s="21"/>
      <c r="K396" s="4"/>
    </row>
    <row r="397" spans="1:11" x14ac:dyDescent="0.2">
      <c r="A397" s="17"/>
      <c r="B397" s="24" t="s">
        <v>8</v>
      </c>
      <c r="C397" s="12">
        <f t="shared" ref="C397:I397" si="178">(C390*C391)*(-1)</f>
        <v>0</v>
      </c>
      <c r="D397" s="12">
        <f t="shared" si="178"/>
        <v>-2913</v>
      </c>
      <c r="E397" s="12">
        <f t="shared" si="178"/>
        <v>-2913</v>
      </c>
      <c r="F397" s="12">
        <f t="shared" si="178"/>
        <v>-2913</v>
      </c>
      <c r="G397" s="12">
        <f t="shared" si="178"/>
        <v>0</v>
      </c>
      <c r="H397" s="12">
        <f t="shared" si="178"/>
        <v>0</v>
      </c>
      <c r="I397" s="12">
        <f t="shared" si="178"/>
        <v>-2913</v>
      </c>
      <c r="K397" s="4"/>
    </row>
    <row r="398" spans="1:11" x14ac:dyDescent="0.2">
      <c r="A398" s="17"/>
      <c r="B398" s="24" t="s">
        <v>9</v>
      </c>
      <c r="C398" s="11">
        <f t="shared" ref="C398:I398" si="179">C392*C393</f>
        <v>0</v>
      </c>
      <c r="D398" s="11">
        <f t="shared" si="179"/>
        <v>3038</v>
      </c>
      <c r="E398" s="11">
        <f t="shared" si="179"/>
        <v>3038</v>
      </c>
      <c r="F398" s="11">
        <f t="shared" si="179"/>
        <v>3038</v>
      </c>
      <c r="G398" s="11">
        <f t="shared" si="179"/>
        <v>0</v>
      </c>
      <c r="H398" s="11">
        <f t="shared" si="179"/>
        <v>0</v>
      </c>
      <c r="I398" s="11">
        <f t="shared" si="179"/>
        <v>3038</v>
      </c>
      <c r="K398" s="4"/>
    </row>
    <row r="399" spans="1:11" x14ac:dyDescent="0.2">
      <c r="A399" s="17"/>
      <c r="B399" s="23" t="s">
        <v>10</v>
      </c>
      <c r="C399" s="11">
        <f t="shared" ref="C399:I399" si="180">SUM(C397:C398)</f>
        <v>0</v>
      </c>
      <c r="D399" s="11">
        <f t="shared" si="180"/>
        <v>125</v>
      </c>
      <c r="E399" s="11">
        <f t="shared" si="180"/>
        <v>125</v>
      </c>
      <c r="F399" s="11">
        <f t="shared" si="180"/>
        <v>125</v>
      </c>
      <c r="G399" s="11">
        <f t="shared" si="180"/>
        <v>0</v>
      </c>
      <c r="H399" s="11">
        <f t="shared" si="180"/>
        <v>0</v>
      </c>
      <c r="I399" s="11">
        <f t="shared" si="180"/>
        <v>125</v>
      </c>
      <c r="K399" s="4"/>
    </row>
    <row r="400" spans="1:11" x14ac:dyDescent="0.2">
      <c r="A400" s="13"/>
      <c r="B400" s="19" t="s">
        <v>11</v>
      </c>
      <c r="C400" s="12">
        <f t="shared" ref="C400:I400" si="181">C394*C395</f>
        <v>0</v>
      </c>
      <c r="D400" s="12">
        <f t="shared" si="181"/>
        <v>0</v>
      </c>
      <c r="E400" s="12">
        <f t="shared" si="181"/>
        <v>0</v>
      </c>
      <c r="F400" s="12">
        <f t="shared" si="181"/>
        <v>0</v>
      </c>
      <c r="G400" s="12">
        <f t="shared" si="181"/>
        <v>0</v>
      </c>
      <c r="H400" s="12">
        <f t="shared" si="181"/>
        <v>0</v>
      </c>
      <c r="I400" s="12">
        <f t="shared" si="181"/>
        <v>0</v>
      </c>
    </row>
    <row r="401" spans="1:11" x14ac:dyDescent="0.2">
      <c r="A401" s="14"/>
      <c r="B401" s="19"/>
      <c r="E401" s="2"/>
      <c r="G401" s="2"/>
      <c r="H401" s="2"/>
      <c r="I401" s="2"/>
    </row>
    <row r="402" spans="1:11" s="1" customFormat="1" x14ac:dyDescent="0.2">
      <c r="A402" s="13"/>
      <c r="B402" s="17" t="s">
        <v>12</v>
      </c>
      <c r="C402" s="15">
        <f t="shared" ref="C402:I402" si="182">SUM(C399:C400)</f>
        <v>0</v>
      </c>
      <c r="D402" s="15">
        <f t="shared" si="182"/>
        <v>125</v>
      </c>
      <c r="E402" s="15">
        <f t="shared" si="182"/>
        <v>125</v>
      </c>
      <c r="F402" s="15">
        <f t="shared" si="182"/>
        <v>125</v>
      </c>
      <c r="G402" s="15">
        <f t="shared" si="182"/>
        <v>0</v>
      </c>
      <c r="H402" s="15">
        <f t="shared" si="182"/>
        <v>0</v>
      </c>
      <c r="I402" s="15">
        <f t="shared" si="182"/>
        <v>125</v>
      </c>
      <c r="J402" s="8"/>
    </row>
    <row r="403" spans="1:11" x14ac:dyDescent="0.2">
      <c r="A403" s="16"/>
      <c r="B403" s="17" t="s">
        <v>13</v>
      </c>
      <c r="C403" s="15">
        <f t="shared" ref="C403:I403" si="183">C402*16</f>
        <v>0</v>
      </c>
      <c r="D403" s="15">
        <f t="shared" si="183"/>
        <v>2000</v>
      </c>
      <c r="E403" s="15">
        <f t="shared" si="183"/>
        <v>2000</v>
      </c>
      <c r="F403" s="15">
        <f t="shared" si="183"/>
        <v>2000</v>
      </c>
      <c r="G403" s="15">
        <f t="shared" si="183"/>
        <v>0</v>
      </c>
      <c r="H403" s="15">
        <f t="shared" si="183"/>
        <v>0</v>
      </c>
      <c r="I403" s="15">
        <f t="shared" si="183"/>
        <v>2000</v>
      </c>
      <c r="J403" s="3">
        <f>SUM(C403:I403)</f>
        <v>8000</v>
      </c>
    </row>
    <row r="404" spans="1:11" x14ac:dyDescent="0.2">
      <c r="A404" s="16"/>
      <c r="B404" s="17"/>
      <c r="C404" s="18"/>
      <c r="D404" s="18"/>
      <c r="E404" s="18"/>
      <c r="F404" s="18"/>
      <c r="G404" s="18"/>
      <c r="H404" s="18"/>
      <c r="I404" s="18"/>
      <c r="J404" s="10"/>
    </row>
    <row r="405" spans="1:11" x14ac:dyDescent="0.2">
      <c r="A405" s="13"/>
      <c r="B405" s="2" t="s">
        <v>82</v>
      </c>
      <c r="C405" s="11">
        <f>(C397+C400)*16</f>
        <v>0</v>
      </c>
      <c r="D405" s="11">
        <f t="shared" ref="D405:I405" si="184">(D397+D400)*16</f>
        <v>-46608</v>
      </c>
      <c r="E405" s="11">
        <f t="shared" si="184"/>
        <v>-46608</v>
      </c>
      <c r="F405" s="11">
        <f t="shared" si="184"/>
        <v>-46608</v>
      </c>
      <c r="G405" s="11">
        <f t="shared" si="184"/>
        <v>0</v>
      </c>
      <c r="H405" s="11">
        <f t="shared" si="184"/>
        <v>0</v>
      </c>
      <c r="I405" s="11">
        <f t="shared" si="184"/>
        <v>-46608</v>
      </c>
    </row>
    <row r="406" spans="1:11" x14ac:dyDescent="0.2">
      <c r="A406" s="13"/>
      <c r="B406" s="2" t="s">
        <v>83</v>
      </c>
      <c r="C406" s="11">
        <f>C398*16</f>
        <v>0</v>
      </c>
      <c r="D406" s="11">
        <f t="shared" ref="D406:I406" si="185">D398*16</f>
        <v>48608</v>
      </c>
      <c r="E406" s="11">
        <f t="shared" si="185"/>
        <v>48608</v>
      </c>
      <c r="F406" s="11">
        <f t="shared" si="185"/>
        <v>48608</v>
      </c>
      <c r="G406" s="11">
        <f t="shared" si="185"/>
        <v>0</v>
      </c>
      <c r="H406" s="11">
        <f t="shared" si="185"/>
        <v>0</v>
      </c>
      <c r="I406" s="11">
        <f t="shared" si="185"/>
        <v>48608</v>
      </c>
    </row>
    <row r="407" spans="1:11" x14ac:dyDescent="0.2">
      <c r="A407" s="13"/>
      <c r="B407" s="2" t="s">
        <v>77</v>
      </c>
      <c r="C407" s="11">
        <f t="shared" ref="C407:I407" si="186">SUM(C405:C406)</f>
        <v>0</v>
      </c>
      <c r="D407" s="11">
        <f t="shared" si="186"/>
        <v>2000</v>
      </c>
      <c r="E407" s="11">
        <f t="shared" si="186"/>
        <v>2000</v>
      </c>
      <c r="F407" s="11">
        <f t="shared" si="186"/>
        <v>2000</v>
      </c>
      <c r="G407" s="11">
        <f t="shared" si="186"/>
        <v>0</v>
      </c>
      <c r="H407" s="11">
        <f t="shared" si="186"/>
        <v>0</v>
      </c>
      <c r="I407" s="11">
        <f t="shared" si="186"/>
        <v>2000</v>
      </c>
    </row>
    <row r="408" spans="1:11" x14ac:dyDescent="0.2">
      <c r="A408" s="13"/>
    </row>
    <row r="409" spans="1:11" x14ac:dyDescent="0.2">
      <c r="A409" s="16"/>
      <c r="B409" s="1"/>
      <c r="C409" s="15"/>
      <c r="D409" s="15"/>
      <c r="E409" s="15"/>
      <c r="F409" s="15"/>
      <c r="G409" s="15"/>
      <c r="H409" s="15"/>
      <c r="I409" s="15"/>
    </row>
    <row r="410" spans="1:11" x14ac:dyDescent="0.2">
      <c r="A410" s="16"/>
      <c r="B410" s="1"/>
      <c r="C410" s="15"/>
      <c r="E410" s="25"/>
    </row>
    <row r="411" spans="1:11" s="1" customFormat="1" x14ac:dyDescent="0.2">
      <c r="A411" s="1" t="s">
        <v>31</v>
      </c>
      <c r="B411" s="5" t="s">
        <v>29</v>
      </c>
      <c r="C411" s="28">
        <v>37257</v>
      </c>
      <c r="D411" s="6">
        <v>37258</v>
      </c>
      <c r="E411" s="6">
        <v>37259</v>
      </c>
      <c r="F411" s="6">
        <v>37260</v>
      </c>
      <c r="G411" s="28">
        <v>37261</v>
      </c>
      <c r="H411" s="28">
        <v>37262</v>
      </c>
      <c r="I411" s="6">
        <v>37263</v>
      </c>
      <c r="J411" s="8"/>
      <c r="K411" s="7"/>
    </row>
    <row r="412" spans="1:11" x14ac:dyDescent="0.2">
      <c r="B412" s="1" t="s">
        <v>3</v>
      </c>
      <c r="D412" s="19">
        <v>100</v>
      </c>
      <c r="E412" s="19">
        <v>100</v>
      </c>
      <c r="F412" s="19">
        <v>100</v>
      </c>
      <c r="G412" s="10"/>
      <c r="H412" s="21"/>
      <c r="I412" s="19">
        <v>100</v>
      </c>
      <c r="K412" s="4"/>
    </row>
    <row r="413" spans="1:11" x14ac:dyDescent="0.2">
      <c r="B413" s="8" t="s">
        <v>4</v>
      </c>
      <c r="C413" s="3">
        <v>0</v>
      </c>
      <c r="D413" s="10">
        <v>46.25</v>
      </c>
      <c r="E413" s="10">
        <v>46.25</v>
      </c>
      <c r="F413" s="10">
        <v>46.25</v>
      </c>
      <c r="G413" s="10"/>
      <c r="H413" s="21"/>
      <c r="I413" s="10">
        <v>46.25</v>
      </c>
      <c r="K413" s="4"/>
    </row>
    <row r="414" spans="1:11" x14ac:dyDescent="0.2">
      <c r="B414" s="1" t="s">
        <v>5</v>
      </c>
      <c r="D414" s="19">
        <v>50</v>
      </c>
      <c r="E414" s="19">
        <v>50</v>
      </c>
      <c r="F414" s="19">
        <v>50</v>
      </c>
      <c r="G414" s="10"/>
      <c r="H414" s="21"/>
      <c r="I414" s="19">
        <v>50</v>
      </c>
      <c r="K414" s="4"/>
    </row>
    <row r="415" spans="1:11" x14ac:dyDescent="0.2">
      <c r="B415" s="8" t="s">
        <v>4</v>
      </c>
      <c r="C415" s="3">
        <v>0</v>
      </c>
      <c r="D415" s="10">
        <v>45</v>
      </c>
      <c r="E415" s="10">
        <v>45</v>
      </c>
      <c r="F415" s="10">
        <v>45</v>
      </c>
      <c r="G415" s="10"/>
      <c r="H415" s="21"/>
      <c r="I415" s="10">
        <v>45</v>
      </c>
      <c r="K415" s="4"/>
    </row>
    <row r="416" spans="1:11" x14ac:dyDescent="0.2">
      <c r="B416" s="7" t="s">
        <v>6</v>
      </c>
      <c r="C416" s="4">
        <f t="shared" ref="C416:I416" si="187">C412-C414</f>
        <v>0</v>
      </c>
      <c r="D416" s="4">
        <f t="shared" si="187"/>
        <v>50</v>
      </c>
      <c r="E416" s="4">
        <f t="shared" si="187"/>
        <v>50</v>
      </c>
      <c r="F416" s="4">
        <f t="shared" si="187"/>
        <v>50</v>
      </c>
      <c r="G416" s="4">
        <f t="shared" si="187"/>
        <v>0</v>
      </c>
      <c r="H416" s="4">
        <f t="shared" si="187"/>
        <v>0</v>
      </c>
      <c r="I416" s="4">
        <f t="shared" si="187"/>
        <v>50</v>
      </c>
      <c r="K416" s="4"/>
    </row>
    <row r="417" spans="1:11" x14ac:dyDescent="0.2">
      <c r="B417" s="9" t="s">
        <v>7</v>
      </c>
      <c r="C417" s="10">
        <v>22</v>
      </c>
      <c r="D417" s="29">
        <v>28</v>
      </c>
      <c r="E417" s="29">
        <v>28</v>
      </c>
      <c r="F417" s="29">
        <v>28</v>
      </c>
      <c r="G417" s="10">
        <v>22</v>
      </c>
      <c r="H417" s="10">
        <v>22</v>
      </c>
      <c r="I417" s="29">
        <v>28</v>
      </c>
      <c r="K417" s="4"/>
    </row>
    <row r="418" spans="1:11" x14ac:dyDescent="0.2">
      <c r="B418" s="9"/>
      <c r="C418" s="11"/>
      <c r="D418" s="19"/>
      <c r="E418" s="19"/>
      <c r="F418" s="10"/>
      <c r="G418" s="10"/>
      <c r="H418" s="21"/>
      <c r="K418" s="4"/>
    </row>
    <row r="419" spans="1:11" x14ac:dyDescent="0.2">
      <c r="B419" s="9" t="s">
        <v>8</v>
      </c>
      <c r="C419" s="12">
        <f t="shared" ref="C419:I419" si="188">(C412*C413)*(-1)</f>
        <v>0</v>
      </c>
      <c r="D419" s="12">
        <f t="shared" si="188"/>
        <v>-4625</v>
      </c>
      <c r="E419" s="12">
        <f t="shared" si="188"/>
        <v>-4625</v>
      </c>
      <c r="F419" s="12">
        <f t="shared" si="188"/>
        <v>-4625</v>
      </c>
      <c r="G419" s="12">
        <f t="shared" si="188"/>
        <v>0</v>
      </c>
      <c r="H419" s="12">
        <f t="shared" si="188"/>
        <v>0</v>
      </c>
      <c r="I419" s="12">
        <f t="shared" si="188"/>
        <v>-4625</v>
      </c>
      <c r="K419" s="4"/>
    </row>
    <row r="420" spans="1:11" x14ac:dyDescent="0.2">
      <c r="B420" s="9" t="s">
        <v>9</v>
      </c>
      <c r="C420" s="11">
        <f t="shared" ref="C420:I420" si="189">C414*C415</f>
        <v>0</v>
      </c>
      <c r="D420" s="11">
        <f t="shared" si="189"/>
        <v>2250</v>
      </c>
      <c r="E420" s="11">
        <f t="shared" si="189"/>
        <v>2250</v>
      </c>
      <c r="F420" s="11">
        <f t="shared" si="189"/>
        <v>2250</v>
      </c>
      <c r="G420" s="11">
        <f t="shared" si="189"/>
        <v>0</v>
      </c>
      <c r="H420" s="11">
        <f t="shared" si="189"/>
        <v>0</v>
      </c>
      <c r="I420" s="11">
        <f t="shared" si="189"/>
        <v>2250</v>
      </c>
      <c r="K420" s="4"/>
    </row>
    <row r="421" spans="1:11" x14ac:dyDescent="0.2">
      <c r="B421" s="7" t="s">
        <v>10</v>
      </c>
      <c r="C421" s="11">
        <f t="shared" ref="C421:I421" si="190">SUM(C419:C420)</f>
        <v>0</v>
      </c>
      <c r="D421" s="11">
        <f t="shared" si="190"/>
        <v>-2375</v>
      </c>
      <c r="E421" s="11">
        <f t="shared" si="190"/>
        <v>-2375</v>
      </c>
      <c r="F421" s="11">
        <f t="shared" si="190"/>
        <v>-2375</v>
      </c>
      <c r="G421" s="11">
        <f t="shared" si="190"/>
        <v>0</v>
      </c>
      <c r="H421" s="11">
        <f t="shared" si="190"/>
        <v>0</v>
      </c>
      <c r="I421" s="11">
        <f t="shared" si="190"/>
        <v>-2375</v>
      </c>
      <c r="K421" s="4"/>
    </row>
    <row r="422" spans="1:11" x14ac:dyDescent="0.2">
      <c r="A422" s="13"/>
      <c r="B422" s="2" t="s">
        <v>11</v>
      </c>
      <c r="C422" s="12">
        <f t="shared" ref="C422:I422" si="191">C416*C417</f>
        <v>0</v>
      </c>
      <c r="D422" s="12">
        <f t="shared" si="191"/>
        <v>1400</v>
      </c>
      <c r="E422" s="12">
        <f t="shared" si="191"/>
        <v>1400</v>
      </c>
      <c r="F422" s="12">
        <f t="shared" si="191"/>
        <v>1400</v>
      </c>
      <c r="G422" s="12">
        <f t="shared" si="191"/>
        <v>0</v>
      </c>
      <c r="H422" s="12">
        <f t="shared" si="191"/>
        <v>0</v>
      </c>
      <c r="I422" s="12">
        <f t="shared" si="191"/>
        <v>1400</v>
      </c>
    </row>
    <row r="423" spans="1:11" x14ac:dyDescent="0.2">
      <c r="A423" s="14"/>
      <c r="E423" s="2"/>
      <c r="G423" s="2"/>
      <c r="H423" s="2"/>
      <c r="I423" s="2"/>
    </row>
    <row r="424" spans="1:11" s="1" customFormat="1" x14ac:dyDescent="0.2">
      <c r="A424" s="13"/>
      <c r="B424" s="1" t="s">
        <v>12</v>
      </c>
      <c r="C424" s="15">
        <f t="shared" ref="C424:I424" si="192">SUM(C421:C422)</f>
        <v>0</v>
      </c>
      <c r="D424" s="15">
        <f t="shared" si="192"/>
        <v>-975</v>
      </c>
      <c r="E424" s="15">
        <f t="shared" si="192"/>
        <v>-975</v>
      </c>
      <c r="F424" s="15">
        <f t="shared" si="192"/>
        <v>-975</v>
      </c>
      <c r="G424" s="15">
        <f t="shared" si="192"/>
        <v>0</v>
      </c>
      <c r="H424" s="15">
        <f t="shared" si="192"/>
        <v>0</v>
      </c>
      <c r="I424" s="15">
        <f t="shared" si="192"/>
        <v>-975</v>
      </c>
      <c r="J424" s="8"/>
    </row>
    <row r="425" spans="1:11" x14ac:dyDescent="0.2">
      <c r="A425" s="16"/>
      <c r="B425" s="1" t="s">
        <v>27</v>
      </c>
      <c r="C425" s="15">
        <f t="shared" ref="C425:I425" si="193">C424*16</f>
        <v>0</v>
      </c>
      <c r="D425" s="15">
        <f t="shared" si="193"/>
        <v>-15600</v>
      </c>
      <c r="E425" s="15">
        <f t="shared" si="193"/>
        <v>-15600</v>
      </c>
      <c r="F425" s="15">
        <f t="shared" si="193"/>
        <v>-15600</v>
      </c>
      <c r="G425" s="15">
        <f t="shared" si="193"/>
        <v>0</v>
      </c>
      <c r="H425" s="15">
        <f t="shared" si="193"/>
        <v>0</v>
      </c>
      <c r="I425" s="15">
        <f t="shared" si="193"/>
        <v>-15600</v>
      </c>
      <c r="J425" s="3">
        <f>SUM(C425:I425)</f>
        <v>-62400</v>
      </c>
    </row>
    <row r="426" spans="1:11" x14ac:dyDescent="0.2">
      <c r="A426" s="14"/>
      <c r="D426" s="19"/>
      <c r="E426" s="10"/>
      <c r="F426" s="19"/>
      <c r="G426" s="21"/>
      <c r="H426" s="21"/>
    </row>
    <row r="427" spans="1:11" x14ac:dyDescent="0.2">
      <c r="A427" s="13"/>
      <c r="B427" s="2" t="s">
        <v>82</v>
      </c>
      <c r="C427" s="11">
        <f>(C419+C422)*16</f>
        <v>0</v>
      </c>
      <c r="D427" s="11">
        <f t="shared" ref="D427:I427" si="194">(D419+D422)*16</f>
        <v>-51600</v>
      </c>
      <c r="E427" s="11">
        <f t="shared" si="194"/>
        <v>-51600</v>
      </c>
      <c r="F427" s="11">
        <f t="shared" si="194"/>
        <v>-51600</v>
      </c>
      <c r="G427" s="11">
        <f t="shared" si="194"/>
        <v>0</v>
      </c>
      <c r="H427" s="11">
        <f t="shared" si="194"/>
        <v>0</v>
      </c>
      <c r="I427" s="11">
        <f t="shared" si="194"/>
        <v>-51600</v>
      </c>
    </row>
    <row r="428" spans="1:11" x14ac:dyDescent="0.2">
      <c r="A428" s="13"/>
      <c r="B428" s="2" t="s">
        <v>83</v>
      </c>
      <c r="C428" s="11">
        <f>C420*16</f>
        <v>0</v>
      </c>
      <c r="D428" s="11">
        <f t="shared" ref="D428:I428" si="195">D420*16</f>
        <v>36000</v>
      </c>
      <c r="E428" s="11">
        <f t="shared" si="195"/>
        <v>36000</v>
      </c>
      <c r="F428" s="11">
        <f t="shared" si="195"/>
        <v>36000</v>
      </c>
      <c r="G428" s="11">
        <f t="shared" si="195"/>
        <v>0</v>
      </c>
      <c r="H428" s="11">
        <f t="shared" si="195"/>
        <v>0</v>
      </c>
      <c r="I428" s="11">
        <f t="shared" si="195"/>
        <v>36000</v>
      </c>
    </row>
    <row r="429" spans="1:11" x14ac:dyDescent="0.2">
      <c r="A429" s="13"/>
      <c r="B429" s="2" t="s">
        <v>77</v>
      </c>
      <c r="C429" s="11">
        <f t="shared" ref="C429:I429" si="196">SUM(C427:C428)</f>
        <v>0</v>
      </c>
      <c r="D429" s="11">
        <f t="shared" si="196"/>
        <v>-15600</v>
      </c>
      <c r="E429" s="11">
        <f t="shared" si="196"/>
        <v>-15600</v>
      </c>
      <c r="F429" s="11">
        <f t="shared" si="196"/>
        <v>-15600</v>
      </c>
      <c r="G429" s="11">
        <f t="shared" si="196"/>
        <v>0</v>
      </c>
      <c r="H429" s="11">
        <f t="shared" si="196"/>
        <v>0</v>
      </c>
      <c r="I429" s="11">
        <f t="shared" si="196"/>
        <v>-15600</v>
      </c>
    </row>
    <row r="430" spans="1:11" x14ac:dyDescent="0.2">
      <c r="A430" s="13"/>
    </row>
    <row r="431" spans="1:11" s="1" customFormat="1" x14ac:dyDescent="0.2">
      <c r="A431" s="1" t="s">
        <v>31</v>
      </c>
      <c r="B431" s="5" t="s">
        <v>2</v>
      </c>
      <c r="C431" s="28">
        <v>37257</v>
      </c>
      <c r="D431" s="6">
        <v>37258</v>
      </c>
      <c r="E431" s="6">
        <v>37259</v>
      </c>
      <c r="F431" s="6">
        <v>37260</v>
      </c>
      <c r="G431" s="28">
        <v>37261</v>
      </c>
      <c r="H431" s="28">
        <v>37262</v>
      </c>
      <c r="I431" s="6">
        <v>37263</v>
      </c>
      <c r="J431" s="8"/>
      <c r="K431" s="7"/>
    </row>
    <row r="432" spans="1:11" x14ac:dyDescent="0.2">
      <c r="B432" s="1" t="s">
        <v>3</v>
      </c>
      <c r="D432" s="19">
        <v>100</v>
      </c>
      <c r="E432" s="19">
        <v>100</v>
      </c>
      <c r="F432" s="19">
        <v>100</v>
      </c>
      <c r="G432" s="10"/>
      <c r="H432" s="21"/>
      <c r="I432" s="19">
        <v>100</v>
      </c>
      <c r="K432" s="4"/>
    </row>
    <row r="433" spans="1:11" x14ac:dyDescent="0.2">
      <c r="B433" s="8" t="s">
        <v>4</v>
      </c>
      <c r="C433" s="3">
        <v>0</v>
      </c>
      <c r="D433" s="10">
        <v>40</v>
      </c>
      <c r="E433" s="10">
        <v>40</v>
      </c>
      <c r="F433" s="10">
        <v>40</v>
      </c>
      <c r="G433" s="10"/>
      <c r="H433" s="21"/>
      <c r="I433" s="10">
        <v>40</v>
      </c>
      <c r="K433" s="4"/>
    </row>
    <row r="434" spans="1:11" x14ac:dyDescent="0.2">
      <c r="B434" s="1" t="s">
        <v>5</v>
      </c>
      <c r="D434" s="19">
        <v>0</v>
      </c>
      <c r="E434" s="19">
        <v>0</v>
      </c>
      <c r="F434" s="19">
        <v>0</v>
      </c>
      <c r="G434" s="10"/>
      <c r="H434" s="21"/>
      <c r="I434" s="19">
        <v>0</v>
      </c>
      <c r="K434" s="4"/>
    </row>
    <row r="435" spans="1:11" x14ac:dyDescent="0.2">
      <c r="B435" s="8" t="s">
        <v>4</v>
      </c>
      <c r="C435" s="3">
        <v>0</v>
      </c>
      <c r="D435" s="10">
        <v>0</v>
      </c>
      <c r="E435" s="10">
        <v>0</v>
      </c>
      <c r="F435" s="10">
        <v>0</v>
      </c>
      <c r="G435" s="10"/>
      <c r="H435" s="21"/>
      <c r="I435" s="10">
        <v>0</v>
      </c>
      <c r="K435" s="4"/>
    </row>
    <row r="436" spans="1:11" x14ac:dyDescent="0.2">
      <c r="B436" s="7" t="s">
        <v>6</v>
      </c>
      <c r="C436" s="4">
        <f t="shared" ref="C436:I436" si="197">C432-C434</f>
        <v>0</v>
      </c>
      <c r="D436" s="4">
        <f t="shared" si="197"/>
        <v>100</v>
      </c>
      <c r="E436" s="4">
        <f t="shared" si="197"/>
        <v>100</v>
      </c>
      <c r="F436" s="4">
        <f t="shared" si="197"/>
        <v>100</v>
      </c>
      <c r="G436" s="4">
        <f t="shared" si="197"/>
        <v>0</v>
      </c>
      <c r="H436" s="4">
        <f t="shared" si="197"/>
        <v>0</v>
      </c>
      <c r="I436" s="4">
        <f t="shared" si="197"/>
        <v>100</v>
      </c>
      <c r="K436" s="4"/>
    </row>
    <row r="437" spans="1:11" x14ac:dyDescent="0.2">
      <c r="B437" s="9" t="s">
        <v>7</v>
      </c>
      <c r="C437" s="10">
        <v>22</v>
      </c>
      <c r="D437" s="29">
        <v>28</v>
      </c>
      <c r="E437" s="29">
        <v>28</v>
      </c>
      <c r="F437" s="29">
        <v>28</v>
      </c>
      <c r="G437" s="10">
        <v>22</v>
      </c>
      <c r="H437" s="10">
        <v>22</v>
      </c>
      <c r="I437" s="29">
        <v>28</v>
      </c>
      <c r="K437" s="4"/>
    </row>
    <row r="438" spans="1:11" x14ac:dyDescent="0.2">
      <c r="B438" s="9"/>
      <c r="C438" s="11"/>
      <c r="D438" s="19"/>
      <c r="E438" s="19"/>
      <c r="F438" s="10"/>
      <c r="G438" s="10"/>
      <c r="H438" s="21"/>
      <c r="K438" s="4"/>
    </row>
    <row r="439" spans="1:11" x14ac:dyDescent="0.2">
      <c r="B439" s="9" t="s">
        <v>8</v>
      </c>
      <c r="C439" s="12">
        <f t="shared" ref="C439:I439" si="198">(C432*C433)*(-1)</f>
        <v>0</v>
      </c>
      <c r="D439" s="12">
        <f t="shared" si="198"/>
        <v>-4000</v>
      </c>
      <c r="E439" s="12">
        <f t="shared" si="198"/>
        <v>-4000</v>
      </c>
      <c r="F439" s="12">
        <f t="shared" si="198"/>
        <v>-4000</v>
      </c>
      <c r="G439" s="12">
        <f t="shared" si="198"/>
        <v>0</v>
      </c>
      <c r="H439" s="12">
        <f t="shared" si="198"/>
        <v>0</v>
      </c>
      <c r="I439" s="12">
        <f t="shared" si="198"/>
        <v>-4000</v>
      </c>
      <c r="K439" s="4"/>
    </row>
    <row r="440" spans="1:11" x14ac:dyDescent="0.2">
      <c r="B440" s="9" t="s">
        <v>9</v>
      </c>
      <c r="C440" s="11">
        <f t="shared" ref="C440:I440" si="199">C434*C435</f>
        <v>0</v>
      </c>
      <c r="D440" s="11">
        <f t="shared" si="199"/>
        <v>0</v>
      </c>
      <c r="E440" s="11">
        <f t="shared" si="199"/>
        <v>0</v>
      </c>
      <c r="F440" s="11">
        <f t="shared" si="199"/>
        <v>0</v>
      </c>
      <c r="G440" s="11">
        <f t="shared" si="199"/>
        <v>0</v>
      </c>
      <c r="H440" s="11">
        <f t="shared" si="199"/>
        <v>0</v>
      </c>
      <c r="I440" s="11">
        <f t="shared" si="199"/>
        <v>0</v>
      </c>
      <c r="K440" s="4"/>
    </row>
    <row r="441" spans="1:11" x14ac:dyDescent="0.2">
      <c r="B441" s="7" t="s">
        <v>10</v>
      </c>
      <c r="C441" s="11">
        <f t="shared" ref="C441:I441" si="200">SUM(C439:C440)</f>
        <v>0</v>
      </c>
      <c r="D441" s="11">
        <f t="shared" si="200"/>
        <v>-4000</v>
      </c>
      <c r="E441" s="11">
        <f t="shared" si="200"/>
        <v>-4000</v>
      </c>
      <c r="F441" s="11">
        <f t="shared" si="200"/>
        <v>-4000</v>
      </c>
      <c r="G441" s="11">
        <f t="shared" si="200"/>
        <v>0</v>
      </c>
      <c r="H441" s="11">
        <f t="shared" si="200"/>
        <v>0</v>
      </c>
      <c r="I441" s="11">
        <f t="shared" si="200"/>
        <v>-4000</v>
      </c>
      <c r="K441" s="4"/>
    </row>
    <row r="442" spans="1:11" x14ac:dyDescent="0.2">
      <c r="A442" s="13"/>
      <c r="B442" s="2" t="s">
        <v>11</v>
      </c>
      <c r="C442" s="12">
        <f t="shared" ref="C442:I442" si="201">C436*C437</f>
        <v>0</v>
      </c>
      <c r="D442" s="12">
        <f t="shared" si="201"/>
        <v>2800</v>
      </c>
      <c r="E442" s="12">
        <f t="shared" si="201"/>
        <v>2800</v>
      </c>
      <c r="F442" s="12">
        <f t="shared" si="201"/>
        <v>2800</v>
      </c>
      <c r="G442" s="12">
        <f t="shared" si="201"/>
        <v>0</v>
      </c>
      <c r="H442" s="12">
        <f t="shared" si="201"/>
        <v>0</v>
      </c>
      <c r="I442" s="12">
        <f t="shared" si="201"/>
        <v>2800</v>
      </c>
    </row>
    <row r="443" spans="1:11" x14ac:dyDescent="0.2">
      <c r="A443" s="14"/>
      <c r="E443" s="2"/>
      <c r="G443" s="2"/>
      <c r="H443" s="2"/>
      <c r="I443" s="2"/>
    </row>
    <row r="444" spans="1:11" s="1" customFormat="1" x14ac:dyDescent="0.2">
      <c r="A444" s="13"/>
      <c r="B444" s="1" t="s">
        <v>12</v>
      </c>
      <c r="C444" s="15">
        <f t="shared" ref="C444:I444" si="202">SUM(C441:C442)</f>
        <v>0</v>
      </c>
      <c r="D444" s="15">
        <f t="shared" si="202"/>
        <v>-1200</v>
      </c>
      <c r="E444" s="15">
        <f t="shared" si="202"/>
        <v>-1200</v>
      </c>
      <c r="F444" s="15">
        <f t="shared" si="202"/>
        <v>-1200</v>
      </c>
      <c r="G444" s="15">
        <f t="shared" si="202"/>
        <v>0</v>
      </c>
      <c r="H444" s="15">
        <f t="shared" si="202"/>
        <v>0</v>
      </c>
      <c r="I444" s="15">
        <f t="shared" si="202"/>
        <v>-1200</v>
      </c>
      <c r="J444" s="8"/>
    </row>
    <row r="445" spans="1:11" x14ac:dyDescent="0.2">
      <c r="A445" s="16"/>
      <c r="B445" s="1" t="s">
        <v>27</v>
      </c>
      <c r="C445" s="15">
        <f t="shared" ref="C445:I445" si="203">C444*16</f>
        <v>0</v>
      </c>
      <c r="D445" s="15">
        <f t="shared" si="203"/>
        <v>-19200</v>
      </c>
      <c r="E445" s="15">
        <f t="shared" si="203"/>
        <v>-19200</v>
      </c>
      <c r="F445" s="15">
        <f t="shared" si="203"/>
        <v>-19200</v>
      </c>
      <c r="G445" s="15">
        <f t="shared" si="203"/>
        <v>0</v>
      </c>
      <c r="H445" s="15">
        <f t="shared" si="203"/>
        <v>0</v>
      </c>
      <c r="I445" s="15">
        <f t="shared" si="203"/>
        <v>-19200</v>
      </c>
      <c r="J445" s="3">
        <f>SUM(C445:I445)</f>
        <v>-76800</v>
      </c>
    </row>
    <row r="446" spans="1:11" x14ac:dyDescent="0.2">
      <c r="A446" s="16"/>
      <c r="B446" s="1"/>
      <c r="C446" s="15"/>
      <c r="E446" s="25"/>
    </row>
    <row r="447" spans="1:11" x14ac:dyDescent="0.2">
      <c r="A447" s="13"/>
      <c r="B447" s="2" t="s">
        <v>82</v>
      </c>
      <c r="C447" s="11">
        <f>(C439+C442)*16</f>
        <v>0</v>
      </c>
      <c r="D447" s="11">
        <f t="shared" ref="D447:I447" si="204">(D439+D442)*16</f>
        <v>-19200</v>
      </c>
      <c r="E447" s="11">
        <f t="shared" si="204"/>
        <v>-19200</v>
      </c>
      <c r="F447" s="11">
        <f t="shared" si="204"/>
        <v>-19200</v>
      </c>
      <c r="G447" s="11">
        <f t="shared" si="204"/>
        <v>0</v>
      </c>
      <c r="H447" s="11">
        <f t="shared" si="204"/>
        <v>0</v>
      </c>
      <c r="I447" s="11">
        <f t="shared" si="204"/>
        <v>-19200</v>
      </c>
    </row>
    <row r="448" spans="1:11" x14ac:dyDescent="0.2">
      <c r="A448" s="13"/>
      <c r="B448" s="2" t="s">
        <v>83</v>
      </c>
      <c r="C448" s="11">
        <f>C440*16</f>
        <v>0</v>
      </c>
      <c r="D448" s="11">
        <f t="shared" ref="D448:I448" si="205">D440*16</f>
        <v>0</v>
      </c>
      <c r="E448" s="11">
        <f t="shared" si="205"/>
        <v>0</v>
      </c>
      <c r="F448" s="11">
        <f t="shared" si="205"/>
        <v>0</v>
      </c>
      <c r="G448" s="11">
        <f t="shared" si="205"/>
        <v>0</v>
      </c>
      <c r="H448" s="11">
        <f t="shared" si="205"/>
        <v>0</v>
      </c>
      <c r="I448" s="11">
        <f t="shared" si="205"/>
        <v>0</v>
      </c>
    </row>
    <row r="449" spans="1:11" x14ac:dyDescent="0.2">
      <c r="A449" s="13"/>
      <c r="B449" s="2" t="s">
        <v>77</v>
      </c>
      <c r="C449" s="11">
        <f t="shared" ref="C449:I449" si="206">SUM(C447:C448)</f>
        <v>0</v>
      </c>
      <c r="D449" s="11">
        <f t="shared" si="206"/>
        <v>-19200</v>
      </c>
      <c r="E449" s="11">
        <f t="shared" si="206"/>
        <v>-19200</v>
      </c>
      <c r="F449" s="11">
        <f t="shared" si="206"/>
        <v>-19200</v>
      </c>
      <c r="G449" s="11">
        <f t="shared" si="206"/>
        <v>0</v>
      </c>
      <c r="H449" s="11">
        <f t="shared" si="206"/>
        <v>0</v>
      </c>
      <c r="I449" s="11">
        <f t="shared" si="206"/>
        <v>-19200</v>
      </c>
    </row>
    <row r="450" spans="1:11" x14ac:dyDescent="0.2">
      <c r="A450" s="13"/>
    </row>
    <row r="451" spans="1:11" s="1" customFormat="1" x14ac:dyDescent="0.2">
      <c r="A451" s="1" t="s">
        <v>32</v>
      </c>
      <c r="B451" s="5" t="s">
        <v>29</v>
      </c>
      <c r="C451" s="28">
        <v>37257</v>
      </c>
      <c r="D451" s="6">
        <v>37258</v>
      </c>
      <c r="E451" s="6">
        <v>37259</v>
      </c>
      <c r="F451" s="6">
        <v>37260</v>
      </c>
      <c r="G451" s="28">
        <v>37261</v>
      </c>
      <c r="H451" s="28">
        <v>37262</v>
      </c>
      <c r="I451" s="6">
        <v>37263</v>
      </c>
      <c r="J451" s="8"/>
      <c r="K451" s="7"/>
    </row>
    <row r="452" spans="1:11" x14ac:dyDescent="0.2">
      <c r="B452" s="1" t="s">
        <v>3</v>
      </c>
      <c r="D452" s="19">
        <v>50</v>
      </c>
      <c r="E452" s="19">
        <v>50</v>
      </c>
      <c r="F452" s="19">
        <v>50</v>
      </c>
      <c r="G452" s="10"/>
      <c r="H452" s="21"/>
      <c r="I452" s="19">
        <v>50</v>
      </c>
      <c r="K452" s="4"/>
    </row>
    <row r="453" spans="1:11" x14ac:dyDescent="0.2">
      <c r="B453" s="8" t="s">
        <v>4</v>
      </c>
      <c r="C453" s="3">
        <v>0</v>
      </c>
      <c r="D453" s="10">
        <v>32</v>
      </c>
      <c r="E453" s="10">
        <v>32</v>
      </c>
      <c r="F453" s="10">
        <v>32</v>
      </c>
      <c r="G453" s="10"/>
      <c r="H453" s="21"/>
      <c r="I453" s="10">
        <v>32</v>
      </c>
      <c r="K453" s="4"/>
    </row>
    <row r="454" spans="1:11" x14ac:dyDescent="0.2">
      <c r="B454" s="1" t="s">
        <v>5</v>
      </c>
      <c r="C454" s="2">
        <v>50</v>
      </c>
      <c r="D454" s="19">
        <v>50</v>
      </c>
      <c r="E454" s="19">
        <v>50</v>
      </c>
      <c r="F454" s="19">
        <v>50</v>
      </c>
      <c r="G454" s="19">
        <v>50</v>
      </c>
      <c r="H454" s="19">
        <v>50</v>
      </c>
      <c r="I454" s="19">
        <v>50</v>
      </c>
      <c r="K454" s="4"/>
    </row>
    <row r="455" spans="1:11" x14ac:dyDescent="0.2">
      <c r="B455" s="8" t="s">
        <v>4</v>
      </c>
      <c r="C455" s="3">
        <v>32</v>
      </c>
      <c r="D455" s="10">
        <v>32</v>
      </c>
      <c r="E455" s="10">
        <v>32</v>
      </c>
      <c r="F455" s="10">
        <v>32</v>
      </c>
      <c r="G455" s="10">
        <v>32</v>
      </c>
      <c r="H455" s="10">
        <v>32</v>
      </c>
      <c r="I455" s="10">
        <v>32</v>
      </c>
      <c r="K455" s="4"/>
    </row>
    <row r="456" spans="1:11" x14ac:dyDescent="0.2">
      <c r="B456" s="7" t="s">
        <v>6</v>
      </c>
      <c r="C456" s="4">
        <f>C452-C454</f>
        <v>-50</v>
      </c>
      <c r="D456" s="4">
        <f t="shared" ref="D456:I456" si="207">D452-D454</f>
        <v>0</v>
      </c>
      <c r="E456" s="4">
        <f t="shared" si="207"/>
        <v>0</v>
      </c>
      <c r="F456" s="4">
        <f t="shared" si="207"/>
        <v>0</v>
      </c>
      <c r="G456" s="4">
        <f t="shared" si="207"/>
        <v>-50</v>
      </c>
      <c r="H456" s="4">
        <f t="shared" si="207"/>
        <v>-50</v>
      </c>
      <c r="I456" s="4">
        <f t="shared" si="207"/>
        <v>0</v>
      </c>
      <c r="K456" s="4"/>
    </row>
    <row r="457" spans="1:11" x14ac:dyDescent="0.2">
      <c r="B457" s="9" t="s">
        <v>7</v>
      </c>
      <c r="C457" s="10">
        <v>22</v>
      </c>
      <c r="D457" s="29">
        <v>28</v>
      </c>
      <c r="E457" s="29">
        <v>28</v>
      </c>
      <c r="F457" s="29">
        <v>28</v>
      </c>
      <c r="G457" s="10">
        <v>22</v>
      </c>
      <c r="H457" s="10">
        <v>22</v>
      </c>
      <c r="I457" s="29">
        <v>28</v>
      </c>
      <c r="K457" s="4"/>
    </row>
    <row r="458" spans="1:11" x14ac:dyDescent="0.2">
      <c r="B458" s="9"/>
      <c r="C458" s="11"/>
      <c r="D458" s="19"/>
      <c r="E458" s="19"/>
      <c r="F458" s="10"/>
      <c r="G458" s="10"/>
      <c r="H458" s="21"/>
      <c r="K458" s="4"/>
    </row>
    <row r="459" spans="1:11" x14ac:dyDescent="0.2">
      <c r="B459" s="9" t="s">
        <v>8</v>
      </c>
      <c r="C459" s="12">
        <f t="shared" ref="C459:I459" si="208">(C452*C453)*(-1)</f>
        <v>0</v>
      </c>
      <c r="D459" s="12">
        <f t="shared" si="208"/>
        <v>-1600</v>
      </c>
      <c r="E459" s="12">
        <f t="shared" si="208"/>
        <v>-1600</v>
      </c>
      <c r="F459" s="12">
        <f t="shared" si="208"/>
        <v>-1600</v>
      </c>
      <c r="G459" s="12">
        <f t="shared" si="208"/>
        <v>0</v>
      </c>
      <c r="H459" s="12">
        <f t="shared" si="208"/>
        <v>0</v>
      </c>
      <c r="I459" s="12">
        <f t="shared" si="208"/>
        <v>-1600</v>
      </c>
      <c r="K459" s="4"/>
    </row>
    <row r="460" spans="1:11" x14ac:dyDescent="0.2">
      <c r="B460" s="9" t="s">
        <v>9</v>
      </c>
      <c r="C460" s="11">
        <f t="shared" ref="C460:I460" si="209">C454*C455</f>
        <v>1600</v>
      </c>
      <c r="D460" s="11">
        <f t="shared" si="209"/>
        <v>1600</v>
      </c>
      <c r="E460" s="11">
        <f t="shared" si="209"/>
        <v>1600</v>
      </c>
      <c r="F460" s="11">
        <f t="shared" si="209"/>
        <v>1600</v>
      </c>
      <c r="G460" s="11">
        <f t="shared" si="209"/>
        <v>1600</v>
      </c>
      <c r="H460" s="11">
        <f t="shared" si="209"/>
        <v>1600</v>
      </c>
      <c r="I460" s="11">
        <f t="shared" si="209"/>
        <v>1600</v>
      </c>
      <c r="K460" s="4"/>
    </row>
    <row r="461" spans="1:11" x14ac:dyDescent="0.2">
      <c r="B461" s="7" t="s">
        <v>10</v>
      </c>
      <c r="C461" s="11">
        <f t="shared" ref="C461:I461" si="210">SUM(C459:C460)</f>
        <v>1600</v>
      </c>
      <c r="D461" s="11">
        <f t="shared" si="210"/>
        <v>0</v>
      </c>
      <c r="E461" s="11">
        <f t="shared" si="210"/>
        <v>0</v>
      </c>
      <c r="F461" s="11">
        <f t="shared" si="210"/>
        <v>0</v>
      </c>
      <c r="G461" s="11">
        <f t="shared" si="210"/>
        <v>1600</v>
      </c>
      <c r="H461" s="11">
        <f t="shared" si="210"/>
        <v>1600</v>
      </c>
      <c r="I461" s="11">
        <f t="shared" si="210"/>
        <v>0</v>
      </c>
      <c r="K461" s="4"/>
    </row>
    <row r="462" spans="1:11" x14ac:dyDescent="0.2">
      <c r="A462" s="13"/>
      <c r="B462" s="2" t="s">
        <v>11</v>
      </c>
      <c r="C462" s="12">
        <f t="shared" ref="C462:I462" si="211">C456*C457</f>
        <v>-1100</v>
      </c>
      <c r="D462" s="12">
        <f t="shared" si="211"/>
        <v>0</v>
      </c>
      <c r="E462" s="12">
        <f t="shared" si="211"/>
        <v>0</v>
      </c>
      <c r="F462" s="12">
        <f t="shared" si="211"/>
        <v>0</v>
      </c>
      <c r="G462" s="12">
        <f t="shared" si="211"/>
        <v>-1100</v>
      </c>
      <c r="H462" s="12">
        <f t="shared" si="211"/>
        <v>-1100</v>
      </c>
      <c r="I462" s="12">
        <f t="shared" si="211"/>
        <v>0</v>
      </c>
    </row>
    <row r="463" spans="1:11" x14ac:dyDescent="0.2">
      <c r="A463" s="14"/>
      <c r="E463" s="2"/>
      <c r="G463" s="2"/>
      <c r="H463" s="2"/>
      <c r="I463" s="2"/>
    </row>
    <row r="464" spans="1:11" s="1" customFormat="1" x14ac:dyDescent="0.2">
      <c r="A464" s="13"/>
      <c r="B464" s="1" t="s">
        <v>12</v>
      </c>
      <c r="C464" s="15">
        <f t="shared" ref="C464:I464" si="212">SUM(C461:C462)</f>
        <v>500</v>
      </c>
      <c r="D464" s="15">
        <f t="shared" si="212"/>
        <v>0</v>
      </c>
      <c r="E464" s="15">
        <f t="shared" si="212"/>
        <v>0</v>
      </c>
      <c r="F464" s="15">
        <f t="shared" si="212"/>
        <v>0</v>
      </c>
      <c r="G464" s="15">
        <f t="shared" si="212"/>
        <v>500</v>
      </c>
      <c r="H464" s="15">
        <f t="shared" si="212"/>
        <v>500</v>
      </c>
      <c r="I464" s="15">
        <f t="shared" si="212"/>
        <v>0</v>
      </c>
      <c r="J464" s="8"/>
    </row>
    <row r="465" spans="1:11" x14ac:dyDescent="0.2">
      <c r="A465" s="16"/>
      <c r="B465" s="1" t="s">
        <v>27</v>
      </c>
      <c r="C465" s="15">
        <f t="shared" ref="C465:I465" si="213">C464*16</f>
        <v>8000</v>
      </c>
      <c r="D465" s="15">
        <f t="shared" si="213"/>
        <v>0</v>
      </c>
      <c r="E465" s="15">
        <f t="shared" si="213"/>
        <v>0</v>
      </c>
      <c r="F465" s="15">
        <f t="shared" si="213"/>
        <v>0</v>
      </c>
      <c r="G465" s="15">
        <f t="shared" si="213"/>
        <v>8000</v>
      </c>
      <c r="H465" s="15">
        <f t="shared" si="213"/>
        <v>8000</v>
      </c>
      <c r="I465" s="15">
        <f t="shared" si="213"/>
        <v>0</v>
      </c>
      <c r="J465" s="3">
        <f>SUM(C465:I465)</f>
        <v>24000</v>
      </c>
    </row>
    <row r="466" spans="1:11" x14ac:dyDescent="0.2">
      <c r="A466" s="16"/>
      <c r="B466" s="1"/>
      <c r="C466" s="15"/>
      <c r="D466" s="18"/>
      <c r="E466" s="18"/>
      <c r="F466" s="18"/>
      <c r="G466" s="21"/>
      <c r="H466" s="18"/>
      <c r="I466" s="15"/>
      <c r="J466" s="3"/>
    </row>
    <row r="467" spans="1:11" x14ac:dyDescent="0.2">
      <c r="A467" s="13"/>
      <c r="B467" s="2" t="s">
        <v>82</v>
      </c>
      <c r="C467" s="11">
        <f>(C459+C462)*16</f>
        <v>-17600</v>
      </c>
      <c r="D467" s="11">
        <f t="shared" ref="D467:I467" si="214">(D459+D462)*16</f>
        <v>-25600</v>
      </c>
      <c r="E467" s="11">
        <f t="shared" si="214"/>
        <v>-25600</v>
      </c>
      <c r="F467" s="11">
        <f t="shared" si="214"/>
        <v>-25600</v>
      </c>
      <c r="G467" s="11">
        <f t="shared" si="214"/>
        <v>-17600</v>
      </c>
      <c r="H467" s="11">
        <f t="shared" si="214"/>
        <v>-17600</v>
      </c>
      <c r="I467" s="11">
        <f t="shared" si="214"/>
        <v>-25600</v>
      </c>
    </row>
    <row r="468" spans="1:11" x14ac:dyDescent="0.2">
      <c r="A468" s="13"/>
      <c r="B468" s="2" t="s">
        <v>83</v>
      </c>
      <c r="C468" s="11">
        <f>C460*16</f>
        <v>25600</v>
      </c>
      <c r="D468" s="11">
        <f t="shared" ref="D468:I468" si="215">D460*16</f>
        <v>25600</v>
      </c>
      <c r="E468" s="11">
        <f t="shared" si="215"/>
        <v>25600</v>
      </c>
      <c r="F468" s="11">
        <f t="shared" si="215"/>
        <v>25600</v>
      </c>
      <c r="G468" s="11">
        <f t="shared" si="215"/>
        <v>25600</v>
      </c>
      <c r="H468" s="11">
        <f t="shared" si="215"/>
        <v>25600</v>
      </c>
      <c r="I468" s="11">
        <f t="shared" si="215"/>
        <v>25600</v>
      </c>
    </row>
    <row r="469" spans="1:11" x14ac:dyDescent="0.2">
      <c r="A469" s="13"/>
      <c r="B469" s="2" t="s">
        <v>77</v>
      </c>
      <c r="C469" s="11">
        <f t="shared" ref="C469:I469" si="216">SUM(C467:C468)</f>
        <v>8000</v>
      </c>
      <c r="D469" s="11">
        <f t="shared" si="216"/>
        <v>0</v>
      </c>
      <c r="E469" s="11">
        <f t="shared" si="216"/>
        <v>0</v>
      </c>
      <c r="F469" s="11">
        <f t="shared" si="216"/>
        <v>0</v>
      </c>
      <c r="G469" s="11">
        <f t="shared" si="216"/>
        <v>8000</v>
      </c>
      <c r="H469" s="11">
        <f t="shared" si="216"/>
        <v>8000</v>
      </c>
      <c r="I469" s="11">
        <f t="shared" si="216"/>
        <v>0</v>
      </c>
    </row>
    <row r="470" spans="1:11" x14ac:dyDescent="0.2">
      <c r="A470" s="13"/>
    </row>
    <row r="471" spans="1:11" s="1" customFormat="1" x14ac:dyDescent="0.2">
      <c r="A471" s="1" t="s">
        <v>41</v>
      </c>
      <c r="B471" s="5" t="s">
        <v>25</v>
      </c>
      <c r="C471" s="28">
        <v>37257</v>
      </c>
      <c r="D471" s="6">
        <v>37258</v>
      </c>
      <c r="E471" s="6">
        <v>37259</v>
      </c>
      <c r="F471" s="6">
        <v>37260</v>
      </c>
      <c r="G471" s="28">
        <v>37261</v>
      </c>
      <c r="H471" s="28">
        <v>37262</v>
      </c>
      <c r="I471" s="6">
        <v>37263</v>
      </c>
      <c r="J471" s="8"/>
      <c r="K471" s="7"/>
    </row>
    <row r="472" spans="1:11" x14ac:dyDescent="0.2">
      <c r="B472" s="1" t="s">
        <v>3</v>
      </c>
      <c r="D472" s="19">
        <v>0</v>
      </c>
      <c r="E472" s="19">
        <v>0</v>
      </c>
      <c r="F472" s="19">
        <v>0</v>
      </c>
      <c r="G472" s="10"/>
      <c r="H472" s="21"/>
      <c r="I472" s="19">
        <v>0</v>
      </c>
      <c r="K472" s="4"/>
    </row>
    <row r="473" spans="1:11" x14ac:dyDescent="0.2">
      <c r="B473" s="8" t="s">
        <v>4</v>
      </c>
      <c r="C473" s="3">
        <v>0</v>
      </c>
      <c r="D473" s="10">
        <v>0</v>
      </c>
      <c r="E473" s="10">
        <v>0</v>
      </c>
      <c r="F473" s="10">
        <v>0</v>
      </c>
      <c r="G473" s="10"/>
      <c r="H473" s="21"/>
      <c r="I473" s="10">
        <v>0</v>
      </c>
      <c r="K473" s="4"/>
    </row>
    <row r="474" spans="1:11" x14ac:dyDescent="0.2">
      <c r="B474" s="1" t="s">
        <v>5</v>
      </c>
      <c r="C474" s="2">
        <v>0</v>
      </c>
      <c r="D474" s="19">
        <v>50</v>
      </c>
      <c r="E474" s="19">
        <v>50</v>
      </c>
      <c r="F474" s="19">
        <v>50</v>
      </c>
      <c r="G474" s="19">
        <v>0</v>
      </c>
      <c r="H474" s="19">
        <v>0</v>
      </c>
      <c r="I474" s="19">
        <v>50</v>
      </c>
      <c r="K474" s="4"/>
    </row>
    <row r="475" spans="1:11" x14ac:dyDescent="0.2">
      <c r="B475" s="8" t="s">
        <v>4</v>
      </c>
      <c r="C475" s="3">
        <v>0</v>
      </c>
      <c r="D475" s="10">
        <v>38.25</v>
      </c>
      <c r="E475" s="10">
        <v>38.25</v>
      </c>
      <c r="F475" s="10">
        <v>38.25</v>
      </c>
      <c r="G475" s="10">
        <v>0</v>
      </c>
      <c r="H475" s="10">
        <v>0</v>
      </c>
      <c r="I475" s="10">
        <v>38.25</v>
      </c>
      <c r="K475" s="4"/>
    </row>
    <row r="476" spans="1:11" x14ac:dyDescent="0.2">
      <c r="B476" s="7" t="s">
        <v>6</v>
      </c>
      <c r="C476" s="4">
        <f t="shared" ref="C476:I476" si="217">C472-C474</f>
        <v>0</v>
      </c>
      <c r="D476" s="4">
        <f t="shared" si="217"/>
        <v>-50</v>
      </c>
      <c r="E476" s="4">
        <f t="shared" si="217"/>
        <v>-50</v>
      </c>
      <c r="F476" s="4">
        <f t="shared" si="217"/>
        <v>-50</v>
      </c>
      <c r="G476" s="4">
        <f t="shared" si="217"/>
        <v>0</v>
      </c>
      <c r="H476" s="4">
        <f t="shared" si="217"/>
        <v>0</v>
      </c>
      <c r="I476" s="4">
        <f t="shared" si="217"/>
        <v>-50</v>
      </c>
      <c r="K476" s="4"/>
    </row>
    <row r="477" spans="1:11" x14ac:dyDescent="0.2">
      <c r="B477" s="9" t="s">
        <v>7</v>
      </c>
      <c r="C477" s="10">
        <v>20</v>
      </c>
      <c r="D477" s="29">
        <v>27</v>
      </c>
      <c r="E477" s="29">
        <v>27</v>
      </c>
      <c r="F477" s="29">
        <v>27</v>
      </c>
      <c r="G477" s="10">
        <v>20</v>
      </c>
      <c r="H477" s="10">
        <v>20</v>
      </c>
      <c r="I477" s="29">
        <v>27</v>
      </c>
      <c r="K477" s="4"/>
    </row>
    <row r="478" spans="1:11" x14ac:dyDescent="0.2">
      <c r="B478" s="9"/>
      <c r="C478" s="11"/>
      <c r="D478" s="19"/>
      <c r="E478" s="19"/>
      <c r="F478" s="10"/>
      <c r="G478" s="10"/>
      <c r="H478" s="21"/>
      <c r="K478" s="4"/>
    </row>
    <row r="479" spans="1:11" x14ac:dyDescent="0.2">
      <c r="B479" s="9" t="s">
        <v>8</v>
      </c>
      <c r="C479" s="12">
        <f t="shared" ref="C479:I479" si="218">(C472*C473)*(-1)</f>
        <v>0</v>
      </c>
      <c r="D479" s="12">
        <f t="shared" si="218"/>
        <v>0</v>
      </c>
      <c r="E479" s="12">
        <f t="shared" si="218"/>
        <v>0</v>
      </c>
      <c r="F479" s="12">
        <f t="shared" si="218"/>
        <v>0</v>
      </c>
      <c r="G479" s="12">
        <f t="shared" si="218"/>
        <v>0</v>
      </c>
      <c r="H479" s="12">
        <f t="shared" si="218"/>
        <v>0</v>
      </c>
      <c r="I479" s="12">
        <f t="shared" si="218"/>
        <v>0</v>
      </c>
      <c r="K479" s="4"/>
    </row>
    <row r="480" spans="1:11" x14ac:dyDescent="0.2">
      <c r="B480" s="9" t="s">
        <v>9</v>
      </c>
      <c r="C480" s="11">
        <f t="shared" ref="C480:I480" si="219">C474*C475</f>
        <v>0</v>
      </c>
      <c r="D480" s="11">
        <f t="shared" si="219"/>
        <v>1912.5</v>
      </c>
      <c r="E480" s="11">
        <f t="shared" si="219"/>
        <v>1912.5</v>
      </c>
      <c r="F480" s="11">
        <f t="shared" si="219"/>
        <v>1912.5</v>
      </c>
      <c r="G480" s="11">
        <f t="shared" si="219"/>
        <v>0</v>
      </c>
      <c r="H480" s="11">
        <f t="shared" si="219"/>
        <v>0</v>
      </c>
      <c r="I480" s="11">
        <f t="shared" si="219"/>
        <v>1912.5</v>
      </c>
      <c r="K480" s="4"/>
    </row>
    <row r="481" spans="1:11" x14ac:dyDescent="0.2">
      <c r="B481" s="7" t="s">
        <v>10</v>
      </c>
      <c r="C481" s="11">
        <f t="shared" ref="C481:I481" si="220">SUM(C479:C480)</f>
        <v>0</v>
      </c>
      <c r="D481" s="11">
        <f t="shared" si="220"/>
        <v>1912.5</v>
      </c>
      <c r="E481" s="11">
        <f t="shared" si="220"/>
        <v>1912.5</v>
      </c>
      <c r="F481" s="11">
        <f t="shared" si="220"/>
        <v>1912.5</v>
      </c>
      <c r="G481" s="11">
        <f t="shared" si="220"/>
        <v>0</v>
      </c>
      <c r="H481" s="11">
        <f t="shared" si="220"/>
        <v>0</v>
      </c>
      <c r="I481" s="11">
        <f t="shared" si="220"/>
        <v>1912.5</v>
      </c>
      <c r="K481" s="4"/>
    </row>
    <row r="482" spans="1:11" x14ac:dyDescent="0.2">
      <c r="A482" s="13"/>
      <c r="B482" s="2" t="s">
        <v>11</v>
      </c>
      <c r="C482" s="12">
        <f t="shared" ref="C482:I482" si="221">C476*C477</f>
        <v>0</v>
      </c>
      <c r="D482" s="12">
        <f t="shared" si="221"/>
        <v>-1350</v>
      </c>
      <c r="E482" s="12">
        <f t="shared" si="221"/>
        <v>-1350</v>
      </c>
      <c r="F482" s="12">
        <f t="shared" si="221"/>
        <v>-1350</v>
      </c>
      <c r="G482" s="12">
        <f t="shared" si="221"/>
        <v>0</v>
      </c>
      <c r="H482" s="12">
        <f t="shared" si="221"/>
        <v>0</v>
      </c>
      <c r="I482" s="12">
        <f t="shared" si="221"/>
        <v>-1350</v>
      </c>
    </row>
    <row r="483" spans="1:11" x14ac:dyDescent="0.2">
      <c r="A483" s="14"/>
      <c r="E483" s="2"/>
      <c r="G483" s="2"/>
      <c r="H483" s="2"/>
      <c r="I483" s="2"/>
    </row>
    <row r="484" spans="1:11" s="1" customFormat="1" x14ac:dyDescent="0.2">
      <c r="A484" s="13"/>
      <c r="B484" s="1" t="s">
        <v>12</v>
      </c>
      <c r="C484" s="15">
        <f t="shared" ref="C484:I484" si="222">SUM(C481:C482)</f>
        <v>0</v>
      </c>
      <c r="D484" s="15">
        <f t="shared" si="222"/>
        <v>562.5</v>
      </c>
      <c r="E484" s="15">
        <f t="shared" si="222"/>
        <v>562.5</v>
      </c>
      <c r="F484" s="15">
        <f t="shared" si="222"/>
        <v>562.5</v>
      </c>
      <c r="G484" s="15">
        <f t="shared" si="222"/>
        <v>0</v>
      </c>
      <c r="H484" s="15">
        <f t="shared" si="222"/>
        <v>0</v>
      </c>
      <c r="I484" s="15">
        <f t="shared" si="222"/>
        <v>562.5</v>
      </c>
      <c r="J484" s="8"/>
    </row>
    <row r="485" spans="1:11" x14ac:dyDescent="0.2">
      <c r="A485" s="16"/>
      <c r="B485" s="1" t="s">
        <v>27</v>
      </c>
      <c r="C485" s="15">
        <f t="shared" ref="C485:I485" si="223">C484*16</f>
        <v>0</v>
      </c>
      <c r="D485" s="15">
        <f t="shared" si="223"/>
        <v>9000</v>
      </c>
      <c r="E485" s="15">
        <f t="shared" si="223"/>
        <v>9000</v>
      </c>
      <c r="F485" s="15">
        <f t="shared" si="223"/>
        <v>9000</v>
      </c>
      <c r="G485" s="15">
        <f t="shared" si="223"/>
        <v>0</v>
      </c>
      <c r="H485" s="15">
        <f t="shared" si="223"/>
        <v>0</v>
      </c>
      <c r="I485" s="15">
        <f t="shared" si="223"/>
        <v>9000</v>
      </c>
      <c r="J485" s="3">
        <f>SUM(C485:I485)</f>
        <v>36000</v>
      </c>
    </row>
    <row r="486" spans="1:11" x14ac:dyDescent="0.2">
      <c r="A486" s="16"/>
      <c r="B486" s="1"/>
      <c r="C486" s="15"/>
      <c r="D486" s="18"/>
      <c r="E486" s="18"/>
      <c r="F486" s="18"/>
      <c r="G486" s="21"/>
      <c r="H486" s="18"/>
      <c r="I486" s="15"/>
      <c r="J486" s="3"/>
    </row>
    <row r="487" spans="1:11" x14ac:dyDescent="0.2">
      <c r="A487" s="13"/>
      <c r="B487" s="2" t="s">
        <v>82</v>
      </c>
      <c r="C487" s="11">
        <f>(C479+C482)*16</f>
        <v>0</v>
      </c>
      <c r="D487" s="11">
        <f t="shared" ref="D487:I487" si="224">(D479+D482)*16</f>
        <v>-21600</v>
      </c>
      <c r="E487" s="11">
        <f t="shared" si="224"/>
        <v>-21600</v>
      </c>
      <c r="F487" s="11">
        <f t="shared" si="224"/>
        <v>-21600</v>
      </c>
      <c r="G487" s="11">
        <f t="shared" si="224"/>
        <v>0</v>
      </c>
      <c r="H487" s="11">
        <f t="shared" si="224"/>
        <v>0</v>
      </c>
      <c r="I487" s="11">
        <f t="shared" si="224"/>
        <v>-21600</v>
      </c>
    </row>
    <row r="488" spans="1:11" x14ac:dyDescent="0.2">
      <c r="A488" s="13"/>
      <c r="B488" s="2" t="s">
        <v>83</v>
      </c>
      <c r="C488" s="11">
        <f>C480*16</f>
        <v>0</v>
      </c>
      <c r="D488" s="11">
        <f t="shared" ref="D488:I488" si="225">D480*16</f>
        <v>30600</v>
      </c>
      <c r="E488" s="11">
        <f t="shared" si="225"/>
        <v>30600</v>
      </c>
      <c r="F488" s="11">
        <f t="shared" si="225"/>
        <v>30600</v>
      </c>
      <c r="G488" s="11">
        <f t="shared" si="225"/>
        <v>0</v>
      </c>
      <c r="H488" s="11">
        <f t="shared" si="225"/>
        <v>0</v>
      </c>
      <c r="I488" s="11">
        <f t="shared" si="225"/>
        <v>30600</v>
      </c>
    </row>
    <row r="489" spans="1:11" x14ac:dyDescent="0.2">
      <c r="A489" s="13"/>
      <c r="B489" s="2" t="s">
        <v>77</v>
      </c>
      <c r="C489" s="11">
        <f t="shared" ref="C489:I489" si="226">SUM(C487:C488)</f>
        <v>0</v>
      </c>
      <c r="D489" s="11">
        <f t="shared" si="226"/>
        <v>9000</v>
      </c>
      <c r="E489" s="11">
        <f t="shared" si="226"/>
        <v>9000</v>
      </c>
      <c r="F489" s="11">
        <f t="shared" si="226"/>
        <v>9000</v>
      </c>
      <c r="G489" s="11">
        <f t="shared" si="226"/>
        <v>0</v>
      </c>
      <c r="H489" s="11">
        <f t="shared" si="226"/>
        <v>0</v>
      </c>
      <c r="I489" s="11">
        <f t="shared" si="226"/>
        <v>9000</v>
      </c>
    </row>
    <row r="490" spans="1:11" x14ac:dyDescent="0.2">
      <c r="A490" s="13"/>
    </row>
    <row r="491" spans="1:11" s="1" customFormat="1" x14ac:dyDescent="0.2">
      <c r="A491" s="1" t="s">
        <v>42</v>
      </c>
      <c r="B491" s="5" t="s">
        <v>25</v>
      </c>
      <c r="C491" s="28">
        <v>37257</v>
      </c>
      <c r="D491" s="6">
        <v>37258</v>
      </c>
      <c r="E491" s="6">
        <v>37259</v>
      </c>
      <c r="F491" s="6">
        <v>37260</v>
      </c>
      <c r="G491" s="28">
        <v>37261</v>
      </c>
      <c r="H491" s="28">
        <v>37262</v>
      </c>
      <c r="I491" s="6">
        <v>37263</v>
      </c>
      <c r="J491" s="8"/>
      <c r="K491" s="7"/>
    </row>
    <row r="492" spans="1:11" x14ac:dyDescent="0.2">
      <c r="B492" s="1" t="s">
        <v>3</v>
      </c>
      <c r="D492" s="19">
        <v>0</v>
      </c>
      <c r="E492" s="19">
        <v>0</v>
      </c>
      <c r="F492" s="19">
        <v>0</v>
      </c>
      <c r="G492" s="10"/>
      <c r="H492" s="21"/>
      <c r="I492" s="19">
        <v>0</v>
      </c>
      <c r="K492" s="4"/>
    </row>
    <row r="493" spans="1:11" x14ac:dyDescent="0.2">
      <c r="B493" s="8" t="s">
        <v>4</v>
      </c>
      <c r="C493" s="3">
        <v>0</v>
      </c>
      <c r="D493" s="10">
        <v>0</v>
      </c>
      <c r="E493" s="10">
        <v>0</v>
      </c>
      <c r="F493" s="10">
        <v>0</v>
      </c>
      <c r="G493" s="10"/>
      <c r="H493" s="21"/>
      <c r="I493" s="10">
        <v>0</v>
      </c>
      <c r="K493" s="4"/>
    </row>
    <row r="494" spans="1:11" x14ac:dyDescent="0.2">
      <c r="B494" s="1" t="s">
        <v>5</v>
      </c>
      <c r="C494" s="2">
        <v>0</v>
      </c>
      <c r="D494" s="19">
        <v>50</v>
      </c>
      <c r="E494" s="19">
        <v>50</v>
      </c>
      <c r="F494" s="19">
        <v>50</v>
      </c>
      <c r="G494" s="19">
        <v>0</v>
      </c>
      <c r="H494" s="19">
        <v>0</v>
      </c>
      <c r="I494" s="19">
        <v>50</v>
      </c>
      <c r="K494" s="4"/>
    </row>
    <row r="495" spans="1:11" x14ac:dyDescent="0.2">
      <c r="B495" s="8" t="s">
        <v>4</v>
      </c>
      <c r="C495" s="3">
        <v>0</v>
      </c>
      <c r="D495" s="10">
        <v>34.75</v>
      </c>
      <c r="E495" s="10">
        <v>34.75</v>
      </c>
      <c r="F495" s="10">
        <v>34.75</v>
      </c>
      <c r="G495" s="10">
        <v>0</v>
      </c>
      <c r="H495" s="10">
        <v>0</v>
      </c>
      <c r="I495" s="10">
        <v>34.75</v>
      </c>
      <c r="K495" s="4"/>
    </row>
    <row r="496" spans="1:11" x14ac:dyDescent="0.2">
      <c r="B496" s="7" t="s">
        <v>6</v>
      </c>
      <c r="C496" s="4">
        <f t="shared" ref="C496:I496" si="227">C492-C494</f>
        <v>0</v>
      </c>
      <c r="D496" s="4">
        <f t="shared" si="227"/>
        <v>-50</v>
      </c>
      <c r="E496" s="4">
        <f t="shared" si="227"/>
        <v>-50</v>
      </c>
      <c r="F496" s="4">
        <f t="shared" si="227"/>
        <v>-50</v>
      </c>
      <c r="G496" s="4">
        <f t="shared" si="227"/>
        <v>0</v>
      </c>
      <c r="H496" s="4">
        <f t="shared" si="227"/>
        <v>0</v>
      </c>
      <c r="I496" s="4">
        <f t="shared" si="227"/>
        <v>-50</v>
      </c>
      <c r="K496" s="4"/>
    </row>
    <row r="497" spans="1:11" x14ac:dyDescent="0.2">
      <c r="B497" s="9" t="s">
        <v>7</v>
      </c>
      <c r="C497" s="10">
        <v>20</v>
      </c>
      <c r="D497" s="29">
        <v>27</v>
      </c>
      <c r="E497" s="29">
        <v>27</v>
      </c>
      <c r="F497" s="29">
        <v>27</v>
      </c>
      <c r="G497" s="10">
        <v>20</v>
      </c>
      <c r="H497" s="10">
        <v>20</v>
      </c>
      <c r="I497" s="29">
        <v>27</v>
      </c>
      <c r="K497" s="4"/>
    </row>
    <row r="498" spans="1:11" x14ac:dyDescent="0.2">
      <c r="B498" s="9"/>
      <c r="C498" s="11"/>
      <c r="D498" s="19"/>
      <c r="E498" s="19"/>
      <c r="F498" s="10"/>
      <c r="G498" s="10"/>
      <c r="H498" s="21"/>
      <c r="K498" s="4"/>
    </row>
    <row r="499" spans="1:11" x14ac:dyDescent="0.2">
      <c r="B499" s="9" t="s">
        <v>8</v>
      </c>
      <c r="C499" s="12">
        <f t="shared" ref="C499:I499" si="228">(C492*C493)*(-1)</f>
        <v>0</v>
      </c>
      <c r="D499" s="12">
        <f t="shared" si="228"/>
        <v>0</v>
      </c>
      <c r="E499" s="12">
        <f t="shared" si="228"/>
        <v>0</v>
      </c>
      <c r="F499" s="12">
        <f t="shared" si="228"/>
        <v>0</v>
      </c>
      <c r="G499" s="12">
        <f t="shared" si="228"/>
        <v>0</v>
      </c>
      <c r="H499" s="12">
        <f t="shared" si="228"/>
        <v>0</v>
      </c>
      <c r="I499" s="12">
        <f t="shared" si="228"/>
        <v>0</v>
      </c>
      <c r="K499" s="4"/>
    </row>
    <row r="500" spans="1:11" x14ac:dyDescent="0.2">
      <c r="B500" s="9" t="s">
        <v>9</v>
      </c>
      <c r="C500" s="11">
        <f t="shared" ref="C500:I500" si="229">C494*C495</f>
        <v>0</v>
      </c>
      <c r="D500" s="11">
        <f t="shared" si="229"/>
        <v>1737.5</v>
      </c>
      <c r="E500" s="11">
        <f t="shared" si="229"/>
        <v>1737.5</v>
      </c>
      <c r="F500" s="11">
        <f t="shared" si="229"/>
        <v>1737.5</v>
      </c>
      <c r="G500" s="11">
        <f t="shared" si="229"/>
        <v>0</v>
      </c>
      <c r="H500" s="11">
        <f t="shared" si="229"/>
        <v>0</v>
      </c>
      <c r="I500" s="11">
        <f t="shared" si="229"/>
        <v>1737.5</v>
      </c>
      <c r="K500" s="4"/>
    </row>
    <row r="501" spans="1:11" x14ac:dyDescent="0.2">
      <c r="B501" s="7" t="s">
        <v>10</v>
      </c>
      <c r="C501" s="11">
        <f t="shared" ref="C501:I501" si="230">SUM(C499:C500)</f>
        <v>0</v>
      </c>
      <c r="D501" s="11">
        <f t="shared" si="230"/>
        <v>1737.5</v>
      </c>
      <c r="E501" s="11">
        <f t="shared" si="230"/>
        <v>1737.5</v>
      </c>
      <c r="F501" s="11">
        <f t="shared" si="230"/>
        <v>1737.5</v>
      </c>
      <c r="G501" s="11">
        <f t="shared" si="230"/>
        <v>0</v>
      </c>
      <c r="H501" s="11">
        <f t="shared" si="230"/>
        <v>0</v>
      </c>
      <c r="I501" s="11">
        <f t="shared" si="230"/>
        <v>1737.5</v>
      </c>
      <c r="K501" s="4"/>
    </row>
    <row r="502" spans="1:11" x14ac:dyDescent="0.2">
      <c r="A502" s="13"/>
      <c r="B502" s="2" t="s">
        <v>11</v>
      </c>
      <c r="C502" s="12">
        <f t="shared" ref="C502:I502" si="231">C496*C497</f>
        <v>0</v>
      </c>
      <c r="D502" s="12">
        <f t="shared" si="231"/>
        <v>-1350</v>
      </c>
      <c r="E502" s="12">
        <f t="shared" si="231"/>
        <v>-1350</v>
      </c>
      <c r="F502" s="12">
        <f t="shared" si="231"/>
        <v>-1350</v>
      </c>
      <c r="G502" s="12">
        <f t="shared" si="231"/>
        <v>0</v>
      </c>
      <c r="H502" s="12">
        <f t="shared" si="231"/>
        <v>0</v>
      </c>
      <c r="I502" s="12">
        <f t="shared" si="231"/>
        <v>-1350</v>
      </c>
    </row>
    <row r="503" spans="1:11" x14ac:dyDescent="0.2">
      <c r="A503" s="14"/>
      <c r="E503" s="2"/>
      <c r="G503" s="2"/>
      <c r="H503" s="2"/>
      <c r="I503" s="2"/>
    </row>
    <row r="504" spans="1:11" s="1" customFormat="1" x14ac:dyDescent="0.2">
      <c r="A504" s="13"/>
      <c r="B504" s="1" t="s">
        <v>12</v>
      </c>
      <c r="C504" s="15">
        <f t="shared" ref="C504:I504" si="232">SUM(C501:C502)</f>
        <v>0</v>
      </c>
      <c r="D504" s="15">
        <f t="shared" si="232"/>
        <v>387.5</v>
      </c>
      <c r="E504" s="15">
        <f t="shared" si="232"/>
        <v>387.5</v>
      </c>
      <c r="F504" s="15">
        <f t="shared" si="232"/>
        <v>387.5</v>
      </c>
      <c r="G504" s="15">
        <f t="shared" si="232"/>
        <v>0</v>
      </c>
      <c r="H504" s="15">
        <f t="shared" si="232"/>
        <v>0</v>
      </c>
      <c r="I504" s="15">
        <f t="shared" si="232"/>
        <v>387.5</v>
      </c>
      <c r="J504" s="8"/>
    </row>
    <row r="505" spans="1:11" x14ac:dyDescent="0.2">
      <c r="A505" s="16"/>
      <c r="B505" s="1" t="s">
        <v>27</v>
      </c>
      <c r="C505" s="15">
        <f t="shared" ref="C505:I505" si="233">C504*16</f>
        <v>0</v>
      </c>
      <c r="D505" s="15">
        <f t="shared" si="233"/>
        <v>6200</v>
      </c>
      <c r="E505" s="15">
        <f t="shared" si="233"/>
        <v>6200</v>
      </c>
      <c r="F505" s="15">
        <f t="shared" si="233"/>
        <v>6200</v>
      </c>
      <c r="G505" s="15">
        <f t="shared" si="233"/>
        <v>0</v>
      </c>
      <c r="H505" s="15">
        <f t="shared" si="233"/>
        <v>0</v>
      </c>
      <c r="I505" s="15">
        <f t="shared" si="233"/>
        <v>6200</v>
      </c>
      <c r="J505" s="3">
        <f>SUM(C505:I505)</f>
        <v>24800</v>
      </c>
    </row>
    <row r="506" spans="1:11" x14ac:dyDescent="0.2">
      <c r="A506" s="16"/>
      <c r="B506" s="1"/>
      <c r="C506" s="15"/>
      <c r="D506" s="18"/>
      <c r="E506" s="18"/>
      <c r="F506" s="18"/>
      <c r="G506" s="21"/>
      <c r="H506" s="18"/>
      <c r="I506" s="15"/>
      <c r="J506" s="3"/>
    </row>
    <row r="507" spans="1:11" x14ac:dyDescent="0.2">
      <c r="A507" s="13"/>
      <c r="B507" s="2" t="s">
        <v>82</v>
      </c>
      <c r="C507" s="11">
        <f>(C499+C502)*16</f>
        <v>0</v>
      </c>
      <c r="D507" s="11">
        <f t="shared" ref="D507:I507" si="234">(D499+D502)*16</f>
        <v>-21600</v>
      </c>
      <c r="E507" s="11">
        <f t="shared" si="234"/>
        <v>-21600</v>
      </c>
      <c r="F507" s="11">
        <f t="shared" si="234"/>
        <v>-21600</v>
      </c>
      <c r="G507" s="11">
        <f t="shared" si="234"/>
        <v>0</v>
      </c>
      <c r="H507" s="11">
        <f t="shared" si="234"/>
        <v>0</v>
      </c>
      <c r="I507" s="11">
        <f t="shared" si="234"/>
        <v>-21600</v>
      </c>
    </row>
    <row r="508" spans="1:11" x14ac:dyDescent="0.2">
      <c r="A508" s="13"/>
      <c r="B508" s="2" t="s">
        <v>83</v>
      </c>
      <c r="C508" s="11">
        <f>C500*16</f>
        <v>0</v>
      </c>
      <c r="D508" s="11">
        <f t="shared" ref="D508:I508" si="235">D500*16</f>
        <v>27800</v>
      </c>
      <c r="E508" s="11">
        <f t="shared" si="235"/>
        <v>27800</v>
      </c>
      <c r="F508" s="11">
        <f t="shared" si="235"/>
        <v>27800</v>
      </c>
      <c r="G508" s="11">
        <f t="shared" si="235"/>
        <v>0</v>
      </c>
      <c r="H508" s="11">
        <f t="shared" si="235"/>
        <v>0</v>
      </c>
      <c r="I508" s="11">
        <f t="shared" si="235"/>
        <v>27800</v>
      </c>
    </row>
    <row r="509" spans="1:11" x14ac:dyDescent="0.2">
      <c r="A509" s="13"/>
      <c r="B509" s="2" t="s">
        <v>77</v>
      </c>
      <c r="C509" s="11">
        <f t="shared" ref="C509:I509" si="236">SUM(C507:C508)</f>
        <v>0</v>
      </c>
      <c r="D509" s="11">
        <f t="shared" si="236"/>
        <v>6200</v>
      </c>
      <c r="E509" s="11">
        <f t="shared" si="236"/>
        <v>6200</v>
      </c>
      <c r="F509" s="11">
        <f t="shared" si="236"/>
        <v>6200</v>
      </c>
      <c r="G509" s="11">
        <f t="shared" si="236"/>
        <v>0</v>
      </c>
      <c r="H509" s="11">
        <f t="shared" si="236"/>
        <v>0</v>
      </c>
      <c r="I509" s="11">
        <f t="shared" si="236"/>
        <v>6200</v>
      </c>
    </row>
    <row r="510" spans="1:11" x14ac:dyDescent="0.2">
      <c r="A510" s="13"/>
    </row>
    <row r="511" spans="1:11" s="1" customFormat="1" x14ac:dyDescent="0.2">
      <c r="A511" s="1" t="s">
        <v>43</v>
      </c>
      <c r="B511" s="5" t="s">
        <v>19</v>
      </c>
      <c r="C511" s="28">
        <v>37257</v>
      </c>
      <c r="D511" s="6">
        <v>37258</v>
      </c>
      <c r="E511" s="6">
        <v>37259</v>
      </c>
      <c r="F511" s="6">
        <v>37260</v>
      </c>
      <c r="G511" s="28">
        <v>37261</v>
      </c>
      <c r="H511" s="28">
        <v>37262</v>
      </c>
      <c r="I511" s="6">
        <v>37263</v>
      </c>
      <c r="J511" s="8"/>
      <c r="K511" s="7"/>
    </row>
    <row r="512" spans="1:11" x14ac:dyDescent="0.2">
      <c r="B512" s="1" t="s">
        <v>3</v>
      </c>
      <c r="D512" s="19">
        <v>300</v>
      </c>
      <c r="E512" s="19">
        <v>300</v>
      </c>
      <c r="F512" s="19">
        <v>300</v>
      </c>
      <c r="G512" s="10"/>
      <c r="H512" s="21"/>
      <c r="I512" s="19">
        <v>300</v>
      </c>
      <c r="K512" s="4"/>
    </row>
    <row r="513" spans="1:11" x14ac:dyDescent="0.2">
      <c r="B513" s="8" t="s">
        <v>4</v>
      </c>
      <c r="C513" s="3">
        <v>0</v>
      </c>
      <c r="D513" s="10">
        <v>46.96</v>
      </c>
      <c r="E513" s="10">
        <v>46.96</v>
      </c>
      <c r="F513" s="10">
        <v>46.96</v>
      </c>
      <c r="G513" s="10"/>
      <c r="H513" s="21"/>
      <c r="I513" s="10">
        <v>46.96</v>
      </c>
      <c r="K513" s="4"/>
    </row>
    <row r="514" spans="1:11" x14ac:dyDescent="0.2">
      <c r="B514" s="1" t="s">
        <v>5</v>
      </c>
      <c r="C514" s="2">
        <v>0</v>
      </c>
      <c r="D514" s="19">
        <v>150</v>
      </c>
      <c r="E514" s="19">
        <v>150</v>
      </c>
      <c r="F514" s="19">
        <v>150</v>
      </c>
      <c r="G514" s="19">
        <v>0</v>
      </c>
      <c r="H514" s="19">
        <v>0</v>
      </c>
      <c r="I514" s="19">
        <v>150</v>
      </c>
      <c r="K514" s="4"/>
    </row>
    <row r="515" spans="1:11" x14ac:dyDescent="0.2">
      <c r="B515" s="8" t="s">
        <v>4</v>
      </c>
      <c r="C515" s="3">
        <v>0</v>
      </c>
      <c r="D515" s="10">
        <v>45.08</v>
      </c>
      <c r="E515" s="10">
        <v>45.08</v>
      </c>
      <c r="F515" s="10">
        <v>45.08</v>
      </c>
      <c r="G515" s="10">
        <v>0</v>
      </c>
      <c r="H515" s="10">
        <v>0</v>
      </c>
      <c r="I515" s="10">
        <v>45.08</v>
      </c>
      <c r="K515" s="4"/>
    </row>
    <row r="516" spans="1:11" x14ac:dyDescent="0.2">
      <c r="B516" s="7" t="s">
        <v>6</v>
      </c>
      <c r="C516" s="4">
        <f t="shared" ref="C516:I516" si="237">C512-C514</f>
        <v>0</v>
      </c>
      <c r="D516" s="4">
        <f t="shared" si="237"/>
        <v>150</v>
      </c>
      <c r="E516" s="4">
        <f t="shared" si="237"/>
        <v>150</v>
      </c>
      <c r="F516" s="4">
        <f t="shared" si="237"/>
        <v>150</v>
      </c>
      <c r="G516" s="4">
        <f t="shared" si="237"/>
        <v>0</v>
      </c>
      <c r="H516" s="4">
        <f t="shared" si="237"/>
        <v>0</v>
      </c>
      <c r="I516" s="4">
        <f t="shared" si="237"/>
        <v>150</v>
      </c>
      <c r="K516" s="4"/>
    </row>
    <row r="517" spans="1:11" x14ac:dyDescent="0.2">
      <c r="B517" s="9" t="s">
        <v>7</v>
      </c>
      <c r="C517" s="10">
        <v>30</v>
      </c>
      <c r="D517" s="29">
        <v>40</v>
      </c>
      <c r="E517" s="29">
        <v>40</v>
      </c>
      <c r="F517" s="29">
        <v>40</v>
      </c>
      <c r="G517" s="10">
        <v>30</v>
      </c>
      <c r="H517" s="10">
        <v>30</v>
      </c>
      <c r="I517" s="29">
        <v>40</v>
      </c>
      <c r="K517" s="4"/>
    </row>
    <row r="518" spans="1:11" x14ac:dyDescent="0.2">
      <c r="B518" s="9"/>
      <c r="C518" s="11"/>
      <c r="D518" s="19"/>
      <c r="E518" s="19"/>
      <c r="F518" s="10"/>
      <c r="G518" s="10"/>
      <c r="H518" s="21"/>
      <c r="K518" s="4"/>
    </row>
    <row r="519" spans="1:11" x14ac:dyDescent="0.2">
      <c r="B519" s="9" t="s">
        <v>8</v>
      </c>
      <c r="C519" s="12">
        <f t="shared" ref="C519:I519" si="238">(C512*C513)*(-1)</f>
        <v>0</v>
      </c>
      <c r="D519" s="12">
        <f t="shared" si="238"/>
        <v>-14088</v>
      </c>
      <c r="E519" s="12">
        <f t="shared" si="238"/>
        <v>-14088</v>
      </c>
      <c r="F519" s="12">
        <f t="shared" si="238"/>
        <v>-14088</v>
      </c>
      <c r="G519" s="12">
        <f t="shared" si="238"/>
        <v>0</v>
      </c>
      <c r="H519" s="12">
        <f t="shared" si="238"/>
        <v>0</v>
      </c>
      <c r="I519" s="12">
        <f t="shared" si="238"/>
        <v>-14088</v>
      </c>
      <c r="K519" s="4"/>
    </row>
    <row r="520" spans="1:11" x14ac:dyDescent="0.2">
      <c r="B520" s="9" t="s">
        <v>9</v>
      </c>
      <c r="C520" s="11">
        <f t="shared" ref="C520:I520" si="239">C514*C515</f>
        <v>0</v>
      </c>
      <c r="D520" s="11">
        <f t="shared" si="239"/>
        <v>6762</v>
      </c>
      <c r="E520" s="11">
        <f t="shared" si="239"/>
        <v>6762</v>
      </c>
      <c r="F520" s="11">
        <f t="shared" si="239"/>
        <v>6762</v>
      </c>
      <c r="G520" s="11">
        <f t="shared" si="239"/>
        <v>0</v>
      </c>
      <c r="H520" s="11">
        <f t="shared" si="239"/>
        <v>0</v>
      </c>
      <c r="I520" s="11">
        <f t="shared" si="239"/>
        <v>6762</v>
      </c>
      <c r="K520" s="4"/>
    </row>
    <row r="521" spans="1:11" x14ac:dyDescent="0.2">
      <c r="B521" s="7" t="s">
        <v>10</v>
      </c>
      <c r="C521" s="11">
        <f t="shared" ref="C521:I521" si="240">SUM(C519:C520)</f>
        <v>0</v>
      </c>
      <c r="D521" s="11">
        <f t="shared" si="240"/>
        <v>-7326</v>
      </c>
      <c r="E521" s="11">
        <f t="shared" si="240"/>
        <v>-7326</v>
      </c>
      <c r="F521" s="11">
        <f t="shared" si="240"/>
        <v>-7326</v>
      </c>
      <c r="G521" s="11">
        <f t="shared" si="240"/>
        <v>0</v>
      </c>
      <c r="H521" s="11">
        <f t="shared" si="240"/>
        <v>0</v>
      </c>
      <c r="I521" s="11">
        <f t="shared" si="240"/>
        <v>-7326</v>
      </c>
      <c r="K521" s="4"/>
    </row>
    <row r="522" spans="1:11" x14ac:dyDescent="0.2">
      <c r="A522" s="13"/>
      <c r="B522" s="2" t="s">
        <v>11</v>
      </c>
      <c r="C522" s="12">
        <f t="shared" ref="C522:I522" si="241">C516*C517</f>
        <v>0</v>
      </c>
      <c r="D522" s="12">
        <f t="shared" si="241"/>
        <v>6000</v>
      </c>
      <c r="E522" s="12">
        <f t="shared" si="241"/>
        <v>6000</v>
      </c>
      <c r="F522" s="12">
        <f t="shared" si="241"/>
        <v>6000</v>
      </c>
      <c r="G522" s="12">
        <f t="shared" si="241"/>
        <v>0</v>
      </c>
      <c r="H522" s="12">
        <f t="shared" si="241"/>
        <v>0</v>
      </c>
      <c r="I522" s="12">
        <f t="shared" si="241"/>
        <v>6000</v>
      </c>
    </row>
    <row r="523" spans="1:11" x14ac:dyDescent="0.2">
      <c r="A523" s="14"/>
      <c r="E523" s="2"/>
      <c r="G523" s="2"/>
      <c r="H523" s="2"/>
      <c r="I523" s="2"/>
    </row>
    <row r="524" spans="1:11" s="1" customFormat="1" x14ac:dyDescent="0.2">
      <c r="A524" s="13"/>
      <c r="B524" s="1" t="s">
        <v>12</v>
      </c>
      <c r="C524" s="15">
        <f t="shared" ref="C524:I524" si="242">SUM(C521:C522)</f>
        <v>0</v>
      </c>
      <c r="D524" s="15">
        <f t="shared" si="242"/>
        <v>-1326</v>
      </c>
      <c r="E524" s="15">
        <f t="shared" si="242"/>
        <v>-1326</v>
      </c>
      <c r="F524" s="15">
        <f t="shared" si="242"/>
        <v>-1326</v>
      </c>
      <c r="G524" s="15">
        <f t="shared" si="242"/>
        <v>0</v>
      </c>
      <c r="H524" s="15">
        <f t="shared" si="242"/>
        <v>0</v>
      </c>
      <c r="I524" s="15">
        <f t="shared" si="242"/>
        <v>-1326</v>
      </c>
      <c r="J524" s="8"/>
    </row>
    <row r="525" spans="1:11" x14ac:dyDescent="0.2">
      <c r="A525" s="16"/>
      <c r="B525" s="1" t="s">
        <v>27</v>
      </c>
      <c r="C525" s="15">
        <f t="shared" ref="C525:I525" si="243">C524*16</f>
        <v>0</v>
      </c>
      <c r="D525" s="15">
        <f t="shared" si="243"/>
        <v>-21216</v>
      </c>
      <c r="E525" s="15">
        <f t="shared" si="243"/>
        <v>-21216</v>
      </c>
      <c r="F525" s="15">
        <f t="shared" si="243"/>
        <v>-21216</v>
      </c>
      <c r="G525" s="15">
        <f t="shared" si="243"/>
        <v>0</v>
      </c>
      <c r="H525" s="15">
        <f t="shared" si="243"/>
        <v>0</v>
      </c>
      <c r="I525" s="15">
        <f t="shared" si="243"/>
        <v>-21216</v>
      </c>
      <c r="J525" s="3">
        <f>SUM(C525:I525)</f>
        <v>-84864</v>
      </c>
    </row>
    <row r="526" spans="1:11" x14ac:dyDescent="0.2">
      <c r="A526" s="16"/>
      <c r="B526" s="1"/>
      <c r="C526" s="15"/>
      <c r="D526" s="18"/>
      <c r="E526" s="18"/>
      <c r="F526" s="18"/>
      <c r="G526" s="21"/>
      <c r="H526" s="18"/>
      <c r="I526" s="15"/>
      <c r="J526" s="3"/>
    </row>
    <row r="527" spans="1:11" x14ac:dyDescent="0.2">
      <c r="A527" s="13"/>
      <c r="B527" s="2" t="s">
        <v>82</v>
      </c>
      <c r="C527" s="11">
        <f>(C519+C522)*16</f>
        <v>0</v>
      </c>
      <c r="D527" s="11">
        <f t="shared" ref="D527:I527" si="244">(D519+D522)*16</f>
        <v>-129408</v>
      </c>
      <c r="E527" s="11">
        <f t="shared" si="244"/>
        <v>-129408</v>
      </c>
      <c r="F527" s="11">
        <f t="shared" si="244"/>
        <v>-129408</v>
      </c>
      <c r="G527" s="11">
        <f t="shared" si="244"/>
        <v>0</v>
      </c>
      <c r="H527" s="11">
        <f t="shared" si="244"/>
        <v>0</v>
      </c>
      <c r="I527" s="11">
        <f t="shared" si="244"/>
        <v>-129408</v>
      </c>
    </row>
    <row r="528" spans="1:11" x14ac:dyDescent="0.2">
      <c r="A528" s="13"/>
      <c r="B528" s="2" t="s">
        <v>83</v>
      </c>
      <c r="C528" s="11">
        <f>C520*16</f>
        <v>0</v>
      </c>
      <c r="D528" s="11">
        <f t="shared" ref="D528:I528" si="245">D520*16</f>
        <v>108192</v>
      </c>
      <c r="E528" s="11">
        <f t="shared" si="245"/>
        <v>108192</v>
      </c>
      <c r="F528" s="11">
        <f t="shared" si="245"/>
        <v>108192</v>
      </c>
      <c r="G528" s="11">
        <f t="shared" si="245"/>
        <v>0</v>
      </c>
      <c r="H528" s="11">
        <f t="shared" si="245"/>
        <v>0</v>
      </c>
      <c r="I528" s="11">
        <f t="shared" si="245"/>
        <v>108192</v>
      </c>
    </row>
    <row r="529" spans="1:11" x14ac:dyDescent="0.2">
      <c r="A529" s="13"/>
      <c r="B529" s="2" t="s">
        <v>77</v>
      </c>
      <c r="C529" s="11">
        <f t="shared" ref="C529:I529" si="246">SUM(C527:C528)</f>
        <v>0</v>
      </c>
      <c r="D529" s="11">
        <f t="shared" si="246"/>
        <v>-21216</v>
      </c>
      <c r="E529" s="11">
        <f t="shared" si="246"/>
        <v>-21216</v>
      </c>
      <c r="F529" s="11">
        <f t="shared" si="246"/>
        <v>-21216</v>
      </c>
      <c r="G529" s="11">
        <f t="shared" si="246"/>
        <v>0</v>
      </c>
      <c r="H529" s="11">
        <f t="shared" si="246"/>
        <v>0</v>
      </c>
      <c r="I529" s="11">
        <f t="shared" si="246"/>
        <v>-21216</v>
      </c>
    </row>
    <row r="530" spans="1:11" x14ac:dyDescent="0.2">
      <c r="A530" s="13"/>
    </row>
    <row r="531" spans="1:11" s="1" customFormat="1" x14ac:dyDescent="0.2">
      <c r="A531" s="1" t="s">
        <v>43</v>
      </c>
      <c r="B531" s="5" t="s">
        <v>2</v>
      </c>
      <c r="C531" s="28">
        <v>37257</v>
      </c>
      <c r="D531" s="6">
        <v>37258</v>
      </c>
      <c r="E531" s="6">
        <v>37259</v>
      </c>
      <c r="F531" s="6">
        <v>37260</v>
      </c>
      <c r="G531" s="28">
        <v>37261</v>
      </c>
      <c r="H531" s="28">
        <v>37262</v>
      </c>
      <c r="I531" s="6">
        <v>37263</v>
      </c>
      <c r="J531" s="8"/>
      <c r="K531" s="7"/>
    </row>
    <row r="532" spans="1:11" x14ac:dyDescent="0.2">
      <c r="B532" s="1" t="s">
        <v>3</v>
      </c>
      <c r="C532" s="2">
        <v>50</v>
      </c>
      <c r="D532" s="19">
        <v>600</v>
      </c>
      <c r="E532" s="19">
        <v>600</v>
      </c>
      <c r="F532" s="19">
        <v>600</v>
      </c>
      <c r="G532" s="2">
        <v>50</v>
      </c>
      <c r="H532" s="2">
        <v>50</v>
      </c>
      <c r="I532" s="19">
        <v>600</v>
      </c>
      <c r="K532" s="4"/>
    </row>
    <row r="533" spans="1:11" x14ac:dyDescent="0.2">
      <c r="B533" s="8" t="s">
        <v>4</v>
      </c>
      <c r="C533" s="3">
        <v>24</v>
      </c>
      <c r="D533" s="10">
        <v>39.43</v>
      </c>
      <c r="E533" s="10">
        <v>39.43</v>
      </c>
      <c r="F533" s="10">
        <v>39.43</v>
      </c>
      <c r="G533" s="3">
        <v>24</v>
      </c>
      <c r="H533" s="3">
        <v>24</v>
      </c>
      <c r="I533" s="10">
        <v>39.43</v>
      </c>
      <c r="K533" s="4"/>
    </row>
    <row r="534" spans="1:11" x14ac:dyDescent="0.2">
      <c r="B534" s="1" t="s">
        <v>5</v>
      </c>
      <c r="C534" s="2">
        <v>0</v>
      </c>
      <c r="D534" s="19">
        <v>250</v>
      </c>
      <c r="E534" s="19">
        <v>250</v>
      </c>
      <c r="F534" s="19">
        <v>250</v>
      </c>
      <c r="G534" s="19">
        <v>0</v>
      </c>
      <c r="H534" s="19">
        <v>0</v>
      </c>
      <c r="I534" s="19">
        <v>250</v>
      </c>
      <c r="K534" s="4"/>
    </row>
    <row r="535" spans="1:11" x14ac:dyDescent="0.2">
      <c r="B535" s="8" t="s">
        <v>4</v>
      </c>
      <c r="C535" s="3">
        <v>0</v>
      </c>
      <c r="D535" s="10">
        <v>41.79</v>
      </c>
      <c r="E535" s="10">
        <v>41.79</v>
      </c>
      <c r="F535" s="10">
        <v>41.79</v>
      </c>
      <c r="G535" s="3">
        <v>0</v>
      </c>
      <c r="H535" s="3">
        <v>0</v>
      </c>
      <c r="I535" s="10">
        <v>41.79</v>
      </c>
      <c r="K535" s="4"/>
    </row>
    <row r="536" spans="1:11" x14ac:dyDescent="0.2">
      <c r="B536" s="7" t="s">
        <v>6</v>
      </c>
      <c r="C536" s="4">
        <f t="shared" ref="C536:I536" si="247">C532-C534</f>
        <v>50</v>
      </c>
      <c r="D536" s="4">
        <f t="shared" si="247"/>
        <v>350</v>
      </c>
      <c r="E536" s="4">
        <f t="shared" si="247"/>
        <v>350</v>
      </c>
      <c r="F536" s="4">
        <f t="shared" si="247"/>
        <v>350</v>
      </c>
      <c r="G536" s="4">
        <f t="shared" si="247"/>
        <v>50</v>
      </c>
      <c r="H536" s="4">
        <f t="shared" si="247"/>
        <v>50</v>
      </c>
      <c r="I536" s="4">
        <f t="shared" si="247"/>
        <v>350</v>
      </c>
      <c r="K536" s="4"/>
    </row>
    <row r="537" spans="1:11" x14ac:dyDescent="0.2">
      <c r="B537" s="9" t="s">
        <v>7</v>
      </c>
      <c r="C537" s="10">
        <v>22</v>
      </c>
      <c r="D537" s="29">
        <v>28</v>
      </c>
      <c r="E537" s="29">
        <v>28</v>
      </c>
      <c r="F537" s="29">
        <v>28</v>
      </c>
      <c r="G537" s="10">
        <v>22</v>
      </c>
      <c r="H537" s="10">
        <v>22</v>
      </c>
      <c r="I537" s="29">
        <v>28</v>
      </c>
      <c r="K537" s="4"/>
    </row>
    <row r="538" spans="1:11" x14ac:dyDescent="0.2">
      <c r="B538" s="9"/>
      <c r="C538" s="11"/>
      <c r="D538" s="19"/>
      <c r="E538" s="19"/>
      <c r="F538" s="19"/>
      <c r="G538" s="19"/>
      <c r="H538" s="19"/>
      <c r="I538" s="19"/>
      <c r="K538" s="4"/>
    </row>
    <row r="539" spans="1:11" x14ac:dyDescent="0.2">
      <c r="B539" s="9" t="s">
        <v>8</v>
      </c>
      <c r="C539" s="12">
        <f t="shared" ref="C539:I539" si="248">(C532*C533)*(-1)</f>
        <v>-1200</v>
      </c>
      <c r="D539" s="12">
        <f t="shared" si="248"/>
        <v>-23658</v>
      </c>
      <c r="E539" s="12">
        <f t="shared" si="248"/>
        <v>-23658</v>
      </c>
      <c r="F539" s="12">
        <f t="shared" si="248"/>
        <v>-23658</v>
      </c>
      <c r="G539" s="12">
        <f t="shared" si="248"/>
        <v>-1200</v>
      </c>
      <c r="H539" s="12">
        <f t="shared" si="248"/>
        <v>-1200</v>
      </c>
      <c r="I539" s="12">
        <f t="shared" si="248"/>
        <v>-23658</v>
      </c>
      <c r="K539" s="4"/>
    </row>
    <row r="540" spans="1:11" x14ac:dyDescent="0.2">
      <c r="B540" s="9" t="s">
        <v>9</v>
      </c>
      <c r="C540" s="11">
        <f t="shared" ref="C540:I540" si="249">C534*C535</f>
        <v>0</v>
      </c>
      <c r="D540" s="11">
        <f t="shared" si="249"/>
        <v>10447.5</v>
      </c>
      <c r="E540" s="11">
        <f t="shared" si="249"/>
        <v>10447.5</v>
      </c>
      <c r="F540" s="11">
        <f t="shared" si="249"/>
        <v>10447.5</v>
      </c>
      <c r="G540" s="11">
        <f t="shared" si="249"/>
        <v>0</v>
      </c>
      <c r="H540" s="11">
        <f t="shared" si="249"/>
        <v>0</v>
      </c>
      <c r="I540" s="11">
        <f t="shared" si="249"/>
        <v>10447.5</v>
      </c>
      <c r="K540" s="4"/>
    </row>
    <row r="541" spans="1:11" x14ac:dyDescent="0.2">
      <c r="B541" s="7" t="s">
        <v>10</v>
      </c>
      <c r="C541" s="11">
        <f t="shared" ref="C541:I541" si="250">SUM(C539:C540)</f>
        <v>-1200</v>
      </c>
      <c r="D541" s="11">
        <f t="shared" si="250"/>
        <v>-13210.5</v>
      </c>
      <c r="E541" s="11">
        <f t="shared" si="250"/>
        <v>-13210.5</v>
      </c>
      <c r="F541" s="11">
        <f t="shared" si="250"/>
        <v>-13210.5</v>
      </c>
      <c r="G541" s="11">
        <f t="shared" si="250"/>
        <v>-1200</v>
      </c>
      <c r="H541" s="11">
        <f t="shared" si="250"/>
        <v>-1200</v>
      </c>
      <c r="I541" s="11">
        <f t="shared" si="250"/>
        <v>-13210.5</v>
      </c>
      <c r="K541" s="4"/>
    </row>
    <row r="542" spans="1:11" x14ac:dyDescent="0.2">
      <c r="A542" s="13"/>
      <c r="B542" s="2" t="s">
        <v>11</v>
      </c>
      <c r="C542" s="12">
        <f t="shared" ref="C542:I542" si="251">C536*C537</f>
        <v>1100</v>
      </c>
      <c r="D542" s="12">
        <f t="shared" si="251"/>
        <v>9800</v>
      </c>
      <c r="E542" s="12">
        <f t="shared" si="251"/>
        <v>9800</v>
      </c>
      <c r="F542" s="12">
        <f t="shared" si="251"/>
        <v>9800</v>
      </c>
      <c r="G542" s="12">
        <f t="shared" si="251"/>
        <v>1100</v>
      </c>
      <c r="H542" s="12">
        <f t="shared" si="251"/>
        <v>1100</v>
      </c>
      <c r="I542" s="12">
        <f t="shared" si="251"/>
        <v>9800</v>
      </c>
    </row>
    <row r="543" spans="1:11" x14ac:dyDescent="0.2">
      <c r="A543" s="14"/>
      <c r="E543" s="2"/>
      <c r="G543" s="2"/>
      <c r="H543" s="2"/>
      <c r="I543" s="2"/>
    </row>
    <row r="544" spans="1:11" s="1" customFormat="1" x14ac:dyDescent="0.2">
      <c r="A544" s="13"/>
      <c r="B544" s="1" t="s">
        <v>12</v>
      </c>
      <c r="C544" s="15">
        <f t="shared" ref="C544:I544" si="252">SUM(C541:C542)</f>
        <v>-100</v>
      </c>
      <c r="D544" s="15">
        <f t="shared" si="252"/>
        <v>-3410.5</v>
      </c>
      <c r="E544" s="15">
        <f t="shared" si="252"/>
        <v>-3410.5</v>
      </c>
      <c r="F544" s="15">
        <f t="shared" si="252"/>
        <v>-3410.5</v>
      </c>
      <c r="G544" s="15">
        <f t="shared" si="252"/>
        <v>-100</v>
      </c>
      <c r="H544" s="15">
        <f t="shared" si="252"/>
        <v>-100</v>
      </c>
      <c r="I544" s="15">
        <f t="shared" si="252"/>
        <v>-3410.5</v>
      </c>
      <c r="J544" s="8"/>
    </row>
    <row r="545" spans="1:11" x14ac:dyDescent="0.2">
      <c r="A545" s="16"/>
      <c r="B545" s="1" t="s">
        <v>27</v>
      </c>
      <c r="C545" s="15">
        <f t="shared" ref="C545:I545" si="253">C544*16</f>
        <v>-1600</v>
      </c>
      <c r="D545" s="15">
        <f t="shared" si="253"/>
        <v>-54568</v>
      </c>
      <c r="E545" s="15">
        <f t="shared" si="253"/>
        <v>-54568</v>
      </c>
      <c r="F545" s="15">
        <f t="shared" si="253"/>
        <v>-54568</v>
      </c>
      <c r="G545" s="15">
        <f t="shared" si="253"/>
        <v>-1600</v>
      </c>
      <c r="H545" s="15">
        <f t="shared" si="253"/>
        <v>-1600</v>
      </c>
      <c r="I545" s="15">
        <f t="shared" si="253"/>
        <v>-54568</v>
      </c>
      <c r="J545" s="3">
        <f>SUM(C545:I545)</f>
        <v>-223072</v>
      </c>
    </row>
    <row r="546" spans="1:11" x14ac:dyDescent="0.2">
      <c r="A546" s="16"/>
      <c r="B546" s="1"/>
      <c r="C546" s="15"/>
      <c r="D546" s="18"/>
      <c r="E546" s="18"/>
      <c r="F546" s="18"/>
      <c r="G546" s="21"/>
      <c r="H546" s="18"/>
      <c r="I546" s="15"/>
      <c r="J546" s="3"/>
    </row>
    <row r="547" spans="1:11" x14ac:dyDescent="0.2">
      <c r="A547" s="13"/>
      <c r="B547" s="2" t="s">
        <v>82</v>
      </c>
      <c r="C547" s="11">
        <f>(C539+C542)*16</f>
        <v>-1600</v>
      </c>
      <c r="D547" s="11">
        <f t="shared" ref="D547:I547" si="254">(D539+D542)*16</f>
        <v>-221728</v>
      </c>
      <c r="E547" s="11">
        <f t="shared" si="254"/>
        <v>-221728</v>
      </c>
      <c r="F547" s="11">
        <f t="shared" si="254"/>
        <v>-221728</v>
      </c>
      <c r="G547" s="11">
        <f t="shared" si="254"/>
        <v>-1600</v>
      </c>
      <c r="H547" s="11">
        <f t="shared" si="254"/>
        <v>-1600</v>
      </c>
      <c r="I547" s="11">
        <f t="shared" si="254"/>
        <v>-221728</v>
      </c>
    </row>
    <row r="548" spans="1:11" x14ac:dyDescent="0.2">
      <c r="A548" s="13"/>
      <c r="B548" s="2" t="s">
        <v>83</v>
      </c>
      <c r="C548" s="11">
        <f>C540*16</f>
        <v>0</v>
      </c>
      <c r="D548" s="11">
        <f t="shared" ref="D548:I548" si="255">D540*16</f>
        <v>167160</v>
      </c>
      <c r="E548" s="11">
        <f t="shared" si="255"/>
        <v>167160</v>
      </c>
      <c r="F548" s="11">
        <f t="shared" si="255"/>
        <v>167160</v>
      </c>
      <c r="G548" s="11">
        <f t="shared" si="255"/>
        <v>0</v>
      </c>
      <c r="H548" s="11">
        <f t="shared" si="255"/>
        <v>0</v>
      </c>
      <c r="I548" s="11">
        <f t="shared" si="255"/>
        <v>167160</v>
      </c>
    </row>
    <row r="549" spans="1:11" x14ac:dyDescent="0.2">
      <c r="A549" s="13"/>
      <c r="B549" s="2" t="s">
        <v>77</v>
      </c>
      <c r="C549" s="11">
        <f t="shared" ref="C549:I549" si="256">SUM(C547:C548)</f>
        <v>-1600</v>
      </c>
      <c r="D549" s="11">
        <f t="shared" si="256"/>
        <v>-54568</v>
      </c>
      <c r="E549" s="11">
        <f t="shared" si="256"/>
        <v>-54568</v>
      </c>
      <c r="F549" s="11">
        <f t="shared" si="256"/>
        <v>-54568</v>
      </c>
      <c r="G549" s="11">
        <f t="shared" si="256"/>
        <v>-1600</v>
      </c>
      <c r="H549" s="11">
        <f t="shared" si="256"/>
        <v>-1600</v>
      </c>
      <c r="I549" s="11">
        <f t="shared" si="256"/>
        <v>-54568</v>
      </c>
    </row>
    <row r="550" spans="1:11" x14ac:dyDescent="0.2">
      <c r="A550" s="13"/>
    </row>
    <row r="551" spans="1:11" s="1" customFormat="1" x14ac:dyDescent="0.2">
      <c r="A551" s="1" t="s">
        <v>43</v>
      </c>
      <c r="B551" s="5" t="s">
        <v>18</v>
      </c>
      <c r="C551" s="28">
        <v>37257</v>
      </c>
      <c r="D551" s="6">
        <v>37258</v>
      </c>
      <c r="E551" s="6">
        <v>37259</v>
      </c>
      <c r="F551" s="6">
        <v>37260</v>
      </c>
      <c r="G551" s="28">
        <v>37261</v>
      </c>
      <c r="H551" s="28">
        <v>37262</v>
      </c>
      <c r="I551" s="6">
        <v>37263</v>
      </c>
      <c r="J551" s="8"/>
      <c r="K551" s="7"/>
    </row>
    <row r="552" spans="1:11" x14ac:dyDescent="0.2">
      <c r="B552" s="1" t="s">
        <v>3</v>
      </c>
      <c r="C552" s="19">
        <v>0</v>
      </c>
      <c r="D552" s="19">
        <v>200</v>
      </c>
      <c r="E552" s="19">
        <v>200</v>
      </c>
      <c r="F552" s="19">
        <v>200</v>
      </c>
      <c r="G552" s="19">
        <v>0</v>
      </c>
      <c r="H552" s="19">
        <v>0</v>
      </c>
      <c r="I552" s="19">
        <v>200</v>
      </c>
      <c r="K552" s="4"/>
    </row>
    <row r="553" spans="1:11" x14ac:dyDescent="0.2">
      <c r="B553" s="8" t="s">
        <v>4</v>
      </c>
      <c r="C553" s="10">
        <v>0</v>
      </c>
      <c r="D553" s="10">
        <v>30</v>
      </c>
      <c r="E553" s="10">
        <v>30</v>
      </c>
      <c r="F553" s="10">
        <v>30</v>
      </c>
      <c r="G553" s="10">
        <v>0</v>
      </c>
      <c r="H553" s="10">
        <v>0</v>
      </c>
      <c r="I553" s="10">
        <v>30</v>
      </c>
      <c r="K553" s="4"/>
    </row>
    <row r="554" spans="1:11" x14ac:dyDescent="0.2">
      <c r="B554" s="1" t="s">
        <v>5</v>
      </c>
      <c r="C554" s="19">
        <v>0</v>
      </c>
      <c r="D554" s="19">
        <v>350</v>
      </c>
      <c r="E554" s="19">
        <v>350</v>
      </c>
      <c r="F554" s="19">
        <v>350</v>
      </c>
      <c r="G554" s="19">
        <v>0</v>
      </c>
      <c r="H554" s="19">
        <v>0</v>
      </c>
      <c r="I554" s="19">
        <v>350</v>
      </c>
      <c r="K554" s="4"/>
    </row>
    <row r="555" spans="1:11" x14ac:dyDescent="0.2">
      <c r="B555" s="8" t="s">
        <v>4</v>
      </c>
      <c r="C555" s="10">
        <v>0</v>
      </c>
      <c r="D555" s="10">
        <v>28.3</v>
      </c>
      <c r="E555" s="10">
        <v>28.3</v>
      </c>
      <c r="F555" s="10">
        <v>28.3</v>
      </c>
      <c r="G555" s="10">
        <v>0</v>
      </c>
      <c r="H555" s="10">
        <v>0</v>
      </c>
      <c r="I555" s="10">
        <v>28.3</v>
      </c>
      <c r="K555" s="4"/>
    </row>
    <row r="556" spans="1:11" x14ac:dyDescent="0.2">
      <c r="B556" s="7" t="s">
        <v>6</v>
      </c>
      <c r="C556" s="4">
        <f t="shared" ref="C556:I556" si="257">C552-C554</f>
        <v>0</v>
      </c>
      <c r="D556" s="4">
        <f t="shared" si="257"/>
        <v>-150</v>
      </c>
      <c r="E556" s="4">
        <f t="shared" si="257"/>
        <v>-150</v>
      </c>
      <c r="F556" s="4">
        <f t="shared" si="257"/>
        <v>-150</v>
      </c>
      <c r="G556" s="4">
        <f t="shared" si="257"/>
        <v>0</v>
      </c>
      <c r="H556" s="4">
        <f t="shared" si="257"/>
        <v>0</v>
      </c>
      <c r="I556" s="4">
        <f t="shared" si="257"/>
        <v>-150</v>
      </c>
      <c r="K556" s="4"/>
    </row>
    <row r="557" spans="1:11" x14ac:dyDescent="0.2">
      <c r="B557" s="9" t="s">
        <v>7</v>
      </c>
      <c r="C557" s="10">
        <v>22</v>
      </c>
      <c r="D557" s="29">
        <v>28</v>
      </c>
      <c r="E557" s="29">
        <v>28</v>
      </c>
      <c r="F557" s="29">
        <v>28</v>
      </c>
      <c r="G557" s="10">
        <v>22</v>
      </c>
      <c r="H557" s="10">
        <v>22</v>
      </c>
      <c r="I557" s="29">
        <v>28</v>
      </c>
      <c r="K557" s="4"/>
    </row>
    <row r="558" spans="1:11" x14ac:dyDescent="0.2">
      <c r="B558" s="9"/>
      <c r="C558" s="19"/>
      <c r="D558" s="19"/>
      <c r="E558" s="19"/>
      <c r="F558" s="19"/>
      <c r="G558" s="19"/>
      <c r="H558" s="19"/>
      <c r="I558" s="19"/>
      <c r="K558" s="4"/>
    </row>
    <row r="559" spans="1:11" x14ac:dyDescent="0.2">
      <c r="B559" s="9" t="s">
        <v>8</v>
      </c>
      <c r="C559" s="12">
        <f t="shared" ref="C559:I559" si="258">(C552*C553)*(-1)</f>
        <v>0</v>
      </c>
      <c r="D559" s="12">
        <f t="shared" si="258"/>
        <v>-6000</v>
      </c>
      <c r="E559" s="12">
        <f t="shared" si="258"/>
        <v>-6000</v>
      </c>
      <c r="F559" s="12">
        <f t="shared" si="258"/>
        <v>-6000</v>
      </c>
      <c r="G559" s="12">
        <f t="shared" si="258"/>
        <v>0</v>
      </c>
      <c r="H559" s="12">
        <f t="shared" si="258"/>
        <v>0</v>
      </c>
      <c r="I559" s="12">
        <f t="shared" si="258"/>
        <v>-6000</v>
      </c>
      <c r="K559" s="4"/>
    </row>
    <row r="560" spans="1:11" x14ac:dyDescent="0.2">
      <c r="B560" s="9" t="s">
        <v>9</v>
      </c>
      <c r="C560" s="11">
        <f t="shared" ref="C560:I560" si="259">C554*C555</f>
        <v>0</v>
      </c>
      <c r="D560" s="11">
        <f t="shared" si="259"/>
        <v>9905</v>
      </c>
      <c r="E560" s="11">
        <f t="shared" si="259"/>
        <v>9905</v>
      </c>
      <c r="F560" s="11">
        <f t="shared" si="259"/>
        <v>9905</v>
      </c>
      <c r="G560" s="11">
        <f t="shared" si="259"/>
        <v>0</v>
      </c>
      <c r="H560" s="11">
        <f t="shared" si="259"/>
        <v>0</v>
      </c>
      <c r="I560" s="11">
        <f t="shared" si="259"/>
        <v>9905</v>
      </c>
      <c r="K560" s="4"/>
    </row>
    <row r="561" spans="1:11" x14ac:dyDescent="0.2">
      <c r="B561" s="7" t="s">
        <v>10</v>
      </c>
      <c r="C561" s="11">
        <f t="shared" ref="C561:I561" si="260">SUM(C559:C560)</f>
        <v>0</v>
      </c>
      <c r="D561" s="11">
        <f t="shared" si="260"/>
        <v>3905</v>
      </c>
      <c r="E561" s="11">
        <f t="shared" si="260"/>
        <v>3905</v>
      </c>
      <c r="F561" s="11">
        <f t="shared" si="260"/>
        <v>3905</v>
      </c>
      <c r="G561" s="11">
        <f t="shared" si="260"/>
        <v>0</v>
      </c>
      <c r="H561" s="11">
        <f t="shared" si="260"/>
        <v>0</v>
      </c>
      <c r="I561" s="11">
        <f t="shared" si="260"/>
        <v>3905</v>
      </c>
      <c r="K561" s="4"/>
    </row>
    <row r="562" spans="1:11" x14ac:dyDescent="0.2">
      <c r="A562" s="13"/>
      <c r="B562" s="2" t="s">
        <v>11</v>
      </c>
      <c r="C562" s="12">
        <f t="shared" ref="C562:I562" si="261">C556*C557</f>
        <v>0</v>
      </c>
      <c r="D562" s="12">
        <f t="shared" si="261"/>
        <v>-4200</v>
      </c>
      <c r="E562" s="12">
        <f t="shared" si="261"/>
        <v>-4200</v>
      </c>
      <c r="F562" s="12">
        <f t="shared" si="261"/>
        <v>-4200</v>
      </c>
      <c r="G562" s="12">
        <f t="shared" si="261"/>
        <v>0</v>
      </c>
      <c r="H562" s="12">
        <f t="shared" si="261"/>
        <v>0</v>
      </c>
      <c r="I562" s="12">
        <f t="shared" si="261"/>
        <v>-4200</v>
      </c>
    </row>
    <row r="563" spans="1:11" x14ac:dyDescent="0.2">
      <c r="A563" s="14"/>
      <c r="E563" s="2"/>
      <c r="G563" s="2"/>
      <c r="H563" s="2"/>
      <c r="I563" s="2"/>
    </row>
    <row r="564" spans="1:11" s="1" customFormat="1" x14ac:dyDescent="0.2">
      <c r="A564" s="13"/>
      <c r="B564" s="1" t="s">
        <v>12</v>
      </c>
      <c r="C564" s="15">
        <f t="shared" ref="C564:I564" si="262">SUM(C561:C562)</f>
        <v>0</v>
      </c>
      <c r="D564" s="15">
        <f t="shared" si="262"/>
        <v>-295</v>
      </c>
      <c r="E564" s="15">
        <f t="shared" si="262"/>
        <v>-295</v>
      </c>
      <c r="F564" s="15">
        <f t="shared" si="262"/>
        <v>-295</v>
      </c>
      <c r="G564" s="15">
        <f t="shared" si="262"/>
        <v>0</v>
      </c>
      <c r="H564" s="15">
        <f t="shared" si="262"/>
        <v>0</v>
      </c>
      <c r="I564" s="15">
        <f t="shared" si="262"/>
        <v>-295</v>
      </c>
      <c r="J564" s="8"/>
    </row>
    <row r="565" spans="1:11" x14ac:dyDescent="0.2">
      <c r="A565" s="16"/>
      <c r="B565" s="1" t="s">
        <v>27</v>
      </c>
      <c r="C565" s="15">
        <f t="shared" ref="C565:I565" si="263">C564*16</f>
        <v>0</v>
      </c>
      <c r="D565" s="15">
        <f t="shared" si="263"/>
        <v>-4720</v>
      </c>
      <c r="E565" s="15">
        <f t="shared" si="263"/>
        <v>-4720</v>
      </c>
      <c r="F565" s="15">
        <f t="shared" si="263"/>
        <v>-4720</v>
      </c>
      <c r="G565" s="15">
        <f t="shared" si="263"/>
        <v>0</v>
      </c>
      <c r="H565" s="15">
        <f t="shared" si="263"/>
        <v>0</v>
      </c>
      <c r="I565" s="15">
        <f t="shared" si="263"/>
        <v>-4720</v>
      </c>
      <c r="J565" s="3">
        <f>SUM(C565:I565)</f>
        <v>-18880</v>
      </c>
    </row>
    <row r="566" spans="1:11" x14ac:dyDescent="0.2">
      <c r="A566" s="16"/>
      <c r="B566" s="1"/>
      <c r="C566" s="15"/>
      <c r="D566" s="18"/>
      <c r="E566" s="18"/>
      <c r="F566" s="18"/>
      <c r="G566" s="21"/>
      <c r="H566" s="18"/>
      <c r="I566" s="15"/>
      <c r="J566" s="3"/>
    </row>
    <row r="567" spans="1:11" x14ac:dyDescent="0.2">
      <c r="A567" s="13"/>
      <c r="B567" s="2" t="s">
        <v>82</v>
      </c>
      <c r="C567" s="11">
        <f>(C559+C562)*16</f>
        <v>0</v>
      </c>
      <c r="D567" s="11">
        <f t="shared" ref="D567:I567" si="264">(D559+D562)*16</f>
        <v>-163200</v>
      </c>
      <c r="E567" s="11">
        <f t="shared" si="264"/>
        <v>-163200</v>
      </c>
      <c r="F567" s="11">
        <f t="shared" si="264"/>
        <v>-163200</v>
      </c>
      <c r="G567" s="11">
        <f t="shared" si="264"/>
        <v>0</v>
      </c>
      <c r="H567" s="11">
        <f t="shared" si="264"/>
        <v>0</v>
      </c>
      <c r="I567" s="11">
        <f t="shared" si="264"/>
        <v>-163200</v>
      </c>
    </row>
    <row r="568" spans="1:11" x14ac:dyDescent="0.2">
      <c r="A568" s="13"/>
      <c r="B568" s="2" t="s">
        <v>83</v>
      </c>
      <c r="C568" s="11">
        <f>C560*16</f>
        <v>0</v>
      </c>
      <c r="D568" s="11">
        <f t="shared" ref="D568:I568" si="265">D560*16</f>
        <v>158480</v>
      </c>
      <c r="E568" s="11">
        <f t="shared" si="265"/>
        <v>158480</v>
      </c>
      <c r="F568" s="11">
        <f t="shared" si="265"/>
        <v>158480</v>
      </c>
      <c r="G568" s="11">
        <f t="shared" si="265"/>
        <v>0</v>
      </c>
      <c r="H568" s="11">
        <f t="shared" si="265"/>
        <v>0</v>
      </c>
      <c r="I568" s="11">
        <f t="shared" si="265"/>
        <v>158480</v>
      </c>
    </row>
    <row r="569" spans="1:11" x14ac:dyDescent="0.2">
      <c r="A569" s="13"/>
      <c r="B569" s="2" t="s">
        <v>77</v>
      </c>
      <c r="C569" s="11">
        <f t="shared" ref="C569:I569" si="266">SUM(C567:C568)</f>
        <v>0</v>
      </c>
      <c r="D569" s="11">
        <f t="shared" si="266"/>
        <v>-4720</v>
      </c>
      <c r="E569" s="11">
        <f t="shared" si="266"/>
        <v>-4720</v>
      </c>
      <c r="F569" s="11">
        <f t="shared" si="266"/>
        <v>-4720</v>
      </c>
      <c r="G569" s="11">
        <f t="shared" si="266"/>
        <v>0</v>
      </c>
      <c r="H569" s="11">
        <f t="shared" si="266"/>
        <v>0</v>
      </c>
      <c r="I569" s="11">
        <f t="shared" si="266"/>
        <v>-4720</v>
      </c>
    </row>
    <row r="570" spans="1:11" x14ac:dyDescent="0.2">
      <c r="A570" s="13"/>
    </row>
    <row r="571" spans="1:11" s="1" customFormat="1" x14ac:dyDescent="0.2">
      <c r="A571" s="1" t="s">
        <v>45</v>
      </c>
      <c r="B571" s="5" t="s">
        <v>19</v>
      </c>
      <c r="C571" s="28">
        <v>37257</v>
      </c>
      <c r="D571" s="6">
        <v>37258</v>
      </c>
      <c r="E571" s="6">
        <v>37259</v>
      </c>
      <c r="F571" s="6">
        <v>37260</v>
      </c>
      <c r="G571" s="28">
        <v>37261</v>
      </c>
      <c r="H571" s="28">
        <v>37262</v>
      </c>
      <c r="I571" s="6">
        <v>37263</v>
      </c>
      <c r="J571" s="8"/>
      <c r="K571" s="7"/>
    </row>
    <row r="572" spans="1:11" x14ac:dyDescent="0.2">
      <c r="B572" s="1" t="s">
        <v>3</v>
      </c>
      <c r="C572" s="19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K572" s="4"/>
    </row>
    <row r="573" spans="1:11" x14ac:dyDescent="0.2">
      <c r="B573" s="8" t="s">
        <v>4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K573" s="4"/>
    </row>
    <row r="574" spans="1:11" x14ac:dyDescent="0.2">
      <c r="B574" s="1" t="s">
        <v>5</v>
      </c>
      <c r="C574" s="19">
        <v>25</v>
      </c>
      <c r="D574" s="19">
        <v>25</v>
      </c>
      <c r="E574" s="19">
        <v>25</v>
      </c>
      <c r="F574" s="19">
        <v>25</v>
      </c>
      <c r="G574" s="19">
        <v>25</v>
      </c>
      <c r="H574" s="19">
        <v>25</v>
      </c>
      <c r="I574" s="19">
        <v>25</v>
      </c>
      <c r="K574" s="4"/>
    </row>
    <row r="575" spans="1:11" x14ac:dyDescent="0.2">
      <c r="B575" s="8" t="s">
        <v>4</v>
      </c>
      <c r="C575" s="10">
        <v>38.450000000000003</v>
      </c>
      <c r="D575" s="10">
        <v>38.450000000000003</v>
      </c>
      <c r="E575" s="10">
        <v>38.450000000000003</v>
      </c>
      <c r="F575" s="10">
        <v>38.450000000000003</v>
      </c>
      <c r="G575" s="10">
        <v>38.450000000000003</v>
      </c>
      <c r="H575" s="10">
        <v>38.450000000000003</v>
      </c>
      <c r="I575" s="10">
        <v>38.450000000000003</v>
      </c>
      <c r="K575" s="4"/>
    </row>
    <row r="576" spans="1:11" x14ac:dyDescent="0.2">
      <c r="B576" s="7" t="s">
        <v>6</v>
      </c>
      <c r="C576" s="4">
        <f t="shared" ref="C576:I576" si="267">C572-C574</f>
        <v>-25</v>
      </c>
      <c r="D576" s="4">
        <f t="shared" si="267"/>
        <v>-25</v>
      </c>
      <c r="E576" s="4">
        <f t="shared" si="267"/>
        <v>-25</v>
      </c>
      <c r="F576" s="4">
        <f t="shared" si="267"/>
        <v>-25</v>
      </c>
      <c r="G576" s="4">
        <f t="shared" si="267"/>
        <v>-25</v>
      </c>
      <c r="H576" s="4">
        <f t="shared" si="267"/>
        <v>-25</v>
      </c>
      <c r="I576" s="4">
        <f t="shared" si="267"/>
        <v>-25</v>
      </c>
      <c r="K576" s="4"/>
    </row>
    <row r="577" spans="1:11" x14ac:dyDescent="0.2">
      <c r="B577" s="9" t="s">
        <v>7</v>
      </c>
      <c r="C577" s="10">
        <v>30</v>
      </c>
      <c r="D577" s="29">
        <v>40</v>
      </c>
      <c r="E577" s="29">
        <v>40</v>
      </c>
      <c r="F577" s="29">
        <v>40</v>
      </c>
      <c r="G577" s="10">
        <v>30</v>
      </c>
      <c r="H577" s="10">
        <v>30</v>
      </c>
      <c r="I577" s="29">
        <v>40</v>
      </c>
      <c r="K577" s="4"/>
    </row>
    <row r="578" spans="1:11" x14ac:dyDescent="0.2">
      <c r="B578" s="9"/>
      <c r="C578" s="19"/>
      <c r="D578" s="19"/>
      <c r="E578" s="19"/>
      <c r="F578" s="10"/>
      <c r="G578" s="19"/>
      <c r="H578" s="19"/>
      <c r="K578" s="4"/>
    </row>
    <row r="579" spans="1:11" x14ac:dyDescent="0.2">
      <c r="B579" s="9" t="s">
        <v>8</v>
      </c>
      <c r="C579" s="12">
        <f>(C572*C573)*(-1)</f>
        <v>0</v>
      </c>
      <c r="D579" s="12">
        <f t="shared" ref="D579:I579" si="268">(D572*D573)*(-1)</f>
        <v>0</v>
      </c>
      <c r="E579" s="12">
        <f t="shared" si="268"/>
        <v>0</v>
      </c>
      <c r="F579" s="12">
        <f t="shared" si="268"/>
        <v>0</v>
      </c>
      <c r="G579" s="12">
        <f t="shared" si="268"/>
        <v>0</v>
      </c>
      <c r="H579" s="12">
        <f t="shared" si="268"/>
        <v>0</v>
      </c>
      <c r="I579" s="12">
        <f t="shared" si="268"/>
        <v>0</v>
      </c>
      <c r="K579" s="4"/>
    </row>
    <row r="580" spans="1:11" x14ac:dyDescent="0.2">
      <c r="B580" s="9" t="s">
        <v>9</v>
      </c>
      <c r="C580" s="11">
        <f>C574*C575</f>
        <v>961.25000000000011</v>
      </c>
      <c r="D580" s="11">
        <f t="shared" ref="D580:I580" si="269">D574*D575</f>
        <v>961.25000000000011</v>
      </c>
      <c r="E580" s="11">
        <f t="shared" si="269"/>
        <v>961.25000000000011</v>
      </c>
      <c r="F580" s="11">
        <f t="shared" si="269"/>
        <v>961.25000000000011</v>
      </c>
      <c r="G580" s="11">
        <f t="shared" si="269"/>
        <v>961.25000000000011</v>
      </c>
      <c r="H580" s="11">
        <f t="shared" si="269"/>
        <v>961.25000000000011</v>
      </c>
      <c r="I580" s="11">
        <f t="shared" si="269"/>
        <v>961.25000000000011</v>
      </c>
      <c r="K580" s="4"/>
    </row>
    <row r="581" spans="1:11" x14ac:dyDescent="0.2">
      <c r="B581" s="7" t="s">
        <v>10</v>
      </c>
      <c r="C581" s="11">
        <f>SUM(C579:C580)</f>
        <v>961.25000000000011</v>
      </c>
      <c r="D581" s="11">
        <f t="shared" ref="D581:I581" si="270">SUM(D579:D580)</f>
        <v>961.25000000000011</v>
      </c>
      <c r="E581" s="11">
        <f t="shared" si="270"/>
        <v>961.25000000000011</v>
      </c>
      <c r="F581" s="11">
        <f t="shared" si="270"/>
        <v>961.25000000000011</v>
      </c>
      <c r="G581" s="11">
        <f>SUM(G579:G580)</f>
        <v>961.25000000000011</v>
      </c>
      <c r="H581" s="11">
        <f>SUM(H579:H580)</f>
        <v>961.25000000000011</v>
      </c>
      <c r="I581" s="11">
        <f t="shared" si="270"/>
        <v>961.25000000000011</v>
      </c>
      <c r="K581" s="4"/>
    </row>
    <row r="582" spans="1:11" x14ac:dyDescent="0.2">
      <c r="A582" s="13"/>
      <c r="B582" s="2" t="s">
        <v>11</v>
      </c>
      <c r="C582" s="12">
        <f>C576*C577</f>
        <v>-750</v>
      </c>
      <c r="D582" s="12">
        <f t="shared" ref="D582:I582" si="271">D576*D577</f>
        <v>-1000</v>
      </c>
      <c r="E582" s="12">
        <f t="shared" si="271"/>
        <v>-1000</v>
      </c>
      <c r="F582" s="12">
        <f t="shared" si="271"/>
        <v>-1000</v>
      </c>
      <c r="G582" s="12">
        <f t="shared" si="271"/>
        <v>-750</v>
      </c>
      <c r="H582" s="12">
        <f t="shared" si="271"/>
        <v>-750</v>
      </c>
      <c r="I582" s="12">
        <f t="shared" si="271"/>
        <v>-1000</v>
      </c>
    </row>
    <row r="583" spans="1:11" x14ac:dyDescent="0.2">
      <c r="A583" s="14"/>
      <c r="E583" s="2"/>
      <c r="G583" s="2"/>
      <c r="H583" s="2"/>
      <c r="I583" s="2"/>
    </row>
    <row r="584" spans="1:11" s="1" customFormat="1" x14ac:dyDescent="0.2">
      <c r="A584" s="13"/>
      <c r="B584" s="1" t="s">
        <v>12</v>
      </c>
      <c r="C584" s="15">
        <f>SUM(C581:C582)</f>
        <v>211.25000000000011</v>
      </c>
      <c r="D584" s="15">
        <f t="shared" ref="D584:I584" si="272">SUM(D581:D582)</f>
        <v>-38.749999999999886</v>
      </c>
      <c r="E584" s="15">
        <f t="shared" si="272"/>
        <v>-38.749999999999886</v>
      </c>
      <c r="F584" s="15">
        <f t="shared" si="272"/>
        <v>-38.749999999999886</v>
      </c>
      <c r="G584" s="15">
        <f t="shared" si="272"/>
        <v>211.25000000000011</v>
      </c>
      <c r="H584" s="15">
        <f t="shared" si="272"/>
        <v>211.25000000000011</v>
      </c>
      <c r="I584" s="15">
        <f t="shared" si="272"/>
        <v>-38.749999999999886</v>
      </c>
      <c r="J584" s="8"/>
    </row>
    <row r="585" spans="1:11" x14ac:dyDescent="0.2">
      <c r="A585" s="16"/>
      <c r="B585" s="1" t="s">
        <v>27</v>
      </c>
      <c r="C585" s="15">
        <f>C584*16</f>
        <v>3380.0000000000018</v>
      </c>
      <c r="D585" s="15">
        <f t="shared" ref="D585:I585" si="273">D584*16</f>
        <v>-619.99999999999818</v>
      </c>
      <c r="E585" s="15">
        <f t="shared" si="273"/>
        <v>-619.99999999999818</v>
      </c>
      <c r="F585" s="15">
        <f t="shared" si="273"/>
        <v>-619.99999999999818</v>
      </c>
      <c r="G585" s="15">
        <f>G584*16</f>
        <v>3380.0000000000018</v>
      </c>
      <c r="H585" s="15">
        <f>H584*16</f>
        <v>3380.0000000000018</v>
      </c>
      <c r="I585" s="15">
        <f t="shared" si="273"/>
        <v>-619.99999999999818</v>
      </c>
      <c r="J585" s="3">
        <f>SUM(C585:I585)</f>
        <v>7660.0000000000127</v>
      </c>
    </row>
    <row r="586" spans="1:11" x14ac:dyDescent="0.2">
      <c r="A586" s="16"/>
      <c r="B586" s="1"/>
      <c r="C586" s="15"/>
      <c r="D586" s="18"/>
      <c r="E586" s="18"/>
      <c r="F586" s="18"/>
      <c r="G586" s="21"/>
      <c r="H586" s="18"/>
      <c r="I586" s="15"/>
      <c r="J586" s="3"/>
    </row>
    <row r="587" spans="1:11" x14ac:dyDescent="0.2">
      <c r="A587" s="13"/>
      <c r="B587" s="2" t="s">
        <v>82</v>
      </c>
      <c r="C587" s="11">
        <f>(C579+C582)*16</f>
        <v>-12000</v>
      </c>
      <c r="D587" s="11">
        <f t="shared" ref="D587:I587" si="274">(D579+D582)*16</f>
        <v>-16000</v>
      </c>
      <c r="E587" s="11">
        <f t="shared" si="274"/>
        <v>-16000</v>
      </c>
      <c r="F587" s="11">
        <f t="shared" si="274"/>
        <v>-16000</v>
      </c>
      <c r="G587" s="11">
        <f t="shared" si="274"/>
        <v>-12000</v>
      </c>
      <c r="H587" s="11">
        <f t="shared" si="274"/>
        <v>-12000</v>
      </c>
      <c r="I587" s="11">
        <f t="shared" si="274"/>
        <v>-16000</v>
      </c>
    </row>
    <row r="588" spans="1:11" x14ac:dyDescent="0.2">
      <c r="A588" s="13"/>
      <c r="B588" s="2" t="s">
        <v>83</v>
      </c>
      <c r="C588" s="11">
        <f>C580*16</f>
        <v>15380.000000000002</v>
      </c>
      <c r="D588" s="11">
        <f t="shared" ref="D588:I588" si="275">D580*16</f>
        <v>15380.000000000002</v>
      </c>
      <c r="E588" s="11">
        <f t="shared" si="275"/>
        <v>15380.000000000002</v>
      </c>
      <c r="F588" s="11">
        <f t="shared" si="275"/>
        <v>15380.000000000002</v>
      </c>
      <c r="G588" s="11">
        <f t="shared" si="275"/>
        <v>15380.000000000002</v>
      </c>
      <c r="H588" s="11">
        <f t="shared" si="275"/>
        <v>15380.000000000002</v>
      </c>
      <c r="I588" s="11">
        <f t="shared" si="275"/>
        <v>15380.000000000002</v>
      </c>
    </row>
    <row r="589" spans="1:11" x14ac:dyDescent="0.2">
      <c r="A589" s="13"/>
      <c r="B589" s="2" t="s">
        <v>77</v>
      </c>
      <c r="C589" s="11">
        <f t="shared" ref="C589:I589" si="276">SUM(C587:C588)</f>
        <v>3380.0000000000018</v>
      </c>
      <c r="D589" s="11">
        <f t="shared" si="276"/>
        <v>-619.99999999999818</v>
      </c>
      <c r="E589" s="11">
        <f t="shared" si="276"/>
        <v>-619.99999999999818</v>
      </c>
      <c r="F589" s="11">
        <f t="shared" si="276"/>
        <v>-619.99999999999818</v>
      </c>
      <c r="G589" s="11">
        <f t="shared" si="276"/>
        <v>3380.0000000000018</v>
      </c>
      <c r="H589" s="11">
        <f t="shared" si="276"/>
        <v>3380.0000000000018</v>
      </c>
      <c r="I589" s="11">
        <f t="shared" si="276"/>
        <v>-619.99999999999818</v>
      </c>
    </row>
    <row r="590" spans="1:11" x14ac:dyDescent="0.2">
      <c r="A590" s="13"/>
    </row>
    <row r="591" spans="1:11" s="1" customFormat="1" x14ac:dyDescent="0.2">
      <c r="A591" s="1" t="s">
        <v>46</v>
      </c>
      <c r="B591" s="5" t="s">
        <v>47</v>
      </c>
      <c r="C591" s="28">
        <v>37257</v>
      </c>
      <c r="D591" s="6">
        <v>37258</v>
      </c>
      <c r="E591" s="6">
        <v>37259</v>
      </c>
      <c r="F591" s="6">
        <v>37260</v>
      </c>
      <c r="G591" s="28">
        <v>37261</v>
      </c>
      <c r="H591" s="28">
        <v>37262</v>
      </c>
      <c r="I591" s="6">
        <v>37263</v>
      </c>
      <c r="J591" s="8"/>
      <c r="K591" s="7"/>
    </row>
    <row r="592" spans="1:11" x14ac:dyDescent="0.2">
      <c r="B592" s="1" t="s">
        <v>3</v>
      </c>
      <c r="E592" s="2"/>
      <c r="G592" s="2"/>
      <c r="H592" s="2"/>
      <c r="I592" s="2"/>
      <c r="K592" s="4"/>
    </row>
    <row r="593" spans="1:11" x14ac:dyDescent="0.2">
      <c r="B593" s="8" t="s">
        <v>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K593" s="4"/>
    </row>
    <row r="594" spans="1:11" x14ac:dyDescent="0.2">
      <c r="B594" s="1" t="s">
        <v>5</v>
      </c>
      <c r="C594" s="2">
        <v>60</v>
      </c>
      <c r="D594" s="2">
        <v>0</v>
      </c>
      <c r="E594" s="2">
        <v>0</v>
      </c>
      <c r="F594" s="2">
        <v>0</v>
      </c>
      <c r="G594" s="2">
        <v>60</v>
      </c>
      <c r="H594" s="2">
        <v>60</v>
      </c>
      <c r="I594" s="2">
        <v>0</v>
      </c>
      <c r="K594" s="4"/>
    </row>
    <row r="595" spans="1:11" x14ac:dyDescent="0.2">
      <c r="B595" s="8" t="s">
        <v>4</v>
      </c>
      <c r="C595" s="3">
        <v>31.75</v>
      </c>
      <c r="D595" s="3">
        <v>0</v>
      </c>
      <c r="E595" s="3">
        <v>0</v>
      </c>
      <c r="F595" s="3">
        <v>0</v>
      </c>
      <c r="G595" s="3">
        <v>31.75</v>
      </c>
      <c r="H595" s="3">
        <v>31.75</v>
      </c>
      <c r="I595" s="3">
        <v>0</v>
      </c>
      <c r="K595" s="4"/>
    </row>
    <row r="596" spans="1:11" x14ac:dyDescent="0.2">
      <c r="B596" s="7" t="s">
        <v>6</v>
      </c>
      <c r="C596" s="4">
        <f>C592-C594</f>
        <v>-60</v>
      </c>
      <c r="D596" s="4">
        <f t="shared" ref="D596:I596" si="277">D592-D594</f>
        <v>0</v>
      </c>
      <c r="E596" s="4">
        <f t="shared" si="277"/>
        <v>0</v>
      </c>
      <c r="F596" s="4">
        <f t="shared" si="277"/>
        <v>0</v>
      </c>
      <c r="G596" s="4">
        <f t="shared" si="277"/>
        <v>-60</v>
      </c>
      <c r="H596" s="4">
        <f t="shared" si="277"/>
        <v>-60</v>
      </c>
      <c r="I596" s="4">
        <f t="shared" si="277"/>
        <v>0</v>
      </c>
      <c r="K596" s="4"/>
    </row>
    <row r="597" spans="1:11" x14ac:dyDescent="0.2">
      <c r="B597" s="9" t="s">
        <v>7</v>
      </c>
      <c r="C597" s="10">
        <v>25</v>
      </c>
      <c r="D597" s="19"/>
      <c r="E597" s="19"/>
      <c r="F597" s="19"/>
      <c r="G597" s="10">
        <v>25</v>
      </c>
      <c r="H597" s="10">
        <v>25</v>
      </c>
      <c r="I597" s="19"/>
      <c r="K597" s="4"/>
    </row>
    <row r="598" spans="1:11" x14ac:dyDescent="0.2">
      <c r="B598" s="9"/>
      <c r="C598" s="11"/>
      <c r="D598" s="19"/>
      <c r="E598" s="19"/>
      <c r="F598" s="19"/>
      <c r="G598" s="11"/>
      <c r="H598" s="11"/>
      <c r="I598" s="19"/>
      <c r="K598" s="4"/>
    </row>
    <row r="599" spans="1:11" x14ac:dyDescent="0.2">
      <c r="B599" s="9" t="s">
        <v>8</v>
      </c>
      <c r="C599" s="12">
        <f t="shared" ref="C599:I599" si="278">(C592*C593)*(-1)</f>
        <v>0</v>
      </c>
      <c r="D599" s="12">
        <f t="shared" si="278"/>
        <v>0</v>
      </c>
      <c r="E599" s="12">
        <f t="shared" si="278"/>
        <v>0</v>
      </c>
      <c r="F599" s="12">
        <f t="shared" si="278"/>
        <v>0</v>
      </c>
      <c r="G599" s="12">
        <f>(G592*G593)*(-1)</f>
        <v>0</v>
      </c>
      <c r="H599" s="12">
        <f>(H592*H593)*(-1)</f>
        <v>0</v>
      </c>
      <c r="I599" s="12">
        <f t="shared" si="278"/>
        <v>0</v>
      </c>
      <c r="K599" s="4"/>
    </row>
    <row r="600" spans="1:11" x14ac:dyDescent="0.2">
      <c r="B600" s="9" t="s">
        <v>9</v>
      </c>
      <c r="C600" s="11">
        <f t="shared" ref="C600:I600" si="279">C594*C595</f>
        <v>1905</v>
      </c>
      <c r="D600" s="11">
        <f t="shared" si="279"/>
        <v>0</v>
      </c>
      <c r="E600" s="11">
        <f t="shared" si="279"/>
        <v>0</v>
      </c>
      <c r="F600" s="11">
        <f t="shared" si="279"/>
        <v>0</v>
      </c>
      <c r="G600" s="11">
        <f>G594*G595</f>
        <v>1905</v>
      </c>
      <c r="H600" s="11">
        <f>H594*H595</f>
        <v>1905</v>
      </c>
      <c r="I600" s="11">
        <f t="shared" si="279"/>
        <v>0</v>
      </c>
      <c r="K600" s="4"/>
    </row>
    <row r="601" spans="1:11" x14ac:dyDescent="0.2">
      <c r="B601" s="7" t="s">
        <v>10</v>
      </c>
      <c r="C601" s="11">
        <f t="shared" ref="C601:I601" si="280">SUM(C599:C600)</f>
        <v>1905</v>
      </c>
      <c r="D601" s="11">
        <f t="shared" si="280"/>
        <v>0</v>
      </c>
      <c r="E601" s="11">
        <f t="shared" si="280"/>
        <v>0</v>
      </c>
      <c r="F601" s="11">
        <f t="shared" si="280"/>
        <v>0</v>
      </c>
      <c r="G601" s="11">
        <f t="shared" si="280"/>
        <v>1905</v>
      </c>
      <c r="H601" s="11">
        <f t="shared" si="280"/>
        <v>1905</v>
      </c>
      <c r="I601" s="11">
        <f t="shared" si="280"/>
        <v>0</v>
      </c>
      <c r="K601" s="4"/>
    </row>
    <row r="602" spans="1:11" x14ac:dyDescent="0.2">
      <c r="A602" s="13"/>
      <c r="B602" s="2" t="s">
        <v>11</v>
      </c>
      <c r="C602" s="12">
        <f t="shared" ref="C602:I602" si="281">C596*C597</f>
        <v>-1500</v>
      </c>
      <c r="D602" s="12">
        <f t="shared" si="281"/>
        <v>0</v>
      </c>
      <c r="E602" s="12">
        <f t="shared" si="281"/>
        <v>0</v>
      </c>
      <c r="F602" s="12">
        <f t="shared" si="281"/>
        <v>0</v>
      </c>
      <c r="G602" s="12">
        <f>G596*G597</f>
        <v>-1500</v>
      </c>
      <c r="H602" s="12">
        <f>H596*H597</f>
        <v>-1500</v>
      </c>
      <c r="I602" s="12">
        <f t="shared" si="281"/>
        <v>0</v>
      </c>
    </row>
    <row r="603" spans="1:11" x14ac:dyDescent="0.2">
      <c r="A603" s="14"/>
      <c r="E603" s="2"/>
      <c r="G603" s="2"/>
      <c r="H603" s="2"/>
      <c r="I603" s="2"/>
    </row>
    <row r="604" spans="1:11" s="1" customFormat="1" x14ac:dyDescent="0.2">
      <c r="A604" s="13"/>
      <c r="B604" s="1" t="s">
        <v>12</v>
      </c>
      <c r="C604" s="15">
        <f t="shared" ref="C604:I604" si="282">SUM(C601:C602)</f>
        <v>405</v>
      </c>
      <c r="D604" s="15">
        <f t="shared" si="282"/>
        <v>0</v>
      </c>
      <c r="E604" s="15">
        <f t="shared" si="282"/>
        <v>0</v>
      </c>
      <c r="F604" s="15">
        <f t="shared" si="282"/>
        <v>0</v>
      </c>
      <c r="G604" s="15">
        <f>SUM(G601:G602)</f>
        <v>405</v>
      </c>
      <c r="H604" s="15">
        <f>SUM(H601:H602)</f>
        <v>405</v>
      </c>
      <c r="I604" s="15">
        <f t="shared" si="282"/>
        <v>0</v>
      </c>
      <c r="J604" s="8"/>
    </row>
    <row r="605" spans="1:11" x14ac:dyDescent="0.2">
      <c r="A605" s="16"/>
      <c r="B605" s="1" t="s">
        <v>27</v>
      </c>
      <c r="C605" s="15">
        <f t="shared" ref="C605:I605" si="283">C604*16</f>
        <v>6480</v>
      </c>
      <c r="D605" s="15">
        <f t="shared" si="283"/>
        <v>0</v>
      </c>
      <c r="E605" s="15">
        <f t="shared" si="283"/>
        <v>0</v>
      </c>
      <c r="F605" s="15">
        <f t="shared" si="283"/>
        <v>0</v>
      </c>
      <c r="G605" s="15">
        <f t="shared" si="283"/>
        <v>6480</v>
      </c>
      <c r="H605" s="15">
        <f t="shared" si="283"/>
        <v>6480</v>
      </c>
      <c r="I605" s="15">
        <f t="shared" si="283"/>
        <v>0</v>
      </c>
      <c r="J605" s="3">
        <f>SUM(C605:I605)</f>
        <v>19440</v>
      </c>
    </row>
    <row r="606" spans="1:11" x14ac:dyDescent="0.2">
      <c r="A606" s="16"/>
      <c r="B606" s="1"/>
      <c r="C606" s="15"/>
      <c r="D606" s="18"/>
      <c r="E606" s="18"/>
      <c r="F606" s="18"/>
      <c r="G606" s="21"/>
      <c r="H606" s="18"/>
      <c r="I606" s="15"/>
      <c r="J606" s="3"/>
    </row>
    <row r="607" spans="1:11" x14ac:dyDescent="0.2">
      <c r="A607" s="13"/>
      <c r="B607" s="2" t="s">
        <v>82</v>
      </c>
      <c r="C607" s="11">
        <f>(C599+C602)*16</f>
        <v>-24000</v>
      </c>
      <c r="D607" s="11">
        <f t="shared" ref="D607:I607" si="284">(D599+D602)*16</f>
        <v>0</v>
      </c>
      <c r="E607" s="11">
        <f t="shared" si="284"/>
        <v>0</v>
      </c>
      <c r="F607" s="11">
        <f t="shared" si="284"/>
        <v>0</v>
      </c>
      <c r="G607" s="11">
        <f t="shared" si="284"/>
        <v>-24000</v>
      </c>
      <c r="H607" s="11">
        <f t="shared" si="284"/>
        <v>-24000</v>
      </c>
      <c r="I607" s="11">
        <f t="shared" si="284"/>
        <v>0</v>
      </c>
    </row>
    <row r="608" spans="1:11" x14ac:dyDescent="0.2">
      <c r="A608" s="13"/>
      <c r="B608" s="2" t="s">
        <v>83</v>
      </c>
      <c r="C608" s="11">
        <f>C600*16</f>
        <v>30480</v>
      </c>
      <c r="D608" s="11">
        <f t="shared" ref="D608:I608" si="285">D600*16</f>
        <v>0</v>
      </c>
      <c r="E608" s="11">
        <f t="shared" si="285"/>
        <v>0</v>
      </c>
      <c r="F608" s="11">
        <f t="shared" si="285"/>
        <v>0</v>
      </c>
      <c r="G608" s="11">
        <f t="shared" si="285"/>
        <v>30480</v>
      </c>
      <c r="H608" s="11">
        <f t="shared" si="285"/>
        <v>30480</v>
      </c>
      <c r="I608" s="11">
        <f t="shared" si="285"/>
        <v>0</v>
      </c>
    </row>
    <row r="609" spans="1:15" x14ac:dyDescent="0.2">
      <c r="A609" s="13"/>
      <c r="B609" s="2" t="s">
        <v>77</v>
      </c>
      <c r="C609" s="11">
        <f t="shared" ref="C609:I609" si="286">SUM(C607:C608)</f>
        <v>6480</v>
      </c>
      <c r="D609" s="11">
        <f t="shared" si="286"/>
        <v>0</v>
      </c>
      <c r="E609" s="11">
        <f t="shared" si="286"/>
        <v>0</v>
      </c>
      <c r="F609" s="11">
        <f t="shared" si="286"/>
        <v>0</v>
      </c>
      <c r="G609" s="11">
        <f t="shared" si="286"/>
        <v>6480</v>
      </c>
      <c r="H609" s="11">
        <f t="shared" si="286"/>
        <v>6480</v>
      </c>
      <c r="I609" s="11">
        <f t="shared" si="286"/>
        <v>0</v>
      </c>
    </row>
    <row r="610" spans="1:15" x14ac:dyDescent="0.2">
      <c r="A610" s="13"/>
    </row>
    <row r="611" spans="1:15" x14ac:dyDescent="0.2">
      <c r="A611" s="16"/>
      <c r="B611" s="1"/>
      <c r="C611" s="15"/>
      <c r="D611" s="18"/>
      <c r="E611" s="18"/>
      <c r="F611" s="18"/>
      <c r="G611" s="21"/>
      <c r="H611" s="18"/>
      <c r="I611" s="15"/>
      <c r="J611" s="3"/>
    </row>
    <row r="612" spans="1:15" s="1" customFormat="1" x14ac:dyDescent="0.2">
      <c r="A612" s="1" t="s">
        <v>49</v>
      </c>
      <c r="B612" s="5" t="s">
        <v>19</v>
      </c>
      <c r="C612" s="28">
        <v>37257</v>
      </c>
      <c r="D612" s="6">
        <v>37258</v>
      </c>
      <c r="E612" s="6">
        <v>37259</v>
      </c>
      <c r="F612" s="6">
        <v>37260</v>
      </c>
      <c r="G612" s="28">
        <v>37261</v>
      </c>
      <c r="H612" s="28">
        <v>37262</v>
      </c>
      <c r="I612" s="6">
        <v>37263</v>
      </c>
      <c r="J612" s="8"/>
      <c r="K612" s="7"/>
    </row>
    <row r="613" spans="1:15" x14ac:dyDescent="0.2">
      <c r="B613" s="1" t="s">
        <v>3</v>
      </c>
      <c r="E613" s="2"/>
      <c r="G613" s="2"/>
      <c r="H613" s="2"/>
      <c r="I613" s="2"/>
      <c r="K613" s="4"/>
    </row>
    <row r="614" spans="1:15" x14ac:dyDescent="0.2">
      <c r="B614" s="8" t="s">
        <v>4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K614" s="4"/>
    </row>
    <row r="615" spans="1:15" x14ac:dyDescent="0.2">
      <c r="B615" s="1" t="s">
        <v>5</v>
      </c>
      <c r="C615" s="2">
        <v>695</v>
      </c>
      <c r="D615" s="2">
        <v>695</v>
      </c>
      <c r="E615" s="2">
        <v>695</v>
      </c>
      <c r="F615" s="2">
        <v>695</v>
      </c>
      <c r="G615" s="2">
        <v>695</v>
      </c>
      <c r="H615" s="2">
        <v>695</v>
      </c>
      <c r="I615" s="2">
        <v>695</v>
      </c>
      <c r="K615" s="4"/>
      <c r="N615" s="2">
        <v>24776947</v>
      </c>
    </row>
    <row r="616" spans="1:15" x14ac:dyDescent="0.2">
      <c r="B616" s="8" t="s">
        <v>4</v>
      </c>
      <c r="C616" s="3">
        <v>42.25</v>
      </c>
      <c r="D616" s="3">
        <v>42.25</v>
      </c>
      <c r="E616" s="3">
        <v>42.25</v>
      </c>
      <c r="F616" s="3">
        <v>42.25</v>
      </c>
      <c r="G616" s="3">
        <v>42.25</v>
      </c>
      <c r="H616" s="3">
        <v>42.25</v>
      </c>
      <c r="I616" s="3">
        <v>42.25</v>
      </c>
      <c r="K616" s="4"/>
      <c r="N616" s="2">
        <v>12</v>
      </c>
    </row>
    <row r="617" spans="1:15" x14ac:dyDescent="0.2">
      <c r="B617" s="7" t="s">
        <v>6</v>
      </c>
      <c r="C617" s="4">
        <f>C613-C615</f>
        <v>-695</v>
      </c>
      <c r="D617" s="4">
        <f t="shared" ref="D617:I617" si="287">D613-D615</f>
        <v>-695</v>
      </c>
      <c r="E617" s="4">
        <f t="shared" si="287"/>
        <v>-695</v>
      </c>
      <c r="F617" s="4">
        <f t="shared" si="287"/>
        <v>-695</v>
      </c>
      <c r="G617" s="4">
        <f t="shared" si="287"/>
        <v>-695</v>
      </c>
      <c r="H617" s="4">
        <f t="shared" si="287"/>
        <v>-695</v>
      </c>
      <c r="I617" s="4">
        <f t="shared" si="287"/>
        <v>-695</v>
      </c>
      <c r="K617" s="4"/>
      <c r="N617" s="2">
        <f>N615/N616</f>
        <v>2064745.5833333333</v>
      </c>
      <c r="O617" s="25">
        <f>N617/7</f>
        <v>294963.65476190473</v>
      </c>
    </row>
    <row r="618" spans="1:15" x14ac:dyDescent="0.2">
      <c r="B618" s="9" t="s">
        <v>7</v>
      </c>
      <c r="C618" s="10">
        <v>30</v>
      </c>
      <c r="D618" s="29">
        <v>40</v>
      </c>
      <c r="E618" s="29">
        <v>40</v>
      </c>
      <c r="F618" s="29">
        <v>40</v>
      </c>
      <c r="G618" s="10">
        <v>30</v>
      </c>
      <c r="H618" s="10">
        <v>30</v>
      </c>
      <c r="I618" s="29">
        <v>40</v>
      </c>
      <c r="K618" s="4"/>
    </row>
    <row r="619" spans="1:15" x14ac:dyDescent="0.2">
      <c r="B619" s="9"/>
      <c r="C619" s="11"/>
      <c r="D619" s="19"/>
      <c r="E619" s="19"/>
      <c r="F619" s="19"/>
      <c r="G619" s="11"/>
      <c r="H619" s="11"/>
      <c r="I619" s="19"/>
      <c r="K619" s="4"/>
    </row>
    <row r="620" spans="1:15" x14ac:dyDescent="0.2">
      <c r="B620" s="9" t="s">
        <v>8</v>
      </c>
      <c r="C620" s="12">
        <f t="shared" ref="C620:I620" si="288">(C613*C614)*(-1)</f>
        <v>0</v>
      </c>
      <c r="D620" s="12">
        <f t="shared" si="288"/>
        <v>0</v>
      </c>
      <c r="E620" s="12">
        <f t="shared" si="288"/>
        <v>0</v>
      </c>
      <c r="F620" s="12">
        <f t="shared" si="288"/>
        <v>0</v>
      </c>
      <c r="G620" s="12">
        <f t="shared" si="288"/>
        <v>0</v>
      </c>
      <c r="H620" s="12">
        <f t="shared" si="288"/>
        <v>0</v>
      </c>
      <c r="I620" s="12">
        <f t="shared" si="288"/>
        <v>0</v>
      </c>
      <c r="K620" s="4"/>
    </row>
    <row r="621" spans="1:15" x14ac:dyDescent="0.2">
      <c r="B621" s="9" t="s">
        <v>9</v>
      </c>
      <c r="C621" s="11">
        <f t="shared" ref="C621:I621" si="289">C615*C616</f>
        <v>29363.75</v>
      </c>
      <c r="D621" s="11">
        <f t="shared" si="289"/>
        <v>29363.75</v>
      </c>
      <c r="E621" s="11">
        <f t="shared" si="289"/>
        <v>29363.75</v>
      </c>
      <c r="F621" s="11">
        <f t="shared" si="289"/>
        <v>29363.75</v>
      </c>
      <c r="G621" s="11">
        <f t="shared" si="289"/>
        <v>29363.75</v>
      </c>
      <c r="H621" s="11">
        <f t="shared" si="289"/>
        <v>29363.75</v>
      </c>
      <c r="I621" s="11">
        <f t="shared" si="289"/>
        <v>29363.75</v>
      </c>
      <c r="K621" s="4"/>
    </row>
    <row r="622" spans="1:15" x14ac:dyDescent="0.2">
      <c r="B622" s="7" t="s">
        <v>10</v>
      </c>
      <c r="C622" s="11">
        <f t="shared" ref="C622:I622" si="290">SUM(C620:C621)</f>
        <v>29363.75</v>
      </c>
      <c r="D622" s="11">
        <f t="shared" si="290"/>
        <v>29363.75</v>
      </c>
      <c r="E622" s="11">
        <f t="shared" si="290"/>
        <v>29363.75</v>
      </c>
      <c r="F622" s="11">
        <f t="shared" si="290"/>
        <v>29363.75</v>
      </c>
      <c r="G622" s="11">
        <f t="shared" si="290"/>
        <v>29363.75</v>
      </c>
      <c r="H622" s="11">
        <f t="shared" si="290"/>
        <v>29363.75</v>
      </c>
      <c r="I622" s="11">
        <f t="shared" si="290"/>
        <v>29363.75</v>
      </c>
      <c r="K622" s="4"/>
    </row>
    <row r="623" spans="1:15" x14ac:dyDescent="0.2">
      <c r="A623" s="13"/>
      <c r="B623" s="2" t="s">
        <v>11</v>
      </c>
      <c r="C623" s="12">
        <f t="shared" ref="C623:I623" si="291">C617*C618</f>
        <v>-20850</v>
      </c>
      <c r="D623" s="12">
        <f t="shared" si="291"/>
        <v>-27800</v>
      </c>
      <c r="E623" s="12">
        <f t="shared" si="291"/>
        <v>-27800</v>
      </c>
      <c r="F623" s="12">
        <f t="shared" si="291"/>
        <v>-27800</v>
      </c>
      <c r="G623" s="12">
        <f t="shared" si="291"/>
        <v>-20850</v>
      </c>
      <c r="H623" s="12">
        <f t="shared" si="291"/>
        <v>-20850</v>
      </c>
      <c r="I623" s="12">
        <f t="shared" si="291"/>
        <v>-27800</v>
      </c>
    </row>
    <row r="624" spans="1:15" x14ac:dyDescent="0.2">
      <c r="A624" s="14"/>
      <c r="E624" s="2"/>
      <c r="G624" s="2"/>
      <c r="H624" s="2"/>
      <c r="I624" s="2"/>
    </row>
    <row r="625" spans="1:11" s="1" customFormat="1" x14ac:dyDescent="0.2">
      <c r="A625" s="13"/>
      <c r="B625" s="1" t="s">
        <v>12</v>
      </c>
      <c r="C625" s="15">
        <f t="shared" ref="C625:I625" si="292">SUM(C622:C623)</f>
        <v>8513.75</v>
      </c>
      <c r="D625" s="15">
        <f t="shared" si="292"/>
        <v>1563.75</v>
      </c>
      <c r="E625" s="15">
        <f t="shared" si="292"/>
        <v>1563.75</v>
      </c>
      <c r="F625" s="15">
        <f t="shared" si="292"/>
        <v>1563.75</v>
      </c>
      <c r="G625" s="15">
        <f t="shared" si="292"/>
        <v>8513.75</v>
      </c>
      <c r="H625" s="15">
        <f t="shared" si="292"/>
        <v>8513.75</v>
      </c>
      <c r="I625" s="15">
        <f t="shared" si="292"/>
        <v>1563.75</v>
      </c>
      <c r="J625" s="8"/>
    </row>
    <row r="626" spans="1:11" x14ac:dyDescent="0.2">
      <c r="A626" s="16"/>
      <c r="B626" s="1" t="s">
        <v>27</v>
      </c>
      <c r="C626" s="15">
        <f t="shared" ref="C626:I626" si="293">C625*16</f>
        <v>136220</v>
      </c>
      <c r="D626" s="15">
        <f t="shared" si="293"/>
        <v>25020</v>
      </c>
      <c r="E626" s="15">
        <f t="shared" si="293"/>
        <v>25020</v>
      </c>
      <c r="F626" s="15">
        <f t="shared" si="293"/>
        <v>25020</v>
      </c>
      <c r="G626" s="15">
        <f t="shared" si="293"/>
        <v>136220</v>
      </c>
      <c r="H626" s="15">
        <f t="shared" si="293"/>
        <v>136220</v>
      </c>
      <c r="I626" s="15">
        <f t="shared" si="293"/>
        <v>25020</v>
      </c>
      <c r="J626" s="3">
        <f>SUM(C626:I626)</f>
        <v>508740</v>
      </c>
    </row>
    <row r="627" spans="1:11" x14ac:dyDescent="0.2">
      <c r="A627" s="16"/>
      <c r="B627" s="1"/>
      <c r="C627" s="15"/>
      <c r="D627" s="18"/>
      <c r="E627" s="18"/>
      <c r="F627" s="18"/>
      <c r="G627" s="21"/>
      <c r="H627" s="18"/>
      <c r="I627" s="15"/>
      <c r="J627" s="3"/>
    </row>
    <row r="628" spans="1:11" x14ac:dyDescent="0.2">
      <c r="A628" s="13"/>
      <c r="B628" s="2" t="s">
        <v>82</v>
      </c>
      <c r="C628" s="11">
        <f>(C620+C623)*16</f>
        <v>-333600</v>
      </c>
      <c r="D628" s="11">
        <f t="shared" ref="D628:I628" si="294">(D620+D623)*16</f>
        <v>-444800</v>
      </c>
      <c r="E628" s="11">
        <f t="shared" si="294"/>
        <v>-444800</v>
      </c>
      <c r="F628" s="11">
        <f t="shared" si="294"/>
        <v>-444800</v>
      </c>
      <c r="G628" s="11">
        <f t="shared" si="294"/>
        <v>-333600</v>
      </c>
      <c r="H628" s="11">
        <f t="shared" si="294"/>
        <v>-333600</v>
      </c>
      <c r="I628" s="11">
        <f t="shared" si="294"/>
        <v>-444800</v>
      </c>
    </row>
    <row r="629" spans="1:11" x14ac:dyDescent="0.2">
      <c r="A629" s="13"/>
      <c r="B629" s="2" t="s">
        <v>83</v>
      </c>
      <c r="C629" s="11">
        <f>C621*16</f>
        <v>469820</v>
      </c>
      <c r="D629" s="11">
        <f t="shared" ref="D629:I629" si="295">D621*16</f>
        <v>469820</v>
      </c>
      <c r="E629" s="11">
        <f t="shared" si="295"/>
        <v>469820</v>
      </c>
      <c r="F629" s="11">
        <f t="shared" si="295"/>
        <v>469820</v>
      </c>
      <c r="G629" s="11">
        <f t="shared" si="295"/>
        <v>469820</v>
      </c>
      <c r="H629" s="11">
        <f t="shared" si="295"/>
        <v>469820</v>
      </c>
      <c r="I629" s="11">
        <f t="shared" si="295"/>
        <v>469820</v>
      </c>
    </row>
    <row r="630" spans="1:11" x14ac:dyDescent="0.2">
      <c r="A630" s="13"/>
      <c r="B630" s="2" t="s">
        <v>77</v>
      </c>
      <c r="C630" s="11">
        <f t="shared" ref="C630:I630" si="296">SUM(C628:C629)</f>
        <v>136220</v>
      </c>
      <c r="D630" s="11">
        <f t="shared" si="296"/>
        <v>25020</v>
      </c>
      <c r="E630" s="11">
        <f t="shared" si="296"/>
        <v>25020</v>
      </c>
      <c r="F630" s="11">
        <f t="shared" si="296"/>
        <v>25020</v>
      </c>
      <c r="G630" s="11">
        <f t="shared" si="296"/>
        <v>136220</v>
      </c>
      <c r="H630" s="11">
        <f t="shared" si="296"/>
        <v>136220</v>
      </c>
      <c r="I630" s="11">
        <f t="shared" si="296"/>
        <v>25020</v>
      </c>
    </row>
    <row r="631" spans="1:11" x14ac:dyDescent="0.2">
      <c r="A631" s="13"/>
    </row>
    <row r="632" spans="1:11" s="1" customFormat="1" x14ac:dyDescent="0.2">
      <c r="A632" s="1" t="s">
        <v>23</v>
      </c>
      <c r="B632" s="5" t="s">
        <v>19</v>
      </c>
      <c r="C632" s="28">
        <v>37257</v>
      </c>
      <c r="D632" s="6">
        <v>37258</v>
      </c>
      <c r="E632" s="6">
        <v>37259</v>
      </c>
      <c r="F632" s="6">
        <v>37260</v>
      </c>
      <c r="G632" s="28">
        <v>37261</v>
      </c>
      <c r="H632" s="28">
        <v>37262</v>
      </c>
      <c r="I632" s="6">
        <v>37263</v>
      </c>
      <c r="J632" s="8"/>
      <c r="K632" s="7"/>
    </row>
    <row r="633" spans="1:11" x14ac:dyDescent="0.2">
      <c r="B633" s="1" t="s">
        <v>3</v>
      </c>
      <c r="D633" s="19">
        <v>0</v>
      </c>
      <c r="E633" s="19">
        <v>0</v>
      </c>
      <c r="F633" s="19">
        <v>0</v>
      </c>
      <c r="G633" s="10"/>
      <c r="H633" s="21"/>
      <c r="I633" s="19">
        <v>0</v>
      </c>
      <c r="K633" s="4"/>
    </row>
    <row r="634" spans="1:11" x14ac:dyDescent="0.2">
      <c r="B634" s="8" t="s">
        <v>4</v>
      </c>
      <c r="C634" s="3">
        <v>0</v>
      </c>
      <c r="D634" s="10">
        <v>0</v>
      </c>
      <c r="E634" s="10">
        <v>0</v>
      </c>
      <c r="F634" s="10">
        <v>0</v>
      </c>
      <c r="G634" s="10"/>
      <c r="H634" s="21"/>
      <c r="I634" s="10">
        <v>0</v>
      </c>
      <c r="K634" s="4"/>
    </row>
    <row r="635" spans="1:11" x14ac:dyDescent="0.2">
      <c r="B635" s="1" t="s">
        <v>5</v>
      </c>
      <c r="C635" s="2">
        <v>275</v>
      </c>
      <c r="D635" s="2">
        <v>275</v>
      </c>
      <c r="E635" s="2">
        <v>275</v>
      </c>
      <c r="F635" s="2">
        <v>275</v>
      </c>
      <c r="G635" s="2">
        <v>275</v>
      </c>
      <c r="H635" s="2">
        <v>275</v>
      </c>
      <c r="I635" s="2">
        <v>275</v>
      </c>
      <c r="K635" s="4"/>
    </row>
    <row r="636" spans="1:11" x14ac:dyDescent="0.2">
      <c r="B636" s="8" t="s">
        <v>4</v>
      </c>
      <c r="C636" s="3">
        <v>77.8</v>
      </c>
      <c r="D636" s="3">
        <v>77.8</v>
      </c>
      <c r="E636" s="3">
        <v>77.8</v>
      </c>
      <c r="F636" s="3">
        <v>77.8</v>
      </c>
      <c r="G636" s="3">
        <v>77.8</v>
      </c>
      <c r="H636" s="3">
        <v>77.8</v>
      </c>
      <c r="I636" s="3">
        <v>77.8</v>
      </c>
      <c r="K636" s="4"/>
    </row>
    <row r="637" spans="1:11" x14ac:dyDescent="0.2">
      <c r="B637" s="7" t="s">
        <v>6</v>
      </c>
      <c r="C637" s="4">
        <f>C633-C635</f>
        <v>-275</v>
      </c>
      <c r="D637" s="4">
        <f t="shared" ref="D637:I637" si="297">D633-D635</f>
        <v>-275</v>
      </c>
      <c r="E637" s="4">
        <f t="shared" si="297"/>
        <v>-275</v>
      </c>
      <c r="F637" s="4">
        <f t="shared" si="297"/>
        <v>-275</v>
      </c>
      <c r="G637" s="4">
        <f t="shared" si="297"/>
        <v>-275</v>
      </c>
      <c r="H637" s="4">
        <f t="shared" si="297"/>
        <v>-275</v>
      </c>
      <c r="I637" s="4">
        <f t="shared" si="297"/>
        <v>-275</v>
      </c>
      <c r="K637" s="4"/>
    </row>
    <row r="638" spans="1:11" x14ac:dyDescent="0.2">
      <c r="B638" s="9" t="s">
        <v>7</v>
      </c>
      <c r="C638" s="10">
        <v>30</v>
      </c>
      <c r="D638" s="29">
        <v>40</v>
      </c>
      <c r="E638" s="29">
        <v>40</v>
      </c>
      <c r="F638" s="29">
        <v>40</v>
      </c>
      <c r="G638" s="10">
        <v>30</v>
      </c>
      <c r="H638" s="10">
        <v>30</v>
      </c>
      <c r="I638" s="29">
        <v>40</v>
      </c>
      <c r="K638" s="4"/>
    </row>
    <row r="639" spans="1:11" x14ac:dyDescent="0.2">
      <c r="B639" s="9"/>
      <c r="C639" s="11"/>
      <c r="D639" s="19"/>
      <c r="E639" s="19"/>
      <c r="F639" s="10"/>
      <c r="G639" s="10"/>
      <c r="H639" s="21"/>
      <c r="K639" s="4"/>
    </row>
    <row r="640" spans="1:11" x14ac:dyDescent="0.2">
      <c r="B640" s="9" t="s">
        <v>8</v>
      </c>
      <c r="C640" s="12">
        <f t="shared" ref="C640:I640" si="298">(C633*C634)*(-1)</f>
        <v>0</v>
      </c>
      <c r="D640" s="12">
        <f t="shared" si="298"/>
        <v>0</v>
      </c>
      <c r="E640" s="12">
        <f t="shared" si="298"/>
        <v>0</v>
      </c>
      <c r="F640" s="12">
        <f t="shared" si="298"/>
        <v>0</v>
      </c>
      <c r="G640" s="12">
        <f t="shared" si="298"/>
        <v>0</v>
      </c>
      <c r="H640" s="12">
        <f t="shared" si="298"/>
        <v>0</v>
      </c>
      <c r="I640" s="12">
        <f t="shared" si="298"/>
        <v>0</v>
      </c>
      <c r="K640" s="4"/>
    </row>
    <row r="641" spans="1:11" x14ac:dyDescent="0.2">
      <c r="B641" s="9" t="s">
        <v>9</v>
      </c>
      <c r="C641" s="11">
        <f t="shared" ref="C641:I641" si="299">C635*C636</f>
        <v>21395</v>
      </c>
      <c r="D641" s="11">
        <f t="shared" si="299"/>
        <v>21395</v>
      </c>
      <c r="E641" s="11">
        <f t="shared" si="299"/>
        <v>21395</v>
      </c>
      <c r="F641" s="11">
        <f t="shared" si="299"/>
        <v>21395</v>
      </c>
      <c r="G641" s="11">
        <f t="shared" si="299"/>
        <v>21395</v>
      </c>
      <c r="H641" s="11">
        <f t="shared" si="299"/>
        <v>21395</v>
      </c>
      <c r="I641" s="11">
        <f t="shared" si="299"/>
        <v>21395</v>
      </c>
      <c r="K641" s="4"/>
    </row>
    <row r="642" spans="1:11" x14ac:dyDescent="0.2">
      <c r="B642" s="7" t="s">
        <v>10</v>
      </c>
      <c r="C642" s="11">
        <f t="shared" ref="C642:I642" si="300">SUM(C640:C641)</f>
        <v>21395</v>
      </c>
      <c r="D642" s="11">
        <f t="shared" si="300"/>
        <v>21395</v>
      </c>
      <c r="E642" s="11">
        <f t="shared" si="300"/>
        <v>21395</v>
      </c>
      <c r="F642" s="11">
        <f t="shared" si="300"/>
        <v>21395</v>
      </c>
      <c r="G642" s="11">
        <f t="shared" si="300"/>
        <v>21395</v>
      </c>
      <c r="H642" s="11">
        <f t="shared" si="300"/>
        <v>21395</v>
      </c>
      <c r="I642" s="11">
        <f t="shared" si="300"/>
        <v>21395</v>
      </c>
      <c r="K642" s="4"/>
    </row>
    <row r="643" spans="1:11" x14ac:dyDescent="0.2">
      <c r="A643" s="13"/>
      <c r="B643" s="2" t="s">
        <v>11</v>
      </c>
      <c r="C643" s="12">
        <f t="shared" ref="C643:I643" si="301">C637*C638</f>
        <v>-8250</v>
      </c>
      <c r="D643" s="12">
        <f t="shared" si="301"/>
        <v>-11000</v>
      </c>
      <c r="E643" s="12">
        <f t="shared" si="301"/>
        <v>-11000</v>
      </c>
      <c r="F643" s="12">
        <f t="shared" si="301"/>
        <v>-11000</v>
      </c>
      <c r="G643" s="12">
        <f t="shared" si="301"/>
        <v>-8250</v>
      </c>
      <c r="H643" s="12">
        <f t="shared" si="301"/>
        <v>-8250</v>
      </c>
      <c r="I643" s="12">
        <f t="shared" si="301"/>
        <v>-11000</v>
      </c>
    </row>
    <row r="644" spans="1:11" x14ac:dyDescent="0.2">
      <c r="A644" s="14"/>
      <c r="E644" s="2"/>
      <c r="G644" s="2"/>
      <c r="H644" s="2"/>
      <c r="I644" s="2"/>
    </row>
    <row r="645" spans="1:11" s="1" customFormat="1" x14ac:dyDescent="0.2">
      <c r="A645" s="13"/>
      <c r="B645" s="1" t="s">
        <v>12</v>
      </c>
      <c r="C645" s="15">
        <f t="shared" ref="C645:I645" si="302">SUM(C642:C643)</f>
        <v>13145</v>
      </c>
      <c r="D645" s="15">
        <f t="shared" si="302"/>
        <v>10395</v>
      </c>
      <c r="E645" s="15">
        <f t="shared" si="302"/>
        <v>10395</v>
      </c>
      <c r="F645" s="15">
        <f t="shared" si="302"/>
        <v>10395</v>
      </c>
      <c r="G645" s="15">
        <f t="shared" si="302"/>
        <v>13145</v>
      </c>
      <c r="H645" s="15">
        <f t="shared" si="302"/>
        <v>13145</v>
      </c>
      <c r="I645" s="15">
        <f t="shared" si="302"/>
        <v>10395</v>
      </c>
      <c r="J645" s="8"/>
    </row>
    <row r="646" spans="1:11" x14ac:dyDescent="0.2">
      <c r="A646" s="16"/>
      <c r="B646" s="1" t="s">
        <v>13</v>
      </c>
      <c r="C646" s="15">
        <f t="shared" ref="C646:I646" si="303">C645*16</f>
        <v>210320</v>
      </c>
      <c r="D646" s="15">
        <f t="shared" si="303"/>
        <v>166320</v>
      </c>
      <c r="E646" s="15">
        <f t="shared" si="303"/>
        <v>166320</v>
      </c>
      <c r="F646" s="15">
        <f t="shared" si="303"/>
        <v>166320</v>
      </c>
      <c r="G646" s="15">
        <f t="shared" si="303"/>
        <v>210320</v>
      </c>
      <c r="H646" s="15">
        <f t="shared" si="303"/>
        <v>210320</v>
      </c>
      <c r="I646" s="15">
        <f t="shared" si="303"/>
        <v>166320</v>
      </c>
      <c r="J646" s="3">
        <f>SUM(C646:I646)</f>
        <v>1296240</v>
      </c>
    </row>
    <row r="647" spans="1:11" x14ac:dyDescent="0.2">
      <c r="A647" s="16"/>
      <c r="B647" s="1"/>
      <c r="C647" s="15"/>
      <c r="D647" s="18"/>
      <c r="E647" s="18"/>
      <c r="F647" s="18"/>
      <c r="G647" s="21"/>
      <c r="H647" s="18"/>
      <c r="I647" s="15"/>
      <c r="J647" s="3"/>
    </row>
    <row r="648" spans="1:11" x14ac:dyDescent="0.2">
      <c r="A648" s="13"/>
      <c r="B648" s="2" t="s">
        <v>82</v>
      </c>
      <c r="C648" s="11">
        <f>(C640+C643)*16</f>
        <v>-132000</v>
      </c>
      <c r="D648" s="11">
        <f t="shared" ref="D648:I648" si="304">(D640+D643)*16</f>
        <v>-176000</v>
      </c>
      <c r="E648" s="11">
        <f t="shared" si="304"/>
        <v>-176000</v>
      </c>
      <c r="F648" s="11">
        <f t="shared" si="304"/>
        <v>-176000</v>
      </c>
      <c r="G648" s="11">
        <f t="shared" si="304"/>
        <v>-132000</v>
      </c>
      <c r="H648" s="11">
        <f t="shared" si="304"/>
        <v>-132000</v>
      </c>
      <c r="I648" s="11">
        <f t="shared" si="304"/>
        <v>-176000</v>
      </c>
    </row>
    <row r="649" spans="1:11" x14ac:dyDescent="0.2">
      <c r="A649" s="13"/>
      <c r="B649" s="2" t="s">
        <v>83</v>
      </c>
      <c r="C649" s="11">
        <f>C641*16</f>
        <v>342320</v>
      </c>
      <c r="D649" s="11">
        <f t="shared" ref="D649:I649" si="305">D641*16</f>
        <v>342320</v>
      </c>
      <c r="E649" s="11">
        <f t="shared" si="305"/>
        <v>342320</v>
      </c>
      <c r="F649" s="11">
        <f t="shared" si="305"/>
        <v>342320</v>
      </c>
      <c r="G649" s="11">
        <f t="shared" si="305"/>
        <v>342320</v>
      </c>
      <c r="H649" s="11">
        <f t="shared" si="305"/>
        <v>342320</v>
      </c>
      <c r="I649" s="11">
        <f t="shared" si="305"/>
        <v>342320</v>
      </c>
    </row>
    <row r="650" spans="1:11" x14ac:dyDescent="0.2">
      <c r="A650" s="13"/>
      <c r="B650" s="2" t="s">
        <v>77</v>
      </c>
      <c r="C650" s="11">
        <f t="shared" ref="C650:I650" si="306">SUM(C648:C649)</f>
        <v>210320</v>
      </c>
      <c r="D650" s="11">
        <f t="shared" si="306"/>
        <v>166320</v>
      </c>
      <c r="E650" s="11">
        <f t="shared" si="306"/>
        <v>166320</v>
      </c>
      <c r="F650" s="11">
        <f t="shared" si="306"/>
        <v>166320</v>
      </c>
      <c r="G650" s="11">
        <f t="shared" si="306"/>
        <v>210320</v>
      </c>
      <c r="H650" s="11">
        <f t="shared" si="306"/>
        <v>210320</v>
      </c>
      <c r="I650" s="11">
        <f t="shared" si="306"/>
        <v>166320</v>
      </c>
    </row>
    <row r="651" spans="1:11" x14ac:dyDescent="0.2">
      <c r="A651" s="13"/>
    </row>
    <row r="652" spans="1:11" s="1" customFormat="1" x14ac:dyDescent="0.2">
      <c r="A652" s="1" t="s">
        <v>50</v>
      </c>
      <c r="B652" s="5" t="s">
        <v>19</v>
      </c>
      <c r="C652" s="28">
        <v>37257</v>
      </c>
      <c r="D652" s="6">
        <v>37258</v>
      </c>
      <c r="E652" s="6">
        <v>37259</v>
      </c>
      <c r="F652" s="6">
        <v>37260</v>
      </c>
      <c r="G652" s="28">
        <v>37261</v>
      </c>
      <c r="H652" s="28">
        <v>37262</v>
      </c>
      <c r="I652" s="6">
        <v>37263</v>
      </c>
      <c r="J652" s="8"/>
      <c r="K652" s="7"/>
    </row>
    <row r="653" spans="1:11" x14ac:dyDescent="0.2">
      <c r="B653" s="1" t="s">
        <v>3</v>
      </c>
      <c r="D653" s="19">
        <v>0</v>
      </c>
      <c r="E653" s="19">
        <v>0</v>
      </c>
      <c r="F653" s="19">
        <v>0</v>
      </c>
      <c r="G653" s="10"/>
      <c r="H653" s="21"/>
      <c r="I653" s="19">
        <v>0</v>
      </c>
      <c r="K653" s="4"/>
    </row>
    <row r="654" spans="1:11" x14ac:dyDescent="0.2">
      <c r="B654" s="8" t="s">
        <v>4</v>
      </c>
      <c r="C654" s="3">
        <v>0</v>
      </c>
      <c r="D654" s="10">
        <v>0</v>
      </c>
      <c r="E654" s="10">
        <v>0</v>
      </c>
      <c r="F654" s="10">
        <v>0</v>
      </c>
      <c r="G654" s="10"/>
      <c r="H654" s="21"/>
      <c r="I654" s="10">
        <v>0</v>
      </c>
      <c r="K654" s="4"/>
    </row>
    <row r="655" spans="1:11" x14ac:dyDescent="0.2">
      <c r="B655" s="1" t="s">
        <v>5</v>
      </c>
      <c r="C655" s="2">
        <v>62</v>
      </c>
      <c r="D655" s="2">
        <v>62</v>
      </c>
      <c r="E655" s="2">
        <v>62</v>
      </c>
      <c r="F655" s="2">
        <v>62</v>
      </c>
      <c r="G655" s="2">
        <v>62</v>
      </c>
      <c r="H655" s="2">
        <v>62</v>
      </c>
      <c r="I655" s="2">
        <v>62</v>
      </c>
      <c r="K655" s="4"/>
    </row>
    <row r="656" spans="1:11" x14ac:dyDescent="0.2">
      <c r="B656" s="8" t="s">
        <v>4</v>
      </c>
      <c r="C656" s="3">
        <v>77.2</v>
      </c>
      <c r="D656" s="3">
        <v>77.2</v>
      </c>
      <c r="E656" s="3">
        <v>77.2</v>
      </c>
      <c r="F656" s="3">
        <v>77.2</v>
      </c>
      <c r="G656" s="3">
        <v>77.2</v>
      </c>
      <c r="H656" s="3">
        <v>77.2</v>
      </c>
      <c r="I656" s="3">
        <v>77.2</v>
      </c>
      <c r="K656" s="4"/>
    </row>
    <row r="657" spans="1:11" x14ac:dyDescent="0.2">
      <c r="B657" s="7" t="s">
        <v>6</v>
      </c>
      <c r="C657" s="4">
        <f>C653-C655</f>
        <v>-62</v>
      </c>
      <c r="D657" s="4">
        <f t="shared" ref="D657:I657" si="307">D653-D655</f>
        <v>-62</v>
      </c>
      <c r="E657" s="4">
        <f t="shared" si="307"/>
        <v>-62</v>
      </c>
      <c r="F657" s="4">
        <f t="shared" si="307"/>
        <v>-62</v>
      </c>
      <c r="G657" s="4">
        <f t="shared" si="307"/>
        <v>-62</v>
      </c>
      <c r="H657" s="4">
        <f t="shared" si="307"/>
        <v>-62</v>
      </c>
      <c r="I657" s="4">
        <f t="shared" si="307"/>
        <v>-62</v>
      </c>
      <c r="K657" s="4"/>
    </row>
    <row r="658" spans="1:11" x14ac:dyDescent="0.2">
      <c r="B658" s="9" t="s">
        <v>7</v>
      </c>
      <c r="C658" s="10">
        <v>30</v>
      </c>
      <c r="D658" s="29">
        <v>40</v>
      </c>
      <c r="E658" s="29">
        <v>40</v>
      </c>
      <c r="F658" s="29">
        <v>40</v>
      </c>
      <c r="G658" s="10">
        <v>30</v>
      </c>
      <c r="H658" s="10">
        <v>30</v>
      </c>
      <c r="I658" s="29">
        <v>40</v>
      </c>
      <c r="K658" s="4"/>
    </row>
    <row r="659" spans="1:11" x14ac:dyDescent="0.2">
      <c r="B659" s="9"/>
      <c r="C659" s="11"/>
      <c r="D659" s="19"/>
      <c r="E659" s="19"/>
      <c r="F659" s="10"/>
      <c r="G659" s="10"/>
      <c r="H659" s="21"/>
      <c r="K659" s="4"/>
    </row>
    <row r="660" spans="1:11" x14ac:dyDescent="0.2">
      <c r="B660" s="9" t="s">
        <v>8</v>
      </c>
      <c r="C660" s="12">
        <f t="shared" ref="C660:I660" si="308">(C653*C654)*(-1)</f>
        <v>0</v>
      </c>
      <c r="D660" s="12">
        <f t="shared" si="308"/>
        <v>0</v>
      </c>
      <c r="E660" s="12">
        <f t="shared" si="308"/>
        <v>0</v>
      </c>
      <c r="F660" s="12">
        <f t="shared" si="308"/>
        <v>0</v>
      </c>
      <c r="G660" s="12">
        <f t="shared" si="308"/>
        <v>0</v>
      </c>
      <c r="H660" s="12">
        <f t="shared" si="308"/>
        <v>0</v>
      </c>
      <c r="I660" s="12">
        <f t="shared" si="308"/>
        <v>0</v>
      </c>
      <c r="K660" s="4"/>
    </row>
    <row r="661" spans="1:11" x14ac:dyDescent="0.2">
      <c r="B661" s="9" t="s">
        <v>9</v>
      </c>
      <c r="C661" s="11">
        <f t="shared" ref="C661:I661" si="309">C655*C656</f>
        <v>4786.4000000000005</v>
      </c>
      <c r="D661" s="11">
        <f t="shared" si="309"/>
        <v>4786.4000000000005</v>
      </c>
      <c r="E661" s="11">
        <f t="shared" si="309"/>
        <v>4786.4000000000005</v>
      </c>
      <c r="F661" s="11">
        <f t="shared" si="309"/>
        <v>4786.4000000000005</v>
      </c>
      <c r="G661" s="11">
        <f t="shared" si="309"/>
        <v>4786.4000000000005</v>
      </c>
      <c r="H661" s="11">
        <f t="shared" si="309"/>
        <v>4786.4000000000005</v>
      </c>
      <c r="I661" s="11">
        <f t="shared" si="309"/>
        <v>4786.4000000000005</v>
      </c>
      <c r="K661" s="4"/>
    </row>
    <row r="662" spans="1:11" x14ac:dyDescent="0.2">
      <c r="B662" s="7" t="s">
        <v>10</v>
      </c>
      <c r="C662" s="11">
        <f t="shared" ref="C662:I662" si="310">SUM(C660:C661)</f>
        <v>4786.4000000000005</v>
      </c>
      <c r="D662" s="11">
        <f t="shared" si="310"/>
        <v>4786.4000000000005</v>
      </c>
      <c r="E662" s="11">
        <f t="shared" si="310"/>
        <v>4786.4000000000005</v>
      </c>
      <c r="F662" s="11">
        <f t="shared" si="310"/>
        <v>4786.4000000000005</v>
      </c>
      <c r="G662" s="11">
        <f t="shared" si="310"/>
        <v>4786.4000000000005</v>
      </c>
      <c r="H662" s="11">
        <f t="shared" si="310"/>
        <v>4786.4000000000005</v>
      </c>
      <c r="I662" s="11">
        <f t="shared" si="310"/>
        <v>4786.4000000000005</v>
      </c>
      <c r="K662" s="4"/>
    </row>
    <row r="663" spans="1:11" x14ac:dyDescent="0.2">
      <c r="A663" s="13"/>
      <c r="B663" s="2" t="s">
        <v>11</v>
      </c>
      <c r="C663" s="12">
        <f t="shared" ref="C663:I663" si="311">C657*C658</f>
        <v>-1860</v>
      </c>
      <c r="D663" s="12">
        <f t="shared" si="311"/>
        <v>-2480</v>
      </c>
      <c r="E663" s="12">
        <f t="shared" si="311"/>
        <v>-2480</v>
      </c>
      <c r="F663" s="12">
        <f t="shared" si="311"/>
        <v>-2480</v>
      </c>
      <c r="G663" s="12">
        <f t="shared" si="311"/>
        <v>-1860</v>
      </c>
      <c r="H663" s="12">
        <f t="shared" si="311"/>
        <v>-1860</v>
      </c>
      <c r="I663" s="12">
        <f t="shared" si="311"/>
        <v>-2480</v>
      </c>
    </row>
    <row r="664" spans="1:11" x14ac:dyDescent="0.2">
      <c r="A664" s="14"/>
      <c r="E664" s="2"/>
      <c r="G664" s="2"/>
      <c r="H664" s="2"/>
      <c r="I664" s="2"/>
    </row>
    <row r="665" spans="1:11" s="1" customFormat="1" x14ac:dyDescent="0.2">
      <c r="A665" s="13"/>
      <c r="B665" s="1" t="s">
        <v>12</v>
      </c>
      <c r="C665" s="15">
        <f t="shared" ref="C665:I665" si="312">SUM(C662:C663)</f>
        <v>2926.4000000000005</v>
      </c>
      <c r="D665" s="15">
        <f t="shared" si="312"/>
        <v>2306.4000000000005</v>
      </c>
      <c r="E665" s="15">
        <f t="shared" si="312"/>
        <v>2306.4000000000005</v>
      </c>
      <c r="F665" s="15">
        <f t="shared" si="312"/>
        <v>2306.4000000000005</v>
      </c>
      <c r="G665" s="15">
        <f t="shared" si="312"/>
        <v>2926.4000000000005</v>
      </c>
      <c r="H665" s="15">
        <f t="shared" si="312"/>
        <v>2926.4000000000005</v>
      </c>
      <c r="I665" s="15">
        <f t="shared" si="312"/>
        <v>2306.4000000000005</v>
      </c>
      <c r="J665" s="8"/>
    </row>
    <row r="666" spans="1:11" x14ac:dyDescent="0.2">
      <c r="A666" s="16"/>
      <c r="B666" s="1" t="s">
        <v>13</v>
      </c>
      <c r="C666" s="15">
        <f t="shared" ref="C666:I666" si="313">C665*16</f>
        <v>46822.400000000009</v>
      </c>
      <c r="D666" s="15">
        <f t="shared" si="313"/>
        <v>36902.400000000009</v>
      </c>
      <c r="E666" s="15">
        <f t="shared" si="313"/>
        <v>36902.400000000009</v>
      </c>
      <c r="F666" s="15">
        <f t="shared" si="313"/>
        <v>36902.400000000009</v>
      </c>
      <c r="G666" s="15">
        <f t="shared" si="313"/>
        <v>46822.400000000009</v>
      </c>
      <c r="H666" s="15">
        <f t="shared" si="313"/>
        <v>46822.400000000009</v>
      </c>
      <c r="I666" s="15">
        <f t="shared" si="313"/>
        <v>36902.400000000009</v>
      </c>
      <c r="J666" s="3">
        <f>SUM(C666:I666)</f>
        <v>288076.8000000001</v>
      </c>
    </row>
    <row r="667" spans="1:11" x14ac:dyDescent="0.2">
      <c r="A667" s="16"/>
      <c r="B667" s="1"/>
      <c r="C667" s="15"/>
      <c r="E667" s="25"/>
    </row>
    <row r="668" spans="1:11" x14ac:dyDescent="0.2">
      <c r="A668" s="13"/>
      <c r="B668" s="2" t="s">
        <v>82</v>
      </c>
      <c r="C668" s="11">
        <f>(C660+C663)*16</f>
        <v>-29760</v>
      </c>
      <c r="D668" s="11">
        <f t="shared" ref="D668:I668" si="314">(D660+D663)*16</f>
        <v>-39680</v>
      </c>
      <c r="E668" s="11">
        <f t="shared" si="314"/>
        <v>-39680</v>
      </c>
      <c r="F668" s="11">
        <f t="shared" si="314"/>
        <v>-39680</v>
      </c>
      <c r="G668" s="11">
        <f t="shared" si="314"/>
        <v>-29760</v>
      </c>
      <c r="H668" s="11">
        <f t="shared" si="314"/>
        <v>-29760</v>
      </c>
      <c r="I668" s="11">
        <f t="shared" si="314"/>
        <v>-39680</v>
      </c>
    </row>
    <row r="669" spans="1:11" x14ac:dyDescent="0.2">
      <c r="A669" s="13"/>
      <c r="B669" s="2" t="s">
        <v>83</v>
      </c>
      <c r="C669" s="11">
        <f>C661*16</f>
        <v>76582.400000000009</v>
      </c>
      <c r="D669" s="11">
        <f t="shared" ref="D669:I669" si="315">D661*16</f>
        <v>76582.400000000009</v>
      </c>
      <c r="E669" s="11">
        <f t="shared" si="315"/>
        <v>76582.400000000009</v>
      </c>
      <c r="F669" s="11">
        <f t="shared" si="315"/>
        <v>76582.400000000009</v>
      </c>
      <c r="G669" s="11">
        <f t="shared" si="315"/>
        <v>76582.400000000009</v>
      </c>
      <c r="H669" s="11">
        <f t="shared" si="315"/>
        <v>76582.400000000009</v>
      </c>
      <c r="I669" s="11">
        <f t="shared" si="315"/>
        <v>76582.400000000009</v>
      </c>
    </row>
    <row r="670" spans="1:11" x14ac:dyDescent="0.2">
      <c r="A670" s="13"/>
      <c r="B670" s="2" t="s">
        <v>77</v>
      </c>
      <c r="C670" s="11">
        <f t="shared" ref="C670:I670" si="316">SUM(C668:C669)</f>
        <v>46822.400000000009</v>
      </c>
      <c r="D670" s="11">
        <f t="shared" si="316"/>
        <v>36902.400000000009</v>
      </c>
      <c r="E670" s="11">
        <f t="shared" si="316"/>
        <v>36902.400000000009</v>
      </c>
      <c r="F670" s="11">
        <f t="shared" si="316"/>
        <v>36902.400000000009</v>
      </c>
      <c r="G670" s="11">
        <f t="shared" si="316"/>
        <v>46822.400000000009</v>
      </c>
      <c r="H670" s="11">
        <f t="shared" si="316"/>
        <v>46822.400000000009</v>
      </c>
      <c r="I670" s="11">
        <f t="shared" si="316"/>
        <v>36902.400000000009</v>
      </c>
    </row>
    <row r="671" spans="1:11" ht="13.5" thickBot="1" x14ac:dyDescent="0.25">
      <c r="A671" s="13"/>
    </row>
    <row r="672" spans="1:11" ht="20.25" thickBot="1" x14ac:dyDescent="0.35">
      <c r="A672" s="114" t="s">
        <v>33</v>
      </c>
      <c r="B672" s="115"/>
      <c r="C672" s="115"/>
      <c r="D672" s="115"/>
      <c r="E672" s="115"/>
      <c r="F672" s="115"/>
      <c r="G672" s="115"/>
      <c r="H672" s="115"/>
      <c r="I672" s="115"/>
      <c r="J672" s="116"/>
    </row>
    <row r="673" spans="1:11" x14ac:dyDescent="0.2">
      <c r="A673" s="20"/>
    </row>
    <row r="674" spans="1:11" s="1" customFormat="1" x14ac:dyDescent="0.2">
      <c r="A674" s="1" t="s">
        <v>1</v>
      </c>
      <c r="B674" s="26" t="s">
        <v>34</v>
      </c>
      <c r="C674" s="28">
        <v>37257</v>
      </c>
      <c r="D674" s="6">
        <v>37258</v>
      </c>
      <c r="E674" s="6">
        <v>37259</v>
      </c>
      <c r="F674" s="6">
        <v>37260</v>
      </c>
      <c r="G674" s="28">
        <v>37261</v>
      </c>
      <c r="H674" s="28">
        <v>37262</v>
      </c>
      <c r="I674" s="6">
        <v>37263</v>
      </c>
      <c r="J674" s="8"/>
      <c r="K674" s="7"/>
    </row>
    <row r="675" spans="1:11" x14ac:dyDescent="0.2">
      <c r="B675" s="1" t="s">
        <v>3</v>
      </c>
      <c r="C675" s="2">
        <v>50</v>
      </c>
      <c r="D675" s="19">
        <v>50</v>
      </c>
      <c r="E675" s="19">
        <v>50</v>
      </c>
      <c r="F675" s="19">
        <v>50</v>
      </c>
      <c r="G675" s="10">
        <v>50</v>
      </c>
      <c r="H675" s="21">
        <v>50</v>
      </c>
      <c r="I675" s="19">
        <v>50</v>
      </c>
      <c r="K675" s="4"/>
    </row>
    <row r="676" spans="1:11" x14ac:dyDescent="0.2">
      <c r="B676" s="8" t="s">
        <v>4</v>
      </c>
      <c r="C676" s="3">
        <v>23.75</v>
      </c>
      <c r="D676" s="3">
        <v>23.75</v>
      </c>
      <c r="E676" s="3">
        <v>23.75</v>
      </c>
      <c r="F676" s="3">
        <v>23.75</v>
      </c>
      <c r="G676" s="3">
        <v>23.75</v>
      </c>
      <c r="H676" s="3">
        <v>23.75</v>
      </c>
      <c r="I676" s="3">
        <v>23.75</v>
      </c>
      <c r="K676" s="4"/>
    </row>
    <row r="677" spans="1:11" x14ac:dyDescent="0.2">
      <c r="B677" s="1" t="s">
        <v>5</v>
      </c>
      <c r="C677" s="2">
        <v>50</v>
      </c>
      <c r="D677" s="19">
        <v>50</v>
      </c>
      <c r="E677" s="19">
        <v>50</v>
      </c>
      <c r="F677" s="19">
        <v>50</v>
      </c>
      <c r="G677" s="19">
        <v>50</v>
      </c>
      <c r="H677" s="19">
        <v>50</v>
      </c>
      <c r="I677" s="19">
        <v>50</v>
      </c>
      <c r="K677" s="4"/>
    </row>
    <row r="678" spans="1:11" x14ac:dyDescent="0.2">
      <c r="B678" s="8" t="s">
        <v>4</v>
      </c>
      <c r="C678" s="3">
        <v>23.85</v>
      </c>
      <c r="D678" s="3">
        <v>23.85</v>
      </c>
      <c r="E678" s="3">
        <v>23.85</v>
      </c>
      <c r="F678" s="3">
        <v>23.85</v>
      </c>
      <c r="G678" s="3">
        <v>23.85</v>
      </c>
      <c r="H678" s="3">
        <v>23.85</v>
      </c>
      <c r="I678" s="3">
        <v>23.85</v>
      </c>
      <c r="K678" s="4"/>
    </row>
    <row r="679" spans="1:11" x14ac:dyDescent="0.2">
      <c r="B679" s="7" t="s">
        <v>6</v>
      </c>
      <c r="C679" s="4">
        <f t="shared" ref="C679:I679" si="317">C675-C677</f>
        <v>0</v>
      </c>
      <c r="D679" s="4">
        <f t="shared" si="317"/>
        <v>0</v>
      </c>
      <c r="E679" s="4">
        <f t="shared" si="317"/>
        <v>0</v>
      </c>
      <c r="F679" s="4">
        <f t="shared" si="317"/>
        <v>0</v>
      </c>
      <c r="G679" s="4">
        <f t="shared" si="317"/>
        <v>0</v>
      </c>
      <c r="H679" s="4">
        <f t="shared" si="317"/>
        <v>0</v>
      </c>
      <c r="I679" s="4">
        <f t="shared" si="317"/>
        <v>0</v>
      </c>
      <c r="K679" s="4"/>
    </row>
    <row r="680" spans="1:11" x14ac:dyDescent="0.2">
      <c r="B680" s="9" t="s">
        <v>7</v>
      </c>
      <c r="C680" s="10">
        <v>22</v>
      </c>
      <c r="D680" s="29">
        <v>22</v>
      </c>
      <c r="E680" s="29">
        <v>22</v>
      </c>
      <c r="F680" s="29">
        <v>22</v>
      </c>
      <c r="G680" s="10">
        <v>22</v>
      </c>
      <c r="H680" s="10">
        <v>22</v>
      </c>
      <c r="I680" s="29">
        <v>22</v>
      </c>
      <c r="K680" s="4"/>
    </row>
    <row r="681" spans="1:11" x14ac:dyDescent="0.2">
      <c r="B681" s="9"/>
      <c r="C681" s="11"/>
      <c r="D681" s="19"/>
      <c r="E681" s="19"/>
      <c r="F681" s="10"/>
      <c r="G681" s="10"/>
      <c r="H681" s="21"/>
      <c r="K681" s="4"/>
    </row>
    <row r="682" spans="1:11" x14ac:dyDescent="0.2">
      <c r="B682" s="9" t="s">
        <v>8</v>
      </c>
      <c r="C682" s="12">
        <f t="shared" ref="C682:I682" si="318">(C675*C676)*(-1)</f>
        <v>-1187.5</v>
      </c>
      <c r="D682" s="12">
        <f t="shared" si="318"/>
        <v>-1187.5</v>
      </c>
      <c r="E682" s="12">
        <f t="shared" si="318"/>
        <v>-1187.5</v>
      </c>
      <c r="F682" s="12">
        <f t="shared" si="318"/>
        <v>-1187.5</v>
      </c>
      <c r="G682" s="12">
        <f t="shared" si="318"/>
        <v>-1187.5</v>
      </c>
      <c r="H682" s="12">
        <f t="shared" si="318"/>
        <v>-1187.5</v>
      </c>
      <c r="I682" s="12">
        <f t="shared" si="318"/>
        <v>-1187.5</v>
      </c>
      <c r="K682" s="4"/>
    </row>
    <row r="683" spans="1:11" x14ac:dyDescent="0.2">
      <c r="B683" s="9" t="s">
        <v>9</v>
      </c>
      <c r="C683" s="11">
        <f t="shared" ref="C683:I683" si="319">C677*C678</f>
        <v>1192.5</v>
      </c>
      <c r="D683" s="11">
        <f t="shared" si="319"/>
        <v>1192.5</v>
      </c>
      <c r="E683" s="11">
        <f t="shared" si="319"/>
        <v>1192.5</v>
      </c>
      <c r="F683" s="11">
        <f t="shared" si="319"/>
        <v>1192.5</v>
      </c>
      <c r="G683" s="11">
        <f t="shared" si="319"/>
        <v>1192.5</v>
      </c>
      <c r="H683" s="11">
        <f t="shared" si="319"/>
        <v>1192.5</v>
      </c>
      <c r="I683" s="11">
        <f t="shared" si="319"/>
        <v>1192.5</v>
      </c>
      <c r="K683" s="4"/>
    </row>
    <row r="684" spans="1:11" x14ac:dyDescent="0.2">
      <c r="B684" s="7" t="s">
        <v>10</v>
      </c>
      <c r="C684" s="11">
        <f t="shared" ref="C684:I684" si="320">SUM(C682:C683)</f>
        <v>5</v>
      </c>
      <c r="D684" s="11">
        <f t="shared" si="320"/>
        <v>5</v>
      </c>
      <c r="E684" s="11">
        <f t="shared" si="320"/>
        <v>5</v>
      </c>
      <c r="F684" s="11">
        <f t="shared" si="320"/>
        <v>5</v>
      </c>
      <c r="G684" s="11">
        <f t="shared" si="320"/>
        <v>5</v>
      </c>
      <c r="H684" s="11">
        <f t="shared" si="320"/>
        <v>5</v>
      </c>
      <c r="I684" s="11">
        <f t="shared" si="320"/>
        <v>5</v>
      </c>
      <c r="K684" s="4"/>
    </row>
    <row r="685" spans="1:11" x14ac:dyDescent="0.2">
      <c r="A685" s="13"/>
      <c r="B685" s="2" t="s">
        <v>11</v>
      </c>
      <c r="C685" s="12">
        <f t="shared" ref="C685:I685" si="321">C679*C680</f>
        <v>0</v>
      </c>
      <c r="D685" s="12">
        <f t="shared" si="321"/>
        <v>0</v>
      </c>
      <c r="E685" s="12">
        <f t="shared" si="321"/>
        <v>0</v>
      </c>
      <c r="F685" s="12">
        <f t="shared" si="321"/>
        <v>0</v>
      </c>
      <c r="G685" s="12">
        <f t="shared" si="321"/>
        <v>0</v>
      </c>
      <c r="H685" s="12">
        <f t="shared" si="321"/>
        <v>0</v>
      </c>
      <c r="I685" s="12">
        <f t="shared" si="321"/>
        <v>0</v>
      </c>
    </row>
    <row r="686" spans="1:11" x14ac:dyDescent="0.2">
      <c r="A686" s="14"/>
      <c r="E686" s="2"/>
      <c r="G686" s="2"/>
      <c r="H686" s="2"/>
      <c r="I686" s="2"/>
    </row>
    <row r="687" spans="1:11" s="1" customFormat="1" x14ac:dyDescent="0.2">
      <c r="A687" s="13"/>
      <c r="B687" s="1" t="s">
        <v>12</v>
      </c>
      <c r="C687" s="15">
        <f t="shared" ref="C687:I687" si="322">SUM(C684:C685)</f>
        <v>5</v>
      </c>
      <c r="D687" s="15">
        <f t="shared" si="322"/>
        <v>5</v>
      </c>
      <c r="E687" s="15">
        <f t="shared" si="322"/>
        <v>5</v>
      </c>
      <c r="F687" s="15">
        <f t="shared" si="322"/>
        <v>5</v>
      </c>
      <c r="G687" s="15">
        <f t="shared" si="322"/>
        <v>5</v>
      </c>
      <c r="H687" s="15">
        <f t="shared" si="322"/>
        <v>5</v>
      </c>
      <c r="I687" s="15">
        <f t="shared" si="322"/>
        <v>5</v>
      </c>
      <c r="J687" s="8"/>
    </row>
    <row r="688" spans="1:11" x14ac:dyDescent="0.2">
      <c r="A688" s="16"/>
      <c r="B688" s="27" t="s">
        <v>35</v>
      </c>
      <c r="C688" s="15">
        <f>C687*8</f>
        <v>40</v>
      </c>
      <c r="D688" s="15">
        <f t="shared" ref="D688:I688" si="323">D687*8</f>
        <v>40</v>
      </c>
      <c r="E688" s="15">
        <f t="shared" si="323"/>
        <v>40</v>
      </c>
      <c r="F688" s="15">
        <f t="shared" si="323"/>
        <v>40</v>
      </c>
      <c r="G688" s="15">
        <f t="shared" si="323"/>
        <v>40</v>
      </c>
      <c r="H688" s="15">
        <f t="shared" si="323"/>
        <v>40</v>
      </c>
      <c r="I688" s="15">
        <f t="shared" si="323"/>
        <v>40</v>
      </c>
      <c r="J688" s="3">
        <f>SUM(C688:I688)</f>
        <v>280</v>
      </c>
    </row>
    <row r="689" spans="1:11" x14ac:dyDescent="0.2">
      <c r="A689" s="14"/>
      <c r="G689" s="21"/>
      <c r="H689" s="21"/>
    </row>
    <row r="690" spans="1:11" x14ac:dyDescent="0.2">
      <c r="A690" s="13"/>
      <c r="B690" s="2" t="s">
        <v>84</v>
      </c>
      <c r="C690" s="11">
        <f>(C682+C685)*8</f>
        <v>-9500</v>
      </c>
      <c r="D690" s="11">
        <f t="shared" ref="D690:I690" si="324">(D682+D685)*8</f>
        <v>-9500</v>
      </c>
      <c r="E690" s="11">
        <f t="shared" si="324"/>
        <v>-9500</v>
      </c>
      <c r="F690" s="11">
        <f t="shared" si="324"/>
        <v>-9500</v>
      </c>
      <c r="G690" s="11">
        <f t="shared" si="324"/>
        <v>-9500</v>
      </c>
      <c r="H690" s="11">
        <f t="shared" si="324"/>
        <v>-9500</v>
      </c>
      <c r="I690" s="11">
        <f t="shared" si="324"/>
        <v>-9500</v>
      </c>
    </row>
    <row r="691" spans="1:11" x14ac:dyDescent="0.2">
      <c r="A691" s="13"/>
      <c r="B691" s="2" t="s">
        <v>85</v>
      </c>
      <c r="C691" s="11">
        <f>C683*8</f>
        <v>9540</v>
      </c>
      <c r="D691" s="11">
        <f t="shared" ref="D691:I691" si="325">D683*8</f>
        <v>9540</v>
      </c>
      <c r="E691" s="11">
        <f t="shared" si="325"/>
        <v>9540</v>
      </c>
      <c r="F691" s="11">
        <f t="shared" si="325"/>
        <v>9540</v>
      </c>
      <c r="G691" s="11">
        <f t="shared" si="325"/>
        <v>9540</v>
      </c>
      <c r="H691" s="11">
        <f t="shared" si="325"/>
        <v>9540</v>
      </c>
      <c r="I691" s="11">
        <f t="shared" si="325"/>
        <v>9540</v>
      </c>
    </row>
    <row r="692" spans="1:11" x14ac:dyDescent="0.2">
      <c r="A692" s="13"/>
      <c r="B692" s="2" t="s">
        <v>77</v>
      </c>
      <c r="C692" s="11">
        <f t="shared" ref="C692:I692" si="326">SUM(C690:C691)</f>
        <v>40</v>
      </c>
      <c r="D692" s="11">
        <f t="shared" si="326"/>
        <v>40</v>
      </c>
      <c r="E692" s="11">
        <f t="shared" si="326"/>
        <v>40</v>
      </c>
      <c r="F692" s="11">
        <f t="shared" si="326"/>
        <v>40</v>
      </c>
      <c r="G692" s="11">
        <f t="shared" si="326"/>
        <v>40</v>
      </c>
      <c r="H692" s="11">
        <f t="shared" si="326"/>
        <v>40</v>
      </c>
      <c r="I692" s="11">
        <f t="shared" si="326"/>
        <v>40</v>
      </c>
    </row>
    <row r="693" spans="1:11" x14ac:dyDescent="0.2">
      <c r="A693" s="13"/>
    </row>
    <row r="694" spans="1:11" s="1" customFormat="1" x14ac:dyDescent="0.2">
      <c r="A694" s="1" t="s">
        <v>1</v>
      </c>
      <c r="B694" s="26" t="s">
        <v>40</v>
      </c>
      <c r="C694" s="28">
        <v>37257</v>
      </c>
      <c r="D694" s="6">
        <v>37258</v>
      </c>
      <c r="E694" s="6">
        <v>37259</v>
      </c>
      <c r="F694" s="6">
        <v>37260</v>
      </c>
      <c r="G694" s="28">
        <v>37261</v>
      </c>
      <c r="H694" s="28">
        <v>37262</v>
      </c>
      <c r="I694" s="6">
        <v>37263</v>
      </c>
      <c r="J694" s="8"/>
      <c r="K694" s="7"/>
    </row>
    <row r="695" spans="1:11" x14ac:dyDescent="0.2">
      <c r="B695" s="1" t="s">
        <v>3</v>
      </c>
      <c r="C695" s="19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  <c r="K695" s="4"/>
    </row>
    <row r="696" spans="1:11" x14ac:dyDescent="0.2">
      <c r="B696" s="8" t="s">
        <v>4</v>
      </c>
      <c r="C696" s="10">
        <v>0</v>
      </c>
      <c r="D696" s="10">
        <v>0</v>
      </c>
      <c r="E696" s="10">
        <v>0</v>
      </c>
      <c r="F696" s="10">
        <v>0</v>
      </c>
      <c r="G696" s="10">
        <v>0</v>
      </c>
      <c r="H696" s="10">
        <v>0</v>
      </c>
      <c r="I696" s="10">
        <v>0</v>
      </c>
      <c r="K696" s="4"/>
    </row>
    <row r="697" spans="1:11" x14ac:dyDescent="0.2">
      <c r="B697" s="1" t="s">
        <v>5</v>
      </c>
      <c r="C697" s="19">
        <v>50</v>
      </c>
      <c r="D697" s="19">
        <v>50</v>
      </c>
      <c r="E697" s="19">
        <v>50</v>
      </c>
      <c r="F697" s="19">
        <v>50</v>
      </c>
      <c r="G697" s="19">
        <v>50</v>
      </c>
      <c r="H697" s="19">
        <v>50</v>
      </c>
      <c r="I697" s="19">
        <v>50</v>
      </c>
      <c r="K697" s="4"/>
    </row>
    <row r="698" spans="1:11" x14ac:dyDescent="0.2">
      <c r="B698" s="8" t="s">
        <v>4</v>
      </c>
      <c r="C698" s="10">
        <v>18.25</v>
      </c>
      <c r="D698" s="10">
        <v>18.25</v>
      </c>
      <c r="E698" s="10">
        <v>18.25</v>
      </c>
      <c r="F698" s="10">
        <v>18.25</v>
      </c>
      <c r="G698" s="10">
        <v>18.25</v>
      </c>
      <c r="H698" s="10">
        <v>18.25</v>
      </c>
      <c r="I698" s="10">
        <v>18.25</v>
      </c>
      <c r="K698" s="4"/>
    </row>
    <row r="699" spans="1:11" x14ac:dyDescent="0.2">
      <c r="B699" s="7" t="s">
        <v>6</v>
      </c>
      <c r="C699" s="4">
        <f t="shared" ref="C699:I699" si="327">C695-C697</f>
        <v>-50</v>
      </c>
      <c r="D699" s="4">
        <f t="shared" si="327"/>
        <v>-50</v>
      </c>
      <c r="E699" s="4">
        <f t="shared" si="327"/>
        <v>-50</v>
      </c>
      <c r="F699" s="4">
        <f t="shared" si="327"/>
        <v>-50</v>
      </c>
      <c r="G699" s="4">
        <f t="shared" si="327"/>
        <v>-50</v>
      </c>
      <c r="H699" s="4">
        <f t="shared" si="327"/>
        <v>-50</v>
      </c>
      <c r="I699" s="4">
        <f t="shared" si="327"/>
        <v>-50</v>
      </c>
      <c r="K699" s="4"/>
    </row>
    <row r="700" spans="1:11" x14ac:dyDescent="0.2">
      <c r="B700" s="9" t="s">
        <v>7</v>
      </c>
      <c r="C700" s="10">
        <v>22</v>
      </c>
      <c r="D700" s="29">
        <v>22</v>
      </c>
      <c r="E700" s="29">
        <v>22</v>
      </c>
      <c r="F700" s="29">
        <v>22</v>
      </c>
      <c r="G700" s="10">
        <v>22</v>
      </c>
      <c r="H700" s="10">
        <v>22</v>
      </c>
      <c r="I700" s="29">
        <v>22</v>
      </c>
      <c r="K700" s="4"/>
    </row>
    <row r="701" spans="1:11" x14ac:dyDescent="0.2">
      <c r="B701" s="9"/>
      <c r="C701" s="19"/>
      <c r="D701" s="19"/>
      <c r="E701" s="19"/>
      <c r="F701" s="10"/>
      <c r="G701" s="19"/>
      <c r="H701" s="19"/>
      <c r="K701" s="4"/>
    </row>
    <row r="702" spans="1:11" x14ac:dyDescent="0.2">
      <c r="B702" s="9" t="s">
        <v>8</v>
      </c>
      <c r="C702" s="12">
        <f>(C695*C696)*(-1)</f>
        <v>0</v>
      </c>
      <c r="D702" s="12">
        <f t="shared" ref="D702:I702" si="328">(D695*D696)*(-1)</f>
        <v>0</v>
      </c>
      <c r="E702" s="12">
        <f t="shared" si="328"/>
        <v>0</v>
      </c>
      <c r="F702" s="12">
        <f t="shared" si="328"/>
        <v>0</v>
      </c>
      <c r="G702" s="12">
        <f>(G695*G696)*(-1)</f>
        <v>0</v>
      </c>
      <c r="H702" s="12">
        <f>(H695*H696)*(-1)</f>
        <v>0</v>
      </c>
      <c r="I702" s="12">
        <f t="shared" si="328"/>
        <v>0</v>
      </c>
      <c r="K702" s="4"/>
    </row>
    <row r="703" spans="1:11" x14ac:dyDescent="0.2">
      <c r="B703" s="9" t="s">
        <v>9</v>
      </c>
      <c r="C703" s="11">
        <f>C697*C698</f>
        <v>912.5</v>
      </c>
      <c r="D703" s="11">
        <f t="shared" ref="D703:I703" si="329">D697*D698</f>
        <v>912.5</v>
      </c>
      <c r="E703" s="11">
        <f t="shared" si="329"/>
        <v>912.5</v>
      </c>
      <c r="F703" s="11">
        <f t="shared" si="329"/>
        <v>912.5</v>
      </c>
      <c r="G703" s="11">
        <f>G697*G698</f>
        <v>912.5</v>
      </c>
      <c r="H703" s="11">
        <f>H697*H698</f>
        <v>912.5</v>
      </c>
      <c r="I703" s="11">
        <f t="shared" si="329"/>
        <v>912.5</v>
      </c>
      <c r="K703" s="4"/>
    </row>
    <row r="704" spans="1:11" x14ac:dyDescent="0.2">
      <c r="B704" s="7" t="s">
        <v>10</v>
      </c>
      <c r="C704" s="11">
        <f t="shared" ref="C704:I704" si="330">SUM(C702:C703)</f>
        <v>912.5</v>
      </c>
      <c r="D704" s="11">
        <f t="shared" si="330"/>
        <v>912.5</v>
      </c>
      <c r="E704" s="11">
        <f t="shared" si="330"/>
        <v>912.5</v>
      </c>
      <c r="F704" s="11">
        <f t="shared" si="330"/>
        <v>912.5</v>
      </c>
      <c r="G704" s="11">
        <f>SUM(G702:G703)</f>
        <v>912.5</v>
      </c>
      <c r="H704" s="11">
        <f>SUM(H702:H703)</f>
        <v>912.5</v>
      </c>
      <c r="I704" s="11">
        <f t="shared" si="330"/>
        <v>912.5</v>
      </c>
      <c r="K704" s="4"/>
    </row>
    <row r="705" spans="1:11" x14ac:dyDescent="0.2">
      <c r="A705" s="13"/>
      <c r="B705" s="2" t="s">
        <v>11</v>
      </c>
      <c r="C705" s="12">
        <f>C699*C700</f>
        <v>-1100</v>
      </c>
      <c r="D705" s="12">
        <f t="shared" ref="D705:I705" si="331">D699*D700</f>
        <v>-1100</v>
      </c>
      <c r="E705" s="12">
        <f t="shared" si="331"/>
        <v>-1100</v>
      </c>
      <c r="F705" s="12">
        <f t="shared" si="331"/>
        <v>-1100</v>
      </c>
      <c r="G705" s="12">
        <f>G699*G700</f>
        <v>-1100</v>
      </c>
      <c r="H705" s="12">
        <f>H699*H700</f>
        <v>-1100</v>
      </c>
      <c r="I705" s="12">
        <f t="shared" si="331"/>
        <v>-1100</v>
      </c>
    </row>
    <row r="706" spans="1:11" x14ac:dyDescent="0.2">
      <c r="A706" s="14"/>
      <c r="E706" s="2"/>
      <c r="G706" s="2"/>
      <c r="H706" s="2"/>
      <c r="I706" s="2"/>
    </row>
    <row r="707" spans="1:11" s="1" customFormat="1" x14ac:dyDescent="0.2">
      <c r="A707" s="13"/>
      <c r="B707" s="1" t="s">
        <v>12</v>
      </c>
      <c r="C707" s="15">
        <f>SUM(C704:C705)</f>
        <v>-187.5</v>
      </c>
      <c r="D707" s="15">
        <f t="shared" ref="D707:I707" si="332">SUM(D704:D705)</f>
        <v>-187.5</v>
      </c>
      <c r="E707" s="15">
        <f t="shared" si="332"/>
        <v>-187.5</v>
      </c>
      <c r="F707" s="15">
        <f t="shared" si="332"/>
        <v>-187.5</v>
      </c>
      <c r="G707" s="15">
        <f>SUM(G704:G705)</f>
        <v>-187.5</v>
      </c>
      <c r="H707" s="15">
        <f>SUM(H704:H705)</f>
        <v>-187.5</v>
      </c>
      <c r="I707" s="15">
        <f t="shared" si="332"/>
        <v>-187.5</v>
      </c>
      <c r="J707" s="8"/>
    </row>
    <row r="708" spans="1:11" x14ac:dyDescent="0.2">
      <c r="A708" s="16"/>
      <c r="B708" s="27" t="s">
        <v>35</v>
      </c>
      <c r="C708" s="15">
        <f t="shared" ref="C708:I708" si="333">C707*8</f>
        <v>-1500</v>
      </c>
      <c r="D708" s="15">
        <f t="shared" si="333"/>
        <v>-1500</v>
      </c>
      <c r="E708" s="15">
        <f t="shared" si="333"/>
        <v>-1500</v>
      </c>
      <c r="F708" s="15">
        <f t="shared" si="333"/>
        <v>-1500</v>
      </c>
      <c r="G708" s="15">
        <f t="shared" si="333"/>
        <v>-1500</v>
      </c>
      <c r="H708" s="15">
        <f t="shared" si="333"/>
        <v>-1500</v>
      </c>
      <c r="I708" s="15">
        <f t="shared" si="333"/>
        <v>-1500</v>
      </c>
      <c r="J708" s="3">
        <f>SUM(C708:I708)</f>
        <v>-10500</v>
      </c>
    </row>
    <row r="709" spans="1:11" x14ac:dyDescent="0.2">
      <c r="A709" s="16"/>
      <c r="B709" s="27"/>
      <c r="C709" s="15"/>
      <c r="D709" s="18"/>
      <c r="E709" s="18"/>
      <c r="F709" s="18"/>
      <c r="G709" s="21"/>
      <c r="H709" s="18"/>
      <c r="I709" s="15"/>
      <c r="J709" s="3"/>
    </row>
    <row r="710" spans="1:11" x14ac:dyDescent="0.2">
      <c r="A710" s="13"/>
      <c r="B710" s="2" t="s">
        <v>84</v>
      </c>
      <c r="C710" s="11">
        <f>(C702+C705)*8</f>
        <v>-8800</v>
      </c>
      <c r="D710" s="11">
        <f t="shared" ref="D710:I710" si="334">(D702+D705)*8</f>
        <v>-8800</v>
      </c>
      <c r="E710" s="11">
        <f t="shared" si="334"/>
        <v>-8800</v>
      </c>
      <c r="F710" s="11">
        <f t="shared" si="334"/>
        <v>-8800</v>
      </c>
      <c r="G710" s="11">
        <f t="shared" si="334"/>
        <v>-8800</v>
      </c>
      <c r="H710" s="11">
        <f t="shared" si="334"/>
        <v>-8800</v>
      </c>
      <c r="I710" s="11">
        <f t="shared" si="334"/>
        <v>-8800</v>
      </c>
    </row>
    <row r="711" spans="1:11" x14ac:dyDescent="0.2">
      <c r="A711" s="13"/>
      <c r="B711" s="2" t="s">
        <v>85</v>
      </c>
      <c r="C711" s="11">
        <f>C703*8</f>
        <v>7300</v>
      </c>
      <c r="D711" s="11">
        <f t="shared" ref="D711:I711" si="335">D703*8</f>
        <v>7300</v>
      </c>
      <c r="E711" s="11">
        <f t="shared" si="335"/>
        <v>7300</v>
      </c>
      <c r="F711" s="11">
        <f t="shared" si="335"/>
        <v>7300</v>
      </c>
      <c r="G711" s="11">
        <f t="shared" si="335"/>
        <v>7300</v>
      </c>
      <c r="H711" s="11">
        <f t="shared" si="335"/>
        <v>7300</v>
      </c>
      <c r="I711" s="11">
        <f t="shared" si="335"/>
        <v>7300</v>
      </c>
    </row>
    <row r="712" spans="1:11" x14ac:dyDescent="0.2">
      <c r="A712" s="13"/>
      <c r="B712" s="2" t="s">
        <v>77</v>
      </c>
      <c r="C712" s="11">
        <f t="shared" ref="C712:I712" si="336">SUM(C710:C711)</f>
        <v>-1500</v>
      </c>
      <c r="D712" s="11">
        <f t="shared" si="336"/>
        <v>-1500</v>
      </c>
      <c r="E712" s="11">
        <f t="shared" si="336"/>
        <v>-1500</v>
      </c>
      <c r="F712" s="11">
        <f t="shared" si="336"/>
        <v>-1500</v>
      </c>
      <c r="G712" s="11">
        <f t="shared" si="336"/>
        <v>-1500</v>
      </c>
      <c r="H712" s="11">
        <f t="shared" si="336"/>
        <v>-1500</v>
      </c>
      <c r="I712" s="11">
        <f t="shared" si="336"/>
        <v>-1500</v>
      </c>
    </row>
    <row r="713" spans="1:11" x14ac:dyDescent="0.2">
      <c r="A713" s="13"/>
    </row>
    <row r="714" spans="1:11" s="1" customFormat="1" x14ac:dyDescent="0.2">
      <c r="A714" s="1" t="s">
        <v>1</v>
      </c>
      <c r="B714" s="26" t="s">
        <v>37</v>
      </c>
      <c r="C714" s="28">
        <v>37257</v>
      </c>
      <c r="D714" s="6">
        <v>37258</v>
      </c>
      <c r="E714" s="6">
        <v>37259</v>
      </c>
      <c r="F714" s="6">
        <v>37260</v>
      </c>
      <c r="G714" s="28">
        <v>37261</v>
      </c>
      <c r="H714" s="28">
        <v>37262</v>
      </c>
      <c r="I714" s="6">
        <v>37263</v>
      </c>
      <c r="J714" s="8"/>
      <c r="K714" s="7"/>
    </row>
    <row r="715" spans="1:11" x14ac:dyDescent="0.2">
      <c r="B715" s="1" t="s">
        <v>3</v>
      </c>
      <c r="C715" s="2">
        <v>400</v>
      </c>
      <c r="D715" s="19">
        <v>400</v>
      </c>
      <c r="E715" s="19">
        <v>400</v>
      </c>
      <c r="F715" s="19">
        <v>400</v>
      </c>
      <c r="G715" s="2">
        <v>400</v>
      </c>
      <c r="H715" s="2">
        <v>400</v>
      </c>
      <c r="I715" s="19">
        <v>400</v>
      </c>
      <c r="K715" s="4"/>
    </row>
    <row r="716" spans="1:11" x14ac:dyDescent="0.2">
      <c r="B716" s="8" t="s">
        <v>4</v>
      </c>
      <c r="C716" s="3">
        <v>31.75</v>
      </c>
      <c r="D716" s="10">
        <v>31.75</v>
      </c>
      <c r="E716" s="10">
        <v>31.75</v>
      </c>
      <c r="F716" s="10">
        <v>31.75</v>
      </c>
      <c r="G716" s="3">
        <v>31.75</v>
      </c>
      <c r="H716" s="3">
        <v>31.75</v>
      </c>
      <c r="I716" s="10">
        <v>31.75</v>
      </c>
      <c r="K716" s="4"/>
    </row>
    <row r="717" spans="1:11" x14ac:dyDescent="0.2">
      <c r="B717" s="1" t="s">
        <v>5</v>
      </c>
      <c r="C717" s="2">
        <v>100</v>
      </c>
      <c r="D717" s="19">
        <v>100</v>
      </c>
      <c r="E717" s="19">
        <v>100</v>
      </c>
      <c r="F717" s="19">
        <v>100</v>
      </c>
      <c r="G717" s="2">
        <v>100</v>
      </c>
      <c r="H717" s="2">
        <v>100</v>
      </c>
      <c r="I717" s="19">
        <v>100</v>
      </c>
      <c r="K717" s="4"/>
    </row>
    <row r="718" spans="1:11" x14ac:dyDescent="0.2">
      <c r="B718" s="8" t="s">
        <v>4</v>
      </c>
      <c r="C718" s="3">
        <v>34</v>
      </c>
      <c r="D718" s="10">
        <v>34</v>
      </c>
      <c r="E718" s="10">
        <v>34</v>
      </c>
      <c r="F718" s="10">
        <v>34</v>
      </c>
      <c r="G718" s="3">
        <v>34</v>
      </c>
      <c r="H718" s="3">
        <v>34</v>
      </c>
      <c r="I718" s="10">
        <v>34</v>
      </c>
      <c r="K718" s="4"/>
    </row>
    <row r="719" spans="1:11" x14ac:dyDescent="0.2">
      <c r="B719" s="7" t="s">
        <v>6</v>
      </c>
      <c r="C719" s="4">
        <f t="shared" ref="C719:I719" si="337">C715-C717</f>
        <v>300</v>
      </c>
      <c r="D719" s="4">
        <f t="shared" si="337"/>
        <v>300</v>
      </c>
      <c r="E719" s="4">
        <f t="shared" si="337"/>
        <v>300</v>
      </c>
      <c r="F719" s="4">
        <f t="shared" si="337"/>
        <v>300</v>
      </c>
      <c r="G719" s="4">
        <f t="shared" si="337"/>
        <v>300</v>
      </c>
      <c r="H719" s="4">
        <f t="shared" si="337"/>
        <v>300</v>
      </c>
      <c r="I719" s="4">
        <f t="shared" si="337"/>
        <v>300</v>
      </c>
      <c r="K719" s="4"/>
    </row>
    <row r="720" spans="1:11" x14ac:dyDescent="0.2">
      <c r="B720" s="9" t="s">
        <v>7</v>
      </c>
      <c r="C720" s="10">
        <v>30</v>
      </c>
      <c r="D720" s="10">
        <v>30</v>
      </c>
      <c r="E720" s="10">
        <v>30</v>
      </c>
      <c r="F720" s="10">
        <v>30</v>
      </c>
      <c r="G720" s="10">
        <v>30</v>
      </c>
      <c r="H720" s="10">
        <v>30</v>
      </c>
      <c r="I720" s="10">
        <v>30</v>
      </c>
      <c r="K720" s="4"/>
    </row>
    <row r="721" spans="1:11" x14ac:dyDescent="0.2">
      <c r="B721" s="9"/>
      <c r="C721" s="11"/>
      <c r="D721" s="19"/>
      <c r="E721" s="19"/>
      <c r="F721" s="10"/>
      <c r="G721" s="11"/>
      <c r="H721" s="11"/>
      <c r="K721" s="4"/>
    </row>
    <row r="722" spans="1:11" x14ac:dyDescent="0.2">
      <c r="B722" s="9" t="s">
        <v>8</v>
      </c>
      <c r="C722" s="12">
        <f>(C715*C716)*(-1)</f>
        <v>-12700</v>
      </c>
      <c r="D722" s="12">
        <f t="shared" ref="D722:I722" si="338">(D715*D716)*(-1)</f>
        <v>-12700</v>
      </c>
      <c r="E722" s="12">
        <f t="shared" si="338"/>
        <v>-12700</v>
      </c>
      <c r="F722" s="12">
        <f t="shared" si="338"/>
        <v>-12700</v>
      </c>
      <c r="G722" s="12">
        <f t="shared" si="338"/>
        <v>-12700</v>
      </c>
      <c r="H722" s="12">
        <f t="shared" si="338"/>
        <v>-12700</v>
      </c>
      <c r="I722" s="12">
        <f t="shared" si="338"/>
        <v>-12700</v>
      </c>
      <c r="K722" s="4"/>
    </row>
    <row r="723" spans="1:11" x14ac:dyDescent="0.2">
      <c r="B723" s="9" t="s">
        <v>9</v>
      </c>
      <c r="C723" s="11">
        <f>C717*C718</f>
        <v>3400</v>
      </c>
      <c r="D723" s="11">
        <f t="shared" ref="D723:I723" si="339">D717*D718</f>
        <v>3400</v>
      </c>
      <c r="E723" s="11">
        <f t="shared" si="339"/>
        <v>3400</v>
      </c>
      <c r="F723" s="11">
        <f t="shared" si="339"/>
        <v>3400</v>
      </c>
      <c r="G723" s="11">
        <f t="shared" si="339"/>
        <v>3400</v>
      </c>
      <c r="H723" s="11">
        <f t="shared" si="339"/>
        <v>3400</v>
      </c>
      <c r="I723" s="11">
        <f t="shared" si="339"/>
        <v>3400</v>
      </c>
      <c r="K723" s="4"/>
    </row>
    <row r="724" spans="1:11" x14ac:dyDescent="0.2">
      <c r="B724" s="7" t="s">
        <v>10</v>
      </c>
      <c r="C724" s="11">
        <f>SUM(C722:C723)</f>
        <v>-9300</v>
      </c>
      <c r="D724" s="11">
        <f t="shared" ref="D724:I724" si="340">SUM(D722:D723)</f>
        <v>-9300</v>
      </c>
      <c r="E724" s="11">
        <f t="shared" si="340"/>
        <v>-9300</v>
      </c>
      <c r="F724" s="11">
        <f t="shared" si="340"/>
        <v>-9300</v>
      </c>
      <c r="G724" s="11">
        <f>SUM(G722:G723)</f>
        <v>-9300</v>
      </c>
      <c r="H724" s="11">
        <f>SUM(H722:H723)</f>
        <v>-9300</v>
      </c>
      <c r="I724" s="11">
        <f t="shared" si="340"/>
        <v>-9300</v>
      </c>
      <c r="K724" s="4"/>
    </row>
    <row r="725" spans="1:11" x14ac:dyDescent="0.2">
      <c r="A725" s="13"/>
      <c r="B725" s="2" t="s">
        <v>11</v>
      </c>
      <c r="C725" s="12">
        <f>C719*C720</f>
        <v>9000</v>
      </c>
      <c r="D725" s="12">
        <f t="shared" ref="D725:I725" si="341">D719*D720</f>
        <v>9000</v>
      </c>
      <c r="E725" s="12">
        <f t="shared" si="341"/>
        <v>9000</v>
      </c>
      <c r="F725" s="12">
        <f t="shared" si="341"/>
        <v>9000</v>
      </c>
      <c r="G725" s="12">
        <f t="shared" si="341"/>
        <v>9000</v>
      </c>
      <c r="H725" s="12">
        <f t="shared" si="341"/>
        <v>9000</v>
      </c>
      <c r="I725" s="12">
        <f t="shared" si="341"/>
        <v>9000</v>
      </c>
    </row>
    <row r="726" spans="1:11" x14ac:dyDescent="0.2">
      <c r="A726" s="14"/>
      <c r="E726" s="2"/>
      <c r="G726" s="2"/>
      <c r="H726" s="2"/>
      <c r="I726" s="2"/>
    </row>
    <row r="727" spans="1:11" s="1" customFormat="1" x14ac:dyDescent="0.2">
      <c r="A727" s="13"/>
      <c r="B727" s="1" t="s">
        <v>12</v>
      </c>
      <c r="C727" s="15">
        <f>SUM(C724:C725)</f>
        <v>-300</v>
      </c>
      <c r="D727" s="15">
        <f t="shared" ref="D727:I727" si="342">SUM(D724:D725)</f>
        <v>-300</v>
      </c>
      <c r="E727" s="15">
        <f t="shared" si="342"/>
        <v>-300</v>
      </c>
      <c r="F727" s="15">
        <f t="shared" si="342"/>
        <v>-300</v>
      </c>
      <c r="G727" s="15">
        <f t="shared" si="342"/>
        <v>-300</v>
      </c>
      <c r="H727" s="15">
        <f t="shared" si="342"/>
        <v>-300</v>
      </c>
      <c r="I727" s="15">
        <f t="shared" si="342"/>
        <v>-300</v>
      </c>
      <c r="J727" s="8"/>
    </row>
    <row r="728" spans="1:11" x14ac:dyDescent="0.2">
      <c r="A728" s="16"/>
      <c r="B728" s="27" t="s">
        <v>35</v>
      </c>
      <c r="C728" s="15">
        <f t="shared" ref="C728:I728" si="343">C727*8</f>
        <v>-2400</v>
      </c>
      <c r="D728" s="15">
        <f t="shared" si="343"/>
        <v>-2400</v>
      </c>
      <c r="E728" s="15">
        <f t="shared" si="343"/>
        <v>-2400</v>
      </c>
      <c r="F728" s="15">
        <f t="shared" si="343"/>
        <v>-2400</v>
      </c>
      <c r="G728" s="15">
        <f t="shared" si="343"/>
        <v>-2400</v>
      </c>
      <c r="H728" s="15">
        <f t="shared" si="343"/>
        <v>-2400</v>
      </c>
      <c r="I728" s="15">
        <f t="shared" si="343"/>
        <v>-2400</v>
      </c>
      <c r="J728" s="3">
        <f>SUM(C728:I728)</f>
        <v>-16800</v>
      </c>
    </row>
    <row r="729" spans="1:11" x14ac:dyDescent="0.2">
      <c r="G729" s="21"/>
      <c r="H729" s="21"/>
    </row>
    <row r="730" spans="1:11" x14ac:dyDescent="0.2">
      <c r="A730" s="13"/>
      <c r="B730" s="2" t="s">
        <v>84</v>
      </c>
      <c r="C730" s="11">
        <f>(C722+C725)*8</f>
        <v>-29600</v>
      </c>
      <c r="D730" s="11">
        <f t="shared" ref="D730:I730" si="344">(D722+D725)*8</f>
        <v>-29600</v>
      </c>
      <c r="E730" s="11">
        <f t="shared" si="344"/>
        <v>-29600</v>
      </c>
      <c r="F730" s="11">
        <f t="shared" si="344"/>
        <v>-29600</v>
      </c>
      <c r="G730" s="11">
        <f t="shared" si="344"/>
        <v>-29600</v>
      </c>
      <c r="H730" s="11">
        <f t="shared" si="344"/>
        <v>-29600</v>
      </c>
      <c r="I730" s="11">
        <f t="shared" si="344"/>
        <v>-29600</v>
      </c>
    </row>
    <row r="731" spans="1:11" x14ac:dyDescent="0.2">
      <c r="A731" s="13"/>
      <c r="B731" s="2" t="s">
        <v>85</v>
      </c>
      <c r="C731" s="11">
        <f>C723*8</f>
        <v>27200</v>
      </c>
      <c r="D731" s="11">
        <f t="shared" ref="D731:I731" si="345">D723*8</f>
        <v>27200</v>
      </c>
      <c r="E731" s="11">
        <f t="shared" si="345"/>
        <v>27200</v>
      </c>
      <c r="F731" s="11">
        <f t="shared" si="345"/>
        <v>27200</v>
      </c>
      <c r="G731" s="11">
        <f t="shared" si="345"/>
        <v>27200</v>
      </c>
      <c r="H731" s="11">
        <f t="shared" si="345"/>
        <v>27200</v>
      </c>
      <c r="I731" s="11">
        <f t="shared" si="345"/>
        <v>27200</v>
      </c>
    </row>
    <row r="732" spans="1:11" x14ac:dyDescent="0.2">
      <c r="A732" s="13"/>
      <c r="B732" s="2" t="s">
        <v>77</v>
      </c>
      <c r="C732" s="11">
        <f t="shared" ref="C732:I732" si="346">SUM(C730:C731)</f>
        <v>-2400</v>
      </c>
      <c r="D732" s="11">
        <f t="shared" si="346"/>
        <v>-2400</v>
      </c>
      <c r="E732" s="11">
        <f t="shared" si="346"/>
        <v>-2400</v>
      </c>
      <c r="F732" s="11">
        <f t="shared" si="346"/>
        <v>-2400</v>
      </c>
      <c r="G732" s="11">
        <f t="shared" si="346"/>
        <v>-2400</v>
      </c>
      <c r="H732" s="11">
        <f t="shared" si="346"/>
        <v>-2400</v>
      </c>
      <c r="I732" s="11">
        <f t="shared" si="346"/>
        <v>-2400</v>
      </c>
    </row>
    <row r="733" spans="1:11" x14ac:dyDescent="0.2">
      <c r="A733" s="13"/>
    </row>
    <row r="734" spans="1:11" s="1" customFormat="1" x14ac:dyDescent="0.2">
      <c r="A734" s="1" t="s">
        <v>32</v>
      </c>
      <c r="B734" s="26" t="s">
        <v>40</v>
      </c>
      <c r="C734" s="28">
        <v>37257</v>
      </c>
      <c r="D734" s="6">
        <v>37258</v>
      </c>
      <c r="E734" s="6">
        <v>37259</v>
      </c>
      <c r="F734" s="6">
        <v>37260</v>
      </c>
      <c r="G734" s="28">
        <v>37261</v>
      </c>
      <c r="H734" s="28">
        <v>37262</v>
      </c>
      <c r="I734" s="6">
        <v>37263</v>
      </c>
      <c r="J734" s="8"/>
      <c r="K734" s="7"/>
    </row>
    <row r="735" spans="1:11" x14ac:dyDescent="0.2">
      <c r="B735" s="1" t="s">
        <v>3</v>
      </c>
      <c r="D735" s="19">
        <v>0</v>
      </c>
      <c r="E735" s="19">
        <v>0</v>
      </c>
      <c r="F735" s="19">
        <v>0</v>
      </c>
      <c r="G735" s="10"/>
      <c r="H735" s="21"/>
      <c r="I735" s="19">
        <v>0</v>
      </c>
      <c r="K735" s="4"/>
    </row>
    <row r="736" spans="1:11" x14ac:dyDescent="0.2">
      <c r="B736" s="8" t="s">
        <v>4</v>
      </c>
      <c r="C736" s="3">
        <v>0</v>
      </c>
      <c r="D736" s="10">
        <v>0</v>
      </c>
      <c r="E736" s="10">
        <v>0</v>
      </c>
      <c r="F736" s="10">
        <v>0</v>
      </c>
      <c r="G736" s="10"/>
      <c r="H736" s="21"/>
      <c r="I736" s="10">
        <v>0</v>
      </c>
      <c r="K736" s="4"/>
    </row>
    <row r="737" spans="1:11" x14ac:dyDescent="0.2">
      <c r="B737" s="1" t="s">
        <v>5</v>
      </c>
      <c r="C737" s="2">
        <v>50</v>
      </c>
      <c r="D737" s="19">
        <v>50</v>
      </c>
      <c r="E737" s="19">
        <v>50</v>
      </c>
      <c r="F737" s="19">
        <v>50</v>
      </c>
      <c r="G737" s="19">
        <v>50</v>
      </c>
      <c r="H737" s="19">
        <v>50</v>
      </c>
      <c r="I737" s="19">
        <v>50</v>
      </c>
      <c r="K737" s="4"/>
    </row>
    <row r="738" spans="1:11" x14ac:dyDescent="0.2">
      <c r="B738" s="8" t="s">
        <v>4</v>
      </c>
      <c r="C738" s="3">
        <v>32</v>
      </c>
      <c r="D738" s="10">
        <v>32</v>
      </c>
      <c r="E738" s="10">
        <v>32</v>
      </c>
      <c r="F738" s="10">
        <v>32</v>
      </c>
      <c r="G738" s="10">
        <v>32</v>
      </c>
      <c r="H738" s="10">
        <v>32</v>
      </c>
      <c r="I738" s="10">
        <v>32</v>
      </c>
      <c r="K738" s="4"/>
    </row>
    <row r="739" spans="1:11" x14ac:dyDescent="0.2">
      <c r="B739" s="7" t="s">
        <v>6</v>
      </c>
      <c r="C739" s="4">
        <f>C735-C737</f>
        <v>-50</v>
      </c>
      <c r="D739" s="4">
        <f t="shared" ref="D739:I739" si="347">D735-D737</f>
        <v>-50</v>
      </c>
      <c r="E739" s="4">
        <f t="shared" si="347"/>
        <v>-50</v>
      </c>
      <c r="F739" s="4">
        <f t="shared" si="347"/>
        <v>-50</v>
      </c>
      <c r="G739" s="4">
        <f t="shared" si="347"/>
        <v>-50</v>
      </c>
      <c r="H739" s="4">
        <f t="shared" si="347"/>
        <v>-50</v>
      </c>
      <c r="I739" s="4">
        <f t="shared" si="347"/>
        <v>-50</v>
      </c>
      <c r="K739" s="4"/>
    </row>
    <row r="740" spans="1:11" x14ac:dyDescent="0.2">
      <c r="B740" s="9" t="s">
        <v>7</v>
      </c>
      <c r="C740" s="10">
        <v>22</v>
      </c>
      <c r="D740" s="29">
        <v>22</v>
      </c>
      <c r="E740" s="29">
        <v>22</v>
      </c>
      <c r="F740" s="29">
        <v>22</v>
      </c>
      <c r="G740" s="10">
        <v>22</v>
      </c>
      <c r="H740" s="10">
        <v>22</v>
      </c>
      <c r="I740" s="29">
        <v>22</v>
      </c>
      <c r="K740" s="4"/>
    </row>
    <row r="741" spans="1:11" x14ac:dyDescent="0.2">
      <c r="B741" s="9"/>
      <c r="C741" s="11"/>
      <c r="D741" s="19"/>
      <c r="E741" s="19"/>
      <c r="F741" s="10"/>
      <c r="G741" s="10"/>
      <c r="H741" s="21"/>
      <c r="K741" s="4"/>
    </row>
    <row r="742" spans="1:11" x14ac:dyDescent="0.2">
      <c r="B742" s="9" t="s">
        <v>8</v>
      </c>
      <c r="C742" s="12">
        <f t="shared" ref="C742:I742" si="348">(C735*C736)*(-1)</f>
        <v>0</v>
      </c>
      <c r="D742" s="12">
        <f t="shared" si="348"/>
        <v>0</v>
      </c>
      <c r="E742" s="12">
        <f t="shared" si="348"/>
        <v>0</v>
      </c>
      <c r="F742" s="12">
        <f t="shared" si="348"/>
        <v>0</v>
      </c>
      <c r="G742" s="12">
        <f t="shared" si="348"/>
        <v>0</v>
      </c>
      <c r="H742" s="12">
        <f t="shared" si="348"/>
        <v>0</v>
      </c>
      <c r="I742" s="12">
        <f t="shared" si="348"/>
        <v>0</v>
      </c>
      <c r="K742" s="4"/>
    </row>
    <row r="743" spans="1:11" x14ac:dyDescent="0.2">
      <c r="B743" s="9" t="s">
        <v>9</v>
      </c>
      <c r="C743" s="11">
        <f t="shared" ref="C743:I743" si="349">C737*C738</f>
        <v>1600</v>
      </c>
      <c r="D743" s="11">
        <f t="shared" si="349"/>
        <v>1600</v>
      </c>
      <c r="E743" s="11">
        <f t="shared" si="349"/>
        <v>1600</v>
      </c>
      <c r="F743" s="11">
        <f t="shared" si="349"/>
        <v>1600</v>
      </c>
      <c r="G743" s="11">
        <f t="shared" si="349"/>
        <v>1600</v>
      </c>
      <c r="H743" s="11">
        <f t="shared" si="349"/>
        <v>1600</v>
      </c>
      <c r="I743" s="11">
        <f t="shared" si="349"/>
        <v>1600</v>
      </c>
      <c r="K743" s="4"/>
    </row>
    <row r="744" spans="1:11" x14ac:dyDescent="0.2">
      <c r="B744" s="7" t="s">
        <v>10</v>
      </c>
      <c r="C744" s="11">
        <f t="shared" ref="C744:I744" si="350">SUM(C742:C743)</f>
        <v>1600</v>
      </c>
      <c r="D744" s="11">
        <f t="shared" si="350"/>
        <v>1600</v>
      </c>
      <c r="E744" s="11">
        <f t="shared" si="350"/>
        <v>1600</v>
      </c>
      <c r="F744" s="11">
        <f t="shared" si="350"/>
        <v>1600</v>
      </c>
      <c r="G744" s="11">
        <f t="shared" si="350"/>
        <v>1600</v>
      </c>
      <c r="H744" s="11">
        <f t="shared" si="350"/>
        <v>1600</v>
      </c>
      <c r="I744" s="11">
        <f t="shared" si="350"/>
        <v>1600</v>
      </c>
      <c r="K744" s="4"/>
    </row>
    <row r="745" spans="1:11" x14ac:dyDescent="0.2">
      <c r="A745" s="13"/>
      <c r="B745" s="2" t="s">
        <v>11</v>
      </c>
      <c r="C745" s="12">
        <f t="shared" ref="C745:I745" si="351">C739*C740</f>
        <v>-1100</v>
      </c>
      <c r="D745" s="12">
        <f t="shared" si="351"/>
        <v>-1100</v>
      </c>
      <c r="E745" s="12">
        <f t="shared" si="351"/>
        <v>-1100</v>
      </c>
      <c r="F745" s="12">
        <f t="shared" si="351"/>
        <v>-1100</v>
      </c>
      <c r="G745" s="12">
        <f t="shared" si="351"/>
        <v>-1100</v>
      </c>
      <c r="H745" s="12">
        <f t="shared" si="351"/>
        <v>-1100</v>
      </c>
      <c r="I745" s="12">
        <f t="shared" si="351"/>
        <v>-1100</v>
      </c>
    </row>
    <row r="746" spans="1:11" x14ac:dyDescent="0.2">
      <c r="A746" s="14"/>
      <c r="E746" s="2"/>
      <c r="G746" s="2"/>
      <c r="H746" s="2"/>
      <c r="I746" s="2"/>
    </row>
    <row r="747" spans="1:11" s="1" customFormat="1" x14ac:dyDescent="0.2">
      <c r="A747" s="13"/>
      <c r="B747" s="1" t="s">
        <v>12</v>
      </c>
      <c r="C747" s="15">
        <f t="shared" ref="C747:I747" si="352">SUM(C744:C745)</f>
        <v>500</v>
      </c>
      <c r="D747" s="15">
        <f t="shared" si="352"/>
        <v>500</v>
      </c>
      <c r="E747" s="15">
        <f t="shared" si="352"/>
        <v>500</v>
      </c>
      <c r="F747" s="15">
        <f t="shared" si="352"/>
        <v>500</v>
      </c>
      <c r="G747" s="15">
        <f t="shared" si="352"/>
        <v>500</v>
      </c>
      <c r="H747" s="15">
        <f t="shared" si="352"/>
        <v>500</v>
      </c>
      <c r="I747" s="15">
        <f t="shared" si="352"/>
        <v>500</v>
      </c>
      <c r="J747" s="8"/>
    </row>
    <row r="748" spans="1:11" x14ac:dyDescent="0.2">
      <c r="A748" s="16"/>
      <c r="B748" s="27" t="s">
        <v>35</v>
      </c>
      <c r="C748" s="15">
        <f t="shared" ref="C748:I748" si="353">C747*8</f>
        <v>4000</v>
      </c>
      <c r="D748" s="15">
        <f t="shared" si="353"/>
        <v>4000</v>
      </c>
      <c r="E748" s="15">
        <f t="shared" si="353"/>
        <v>4000</v>
      </c>
      <c r="F748" s="15">
        <f t="shared" si="353"/>
        <v>4000</v>
      </c>
      <c r="G748" s="15">
        <f t="shared" si="353"/>
        <v>4000</v>
      </c>
      <c r="H748" s="15">
        <f t="shared" si="353"/>
        <v>4000</v>
      </c>
      <c r="I748" s="15">
        <f t="shared" si="353"/>
        <v>4000</v>
      </c>
      <c r="J748" s="3">
        <f>SUM(C748:I748)</f>
        <v>28000</v>
      </c>
    </row>
    <row r="750" spans="1:11" x14ac:dyDescent="0.2">
      <c r="A750" s="13"/>
      <c r="B750" s="2" t="s">
        <v>84</v>
      </c>
      <c r="C750" s="11">
        <f>(C742+C745)*8</f>
        <v>-8800</v>
      </c>
      <c r="D750" s="11">
        <f t="shared" ref="D750:I750" si="354">(D742+D745)*8</f>
        <v>-8800</v>
      </c>
      <c r="E750" s="11">
        <f t="shared" si="354"/>
        <v>-8800</v>
      </c>
      <c r="F750" s="11">
        <f t="shared" si="354"/>
        <v>-8800</v>
      </c>
      <c r="G750" s="11">
        <f t="shared" si="354"/>
        <v>-8800</v>
      </c>
      <c r="H750" s="11">
        <f t="shared" si="354"/>
        <v>-8800</v>
      </c>
      <c r="I750" s="11">
        <f t="shared" si="354"/>
        <v>-8800</v>
      </c>
    </row>
    <row r="751" spans="1:11" x14ac:dyDescent="0.2">
      <c r="A751" s="13"/>
      <c r="B751" s="2" t="s">
        <v>85</v>
      </c>
      <c r="C751" s="11">
        <f>C743*8</f>
        <v>12800</v>
      </c>
      <c r="D751" s="11">
        <f t="shared" ref="D751:I751" si="355">D743*8</f>
        <v>12800</v>
      </c>
      <c r="E751" s="11">
        <f t="shared" si="355"/>
        <v>12800</v>
      </c>
      <c r="F751" s="11">
        <f t="shared" si="355"/>
        <v>12800</v>
      </c>
      <c r="G751" s="11">
        <f t="shared" si="355"/>
        <v>12800</v>
      </c>
      <c r="H751" s="11">
        <f t="shared" si="355"/>
        <v>12800</v>
      </c>
      <c r="I751" s="11">
        <f t="shared" si="355"/>
        <v>12800</v>
      </c>
    </row>
    <row r="752" spans="1:11" x14ac:dyDescent="0.2">
      <c r="A752" s="13"/>
      <c r="B752" s="2" t="s">
        <v>77</v>
      </c>
      <c r="C752" s="11">
        <f t="shared" ref="C752:I752" si="356">SUM(C750:C751)</f>
        <v>4000</v>
      </c>
      <c r="D752" s="11">
        <f t="shared" si="356"/>
        <v>4000</v>
      </c>
      <c r="E752" s="11">
        <f t="shared" si="356"/>
        <v>4000</v>
      </c>
      <c r="F752" s="11">
        <f t="shared" si="356"/>
        <v>4000</v>
      </c>
      <c r="G752" s="11">
        <f t="shared" si="356"/>
        <v>4000</v>
      </c>
      <c r="H752" s="11">
        <f t="shared" si="356"/>
        <v>4000</v>
      </c>
      <c r="I752" s="11">
        <f t="shared" si="356"/>
        <v>4000</v>
      </c>
    </row>
    <row r="753" spans="1:10" x14ac:dyDescent="0.2">
      <c r="A753" s="13"/>
    </row>
    <row r="755" spans="1:10" x14ac:dyDescent="0.2">
      <c r="A755" s="1" t="s">
        <v>43</v>
      </c>
      <c r="B755" s="26" t="s">
        <v>44</v>
      </c>
      <c r="C755" s="28">
        <v>37257</v>
      </c>
      <c r="D755" s="6">
        <v>37258</v>
      </c>
      <c r="E755" s="6">
        <v>37259</v>
      </c>
      <c r="F755" s="6">
        <v>37260</v>
      </c>
      <c r="G755" s="28">
        <v>37261</v>
      </c>
      <c r="H755" s="28">
        <v>37262</v>
      </c>
      <c r="I755" s="6">
        <v>37263</v>
      </c>
      <c r="J755" s="8"/>
    </row>
    <row r="756" spans="1:10" x14ac:dyDescent="0.2">
      <c r="B756" s="1" t="s">
        <v>3</v>
      </c>
      <c r="C756" s="2">
        <v>50</v>
      </c>
      <c r="D756" s="2">
        <v>50</v>
      </c>
      <c r="E756" s="2">
        <v>50</v>
      </c>
      <c r="F756" s="2">
        <v>50</v>
      </c>
      <c r="G756" s="2">
        <v>50</v>
      </c>
      <c r="H756" s="2">
        <v>50</v>
      </c>
      <c r="I756" s="2">
        <v>50</v>
      </c>
    </row>
    <row r="757" spans="1:10" x14ac:dyDescent="0.2">
      <c r="B757" s="8" t="s">
        <v>4</v>
      </c>
      <c r="C757" s="3">
        <v>24</v>
      </c>
      <c r="D757" s="3">
        <v>24</v>
      </c>
      <c r="E757" s="3">
        <v>24</v>
      </c>
      <c r="F757" s="3">
        <v>24</v>
      </c>
      <c r="G757" s="3">
        <v>24</v>
      </c>
      <c r="H757" s="3">
        <v>24</v>
      </c>
      <c r="I757" s="3">
        <v>24</v>
      </c>
    </row>
    <row r="758" spans="1:10" x14ac:dyDescent="0.2">
      <c r="B758" s="1" t="s">
        <v>5</v>
      </c>
      <c r="D758" s="19">
        <v>0</v>
      </c>
      <c r="E758" s="19">
        <v>0</v>
      </c>
      <c r="F758" s="19">
        <v>0</v>
      </c>
      <c r="G758" s="10"/>
      <c r="H758" s="21"/>
      <c r="I758" s="19">
        <v>0</v>
      </c>
    </row>
    <row r="759" spans="1:10" x14ac:dyDescent="0.2">
      <c r="B759" s="8" t="s">
        <v>4</v>
      </c>
      <c r="C759" s="3">
        <v>0</v>
      </c>
      <c r="D759" s="10">
        <v>0</v>
      </c>
      <c r="E759" s="10">
        <v>0</v>
      </c>
      <c r="F759" s="10">
        <v>0</v>
      </c>
      <c r="G759" s="10"/>
      <c r="H759" s="21"/>
      <c r="I759" s="10">
        <v>0</v>
      </c>
    </row>
    <row r="760" spans="1:10" x14ac:dyDescent="0.2">
      <c r="B760" s="7" t="s">
        <v>6</v>
      </c>
      <c r="C760" s="4">
        <f t="shared" ref="C760:I760" si="357">C756-C758</f>
        <v>50</v>
      </c>
      <c r="D760" s="4">
        <f t="shared" si="357"/>
        <v>50</v>
      </c>
      <c r="E760" s="4">
        <f t="shared" si="357"/>
        <v>50</v>
      </c>
      <c r="F760" s="4">
        <f t="shared" si="357"/>
        <v>50</v>
      </c>
      <c r="G760" s="4">
        <f t="shared" si="357"/>
        <v>50</v>
      </c>
      <c r="H760" s="4">
        <f t="shared" si="357"/>
        <v>50</v>
      </c>
      <c r="I760" s="4">
        <f t="shared" si="357"/>
        <v>50</v>
      </c>
    </row>
    <row r="761" spans="1:10" x14ac:dyDescent="0.2">
      <c r="B761" s="9" t="s">
        <v>7</v>
      </c>
      <c r="C761" s="10">
        <v>22</v>
      </c>
      <c r="D761" s="29">
        <v>22</v>
      </c>
      <c r="E761" s="29">
        <v>22</v>
      </c>
      <c r="F761" s="29">
        <v>22</v>
      </c>
      <c r="G761" s="10">
        <v>22</v>
      </c>
      <c r="H761" s="10">
        <v>22</v>
      </c>
      <c r="I761" s="29">
        <v>22</v>
      </c>
    </row>
    <row r="762" spans="1:10" x14ac:dyDescent="0.2">
      <c r="B762" s="9"/>
      <c r="C762" s="11"/>
      <c r="D762" s="19"/>
      <c r="E762" s="19"/>
      <c r="F762" s="10"/>
      <c r="G762" s="10"/>
      <c r="H762" s="21"/>
    </row>
    <row r="763" spans="1:10" x14ac:dyDescent="0.2">
      <c r="B763" s="9" t="s">
        <v>8</v>
      </c>
      <c r="C763" s="12">
        <f t="shared" ref="C763:I763" si="358">(C756*C757)*(-1)</f>
        <v>-1200</v>
      </c>
      <c r="D763" s="12">
        <f t="shared" si="358"/>
        <v>-1200</v>
      </c>
      <c r="E763" s="12">
        <f t="shared" si="358"/>
        <v>-1200</v>
      </c>
      <c r="F763" s="12">
        <f t="shared" si="358"/>
        <v>-1200</v>
      </c>
      <c r="G763" s="12">
        <f t="shared" si="358"/>
        <v>-1200</v>
      </c>
      <c r="H763" s="12">
        <f t="shared" si="358"/>
        <v>-1200</v>
      </c>
      <c r="I763" s="12">
        <f t="shared" si="358"/>
        <v>-1200</v>
      </c>
    </row>
    <row r="764" spans="1:10" x14ac:dyDescent="0.2">
      <c r="B764" s="9" t="s">
        <v>9</v>
      </c>
      <c r="C764" s="11">
        <f t="shared" ref="C764:I764" si="359">C758*C759</f>
        <v>0</v>
      </c>
      <c r="D764" s="11">
        <f t="shared" si="359"/>
        <v>0</v>
      </c>
      <c r="E764" s="11">
        <f t="shared" si="359"/>
        <v>0</v>
      </c>
      <c r="F764" s="11">
        <f t="shared" si="359"/>
        <v>0</v>
      </c>
      <c r="G764" s="11">
        <f t="shared" si="359"/>
        <v>0</v>
      </c>
      <c r="H764" s="11">
        <f t="shared" si="359"/>
        <v>0</v>
      </c>
      <c r="I764" s="11">
        <f t="shared" si="359"/>
        <v>0</v>
      </c>
    </row>
    <row r="765" spans="1:10" x14ac:dyDescent="0.2">
      <c r="B765" s="7" t="s">
        <v>10</v>
      </c>
      <c r="C765" s="11">
        <f t="shared" ref="C765:I765" si="360">SUM(C763:C764)</f>
        <v>-1200</v>
      </c>
      <c r="D765" s="11">
        <f t="shared" si="360"/>
        <v>-1200</v>
      </c>
      <c r="E765" s="11">
        <f t="shared" si="360"/>
        <v>-1200</v>
      </c>
      <c r="F765" s="11">
        <f t="shared" si="360"/>
        <v>-1200</v>
      </c>
      <c r="G765" s="11">
        <f t="shared" si="360"/>
        <v>-1200</v>
      </c>
      <c r="H765" s="11">
        <f t="shared" si="360"/>
        <v>-1200</v>
      </c>
      <c r="I765" s="11">
        <f t="shared" si="360"/>
        <v>-1200</v>
      </c>
    </row>
    <row r="766" spans="1:10" x14ac:dyDescent="0.2">
      <c r="A766" s="13"/>
      <c r="B766" s="2" t="s">
        <v>11</v>
      </c>
      <c r="C766" s="12">
        <f t="shared" ref="C766:I766" si="361">C760*C761</f>
        <v>1100</v>
      </c>
      <c r="D766" s="12">
        <f t="shared" si="361"/>
        <v>1100</v>
      </c>
      <c r="E766" s="12">
        <f t="shared" si="361"/>
        <v>1100</v>
      </c>
      <c r="F766" s="12">
        <f t="shared" si="361"/>
        <v>1100</v>
      </c>
      <c r="G766" s="12">
        <f t="shared" si="361"/>
        <v>1100</v>
      </c>
      <c r="H766" s="12">
        <f t="shared" si="361"/>
        <v>1100</v>
      </c>
      <c r="I766" s="12">
        <f t="shared" si="361"/>
        <v>1100</v>
      </c>
    </row>
    <row r="767" spans="1:10" x14ac:dyDescent="0.2">
      <c r="A767" s="14"/>
      <c r="E767" s="2"/>
      <c r="G767" s="2"/>
      <c r="H767" s="2"/>
      <c r="I767" s="2"/>
    </row>
    <row r="768" spans="1:10" x14ac:dyDescent="0.2">
      <c r="A768" s="13"/>
      <c r="B768" s="1" t="s">
        <v>12</v>
      </c>
      <c r="C768" s="15">
        <f t="shared" ref="C768:I768" si="362">SUM(C765:C766)</f>
        <v>-100</v>
      </c>
      <c r="D768" s="15">
        <f t="shared" si="362"/>
        <v>-100</v>
      </c>
      <c r="E768" s="15">
        <f t="shared" si="362"/>
        <v>-100</v>
      </c>
      <c r="F768" s="15">
        <f t="shared" si="362"/>
        <v>-100</v>
      </c>
      <c r="G768" s="15">
        <f t="shared" si="362"/>
        <v>-100</v>
      </c>
      <c r="H768" s="15">
        <f t="shared" si="362"/>
        <v>-100</v>
      </c>
      <c r="I768" s="15">
        <f t="shared" si="362"/>
        <v>-100</v>
      </c>
      <c r="J768" s="8"/>
    </row>
    <row r="769" spans="1:11" x14ac:dyDescent="0.2">
      <c r="A769" s="16"/>
      <c r="B769" s="27" t="s">
        <v>35</v>
      </c>
      <c r="C769" s="15">
        <f t="shared" ref="C769:I769" si="363">C768*8</f>
        <v>-800</v>
      </c>
      <c r="D769" s="15">
        <f t="shared" si="363"/>
        <v>-800</v>
      </c>
      <c r="E769" s="15">
        <f t="shared" si="363"/>
        <v>-800</v>
      </c>
      <c r="F769" s="15">
        <f t="shared" si="363"/>
        <v>-800</v>
      </c>
      <c r="G769" s="15">
        <f t="shared" si="363"/>
        <v>-800</v>
      </c>
      <c r="H769" s="15">
        <f t="shared" si="363"/>
        <v>-800</v>
      </c>
      <c r="I769" s="15">
        <f t="shared" si="363"/>
        <v>-800</v>
      </c>
      <c r="J769" s="3">
        <f>SUM(C769:I769)</f>
        <v>-5600</v>
      </c>
    </row>
    <row r="771" spans="1:11" x14ac:dyDescent="0.2">
      <c r="A771" s="13"/>
      <c r="B771" s="2" t="s">
        <v>84</v>
      </c>
      <c r="C771" s="11">
        <f>(C763+C766)*8</f>
        <v>-800</v>
      </c>
      <c r="D771" s="11">
        <f t="shared" ref="D771:I771" si="364">(D763+D766)*8</f>
        <v>-800</v>
      </c>
      <c r="E771" s="11">
        <f t="shared" si="364"/>
        <v>-800</v>
      </c>
      <c r="F771" s="11">
        <f t="shared" si="364"/>
        <v>-800</v>
      </c>
      <c r="G771" s="11">
        <f t="shared" si="364"/>
        <v>-800</v>
      </c>
      <c r="H771" s="11">
        <f t="shared" si="364"/>
        <v>-800</v>
      </c>
      <c r="I771" s="11">
        <f t="shared" si="364"/>
        <v>-800</v>
      </c>
    </row>
    <row r="772" spans="1:11" x14ac:dyDescent="0.2">
      <c r="A772" s="13"/>
      <c r="B772" s="2" t="s">
        <v>85</v>
      </c>
      <c r="C772" s="11">
        <f>C764*8</f>
        <v>0</v>
      </c>
      <c r="D772" s="11">
        <f t="shared" ref="D772:I772" si="365">D764*8</f>
        <v>0</v>
      </c>
      <c r="E772" s="11">
        <f t="shared" si="365"/>
        <v>0</v>
      </c>
      <c r="F772" s="11">
        <f t="shared" si="365"/>
        <v>0</v>
      </c>
      <c r="G772" s="11">
        <f t="shared" si="365"/>
        <v>0</v>
      </c>
      <c r="H772" s="11">
        <f t="shared" si="365"/>
        <v>0</v>
      </c>
      <c r="I772" s="11">
        <f t="shared" si="365"/>
        <v>0</v>
      </c>
    </row>
    <row r="773" spans="1:11" x14ac:dyDescent="0.2">
      <c r="A773" s="13"/>
      <c r="B773" s="2" t="s">
        <v>77</v>
      </c>
      <c r="C773" s="11">
        <f t="shared" ref="C773:I773" si="366">SUM(C771:C772)</f>
        <v>-800</v>
      </c>
      <c r="D773" s="11">
        <f t="shared" si="366"/>
        <v>-800</v>
      </c>
      <c r="E773" s="11">
        <f t="shared" si="366"/>
        <v>-800</v>
      </c>
      <c r="F773" s="11">
        <f t="shared" si="366"/>
        <v>-800</v>
      </c>
      <c r="G773" s="11">
        <f t="shared" si="366"/>
        <v>-800</v>
      </c>
      <c r="H773" s="11">
        <f t="shared" si="366"/>
        <v>-800</v>
      </c>
      <c r="I773" s="11">
        <f t="shared" si="366"/>
        <v>-800</v>
      </c>
    </row>
    <row r="774" spans="1:11" x14ac:dyDescent="0.2">
      <c r="A774" s="13"/>
    </row>
    <row r="776" spans="1:11" s="1" customFormat="1" x14ac:dyDescent="0.2">
      <c r="A776" s="1" t="s">
        <v>21</v>
      </c>
      <c r="B776" s="5" t="s">
        <v>36</v>
      </c>
      <c r="C776" s="28">
        <v>37257</v>
      </c>
      <c r="D776" s="6">
        <v>37258</v>
      </c>
      <c r="E776" s="6">
        <v>37259</v>
      </c>
      <c r="F776" s="6">
        <v>37260</v>
      </c>
      <c r="G776" s="28">
        <v>37261</v>
      </c>
      <c r="H776" s="28">
        <v>37262</v>
      </c>
      <c r="I776" s="6">
        <v>37263</v>
      </c>
      <c r="J776" s="8"/>
      <c r="K776" s="7"/>
    </row>
    <row r="777" spans="1:11" x14ac:dyDescent="0.2">
      <c r="B777" s="1" t="s">
        <v>3</v>
      </c>
      <c r="C777" s="2">
        <v>150</v>
      </c>
      <c r="D777" s="19">
        <v>150</v>
      </c>
      <c r="E777" s="19">
        <v>150</v>
      </c>
      <c r="F777" s="19">
        <v>150</v>
      </c>
      <c r="G777" s="2">
        <v>150</v>
      </c>
      <c r="H777" s="2">
        <v>150</v>
      </c>
      <c r="I777" s="19">
        <v>150</v>
      </c>
      <c r="K777" s="4"/>
    </row>
    <row r="778" spans="1:11" x14ac:dyDescent="0.2">
      <c r="B778" s="8" t="s">
        <v>4</v>
      </c>
      <c r="C778" s="3">
        <v>30.82</v>
      </c>
      <c r="D778" s="10">
        <v>30.82</v>
      </c>
      <c r="E778" s="10">
        <v>30.82</v>
      </c>
      <c r="F778" s="10">
        <v>30.82</v>
      </c>
      <c r="G778" s="3">
        <v>30.82</v>
      </c>
      <c r="H778" s="3">
        <v>30.82</v>
      </c>
      <c r="I778" s="10">
        <v>30.82</v>
      </c>
      <c r="K778" s="4"/>
    </row>
    <row r="779" spans="1:11" x14ac:dyDescent="0.2">
      <c r="B779" s="1" t="s">
        <v>5</v>
      </c>
      <c r="C779" s="2">
        <v>150</v>
      </c>
      <c r="D779" s="19">
        <v>150</v>
      </c>
      <c r="E779" s="19">
        <v>150</v>
      </c>
      <c r="F779" s="19">
        <v>150</v>
      </c>
      <c r="G779" s="2">
        <v>150</v>
      </c>
      <c r="H779" s="2">
        <v>150</v>
      </c>
      <c r="I779" s="19">
        <v>150</v>
      </c>
      <c r="K779" s="4"/>
    </row>
    <row r="780" spans="1:11" x14ac:dyDescent="0.2">
      <c r="B780" s="8" t="s">
        <v>4</v>
      </c>
      <c r="C780" s="3">
        <v>40.130000000000003</v>
      </c>
      <c r="D780" s="10">
        <v>40.130000000000003</v>
      </c>
      <c r="E780" s="10">
        <v>40.130000000000003</v>
      </c>
      <c r="F780" s="10">
        <v>40.130000000000003</v>
      </c>
      <c r="G780" s="3">
        <v>40.130000000000003</v>
      </c>
      <c r="H780" s="3">
        <v>40.130000000000003</v>
      </c>
      <c r="I780" s="10">
        <v>40.130000000000003</v>
      </c>
      <c r="K780" s="4"/>
    </row>
    <row r="781" spans="1:11" x14ac:dyDescent="0.2">
      <c r="B781" s="7" t="s">
        <v>6</v>
      </c>
      <c r="C781" s="4">
        <f t="shared" ref="C781:I781" si="367">C777-C779</f>
        <v>0</v>
      </c>
      <c r="D781" s="4">
        <f t="shared" si="367"/>
        <v>0</v>
      </c>
      <c r="E781" s="4">
        <f t="shared" si="367"/>
        <v>0</v>
      </c>
      <c r="F781" s="4">
        <f t="shared" si="367"/>
        <v>0</v>
      </c>
      <c r="G781" s="4">
        <f t="shared" si="367"/>
        <v>0</v>
      </c>
      <c r="H781" s="4">
        <f t="shared" si="367"/>
        <v>0</v>
      </c>
      <c r="I781" s="4">
        <f t="shared" si="367"/>
        <v>0</v>
      </c>
      <c r="K781" s="4"/>
    </row>
    <row r="782" spans="1:11" x14ac:dyDescent="0.2">
      <c r="B782" s="9" t="s">
        <v>7</v>
      </c>
      <c r="C782" s="10">
        <v>30</v>
      </c>
      <c r="D782" s="10">
        <v>30</v>
      </c>
      <c r="E782" s="10">
        <v>30</v>
      </c>
      <c r="F782" s="10">
        <v>30</v>
      </c>
      <c r="G782" s="10">
        <v>30</v>
      </c>
      <c r="H782" s="10">
        <v>30</v>
      </c>
      <c r="I782" s="10">
        <v>30</v>
      </c>
      <c r="K782" s="4"/>
    </row>
    <row r="783" spans="1:11" x14ac:dyDescent="0.2">
      <c r="B783" s="9"/>
      <c r="C783" s="11"/>
      <c r="D783" s="19"/>
      <c r="E783" s="19"/>
      <c r="F783" s="10"/>
      <c r="G783" s="11"/>
      <c r="H783" s="11"/>
      <c r="K783" s="4"/>
    </row>
    <row r="784" spans="1:11" x14ac:dyDescent="0.2">
      <c r="B784" s="9" t="s">
        <v>8</v>
      </c>
      <c r="C784" s="12">
        <f>(C777*C778)*(-1)</f>
        <v>-4623</v>
      </c>
      <c r="D784" s="12">
        <f t="shared" ref="D784:I784" si="368">(D777*D778)*(-1)</f>
        <v>-4623</v>
      </c>
      <c r="E784" s="12">
        <f t="shared" si="368"/>
        <v>-4623</v>
      </c>
      <c r="F784" s="12">
        <f t="shared" si="368"/>
        <v>-4623</v>
      </c>
      <c r="G784" s="12">
        <f t="shared" si="368"/>
        <v>-4623</v>
      </c>
      <c r="H784" s="12">
        <f t="shared" si="368"/>
        <v>-4623</v>
      </c>
      <c r="I784" s="12">
        <f t="shared" si="368"/>
        <v>-4623</v>
      </c>
      <c r="K784" s="4"/>
    </row>
    <row r="785" spans="1:11" x14ac:dyDescent="0.2">
      <c r="B785" s="9" t="s">
        <v>9</v>
      </c>
      <c r="C785" s="11">
        <f>C779*C780</f>
        <v>6019.5</v>
      </c>
      <c r="D785" s="11">
        <f t="shared" ref="D785:I785" si="369">D779*D780</f>
        <v>6019.5</v>
      </c>
      <c r="E785" s="11">
        <f t="shared" si="369"/>
        <v>6019.5</v>
      </c>
      <c r="F785" s="11">
        <f t="shared" si="369"/>
        <v>6019.5</v>
      </c>
      <c r="G785" s="11">
        <f t="shared" si="369"/>
        <v>6019.5</v>
      </c>
      <c r="H785" s="11">
        <f t="shared" si="369"/>
        <v>6019.5</v>
      </c>
      <c r="I785" s="11">
        <f t="shared" si="369"/>
        <v>6019.5</v>
      </c>
      <c r="K785" s="4"/>
    </row>
    <row r="786" spans="1:11" x14ac:dyDescent="0.2">
      <c r="B786" s="7" t="s">
        <v>10</v>
      </c>
      <c r="C786" s="11">
        <f>SUM(C784:C785)</f>
        <v>1396.5</v>
      </c>
      <c r="D786" s="11">
        <f t="shared" ref="D786:I786" si="370">SUM(D784:D785)</f>
        <v>1396.5</v>
      </c>
      <c r="E786" s="11">
        <f t="shared" si="370"/>
        <v>1396.5</v>
      </c>
      <c r="F786" s="11">
        <f t="shared" si="370"/>
        <v>1396.5</v>
      </c>
      <c r="G786" s="11">
        <f>SUM(G784:G785)</f>
        <v>1396.5</v>
      </c>
      <c r="H786" s="11">
        <f>SUM(H784:H785)</f>
        <v>1396.5</v>
      </c>
      <c r="I786" s="11">
        <f t="shared" si="370"/>
        <v>1396.5</v>
      </c>
      <c r="K786" s="4"/>
    </row>
    <row r="787" spans="1:11" x14ac:dyDescent="0.2">
      <c r="A787" s="13"/>
      <c r="B787" s="2" t="s">
        <v>11</v>
      </c>
      <c r="C787" s="12">
        <f>C781*C782</f>
        <v>0</v>
      </c>
      <c r="D787" s="12">
        <f t="shared" ref="D787:I787" si="371">D781*D782</f>
        <v>0</v>
      </c>
      <c r="E787" s="12">
        <f t="shared" si="371"/>
        <v>0</v>
      </c>
      <c r="F787" s="12">
        <f t="shared" si="371"/>
        <v>0</v>
      </c>
      <c r="G787" s="12">
        <f t="shared" si="371"/>
        <v>0</v>
      </c>
      <c r="H787" s="12">
        <f t="shared" si="371"/>
        <v>0</v>
      </c>
      <c r="I787" s="12">
        <f t="shared" si="371"/>
        <v>0</v>
      </c>
    </row>
    <row r="788" spans="1:11" x14ac:dyDescent="0.2">
      <c r="A788" s="14"/>
      <c r="E788" s="2"/>
      <c r="G788" s="2"/>
      <c r="H788" s="2"/>
      <c r="I788" s="2"/>
    </row>
    <row r="789" spans="1:11" s="1" customFormat="1" x14ac:dyDescent="0.2">
      <c r="A789" s="13"/>
      <c r="B789" s="1" t="s">
        <v>12</v>
      </c>
      <c r="C789" s="15">
        <f>SUM(C786:C787)</f>
        <v>1396.5</v>
      </c>
      <c r="D789" s="15">
        <f t="shared" ref="D789:I789" si="372">SUM(D786:D787)</f>
        <v>1396.5</v>
      </c>
      <c r="E789" s="15">
        <f t="shared" si="372"/>
        <v>1396.5</v>
      </c>
      <c r="F789" s="15">
        <f t="shared" si="372"/>
        <v>1396.5</v>
      </c>
      <c r="G789" s="15">
        <f t="shared" si="372"/>
        <v>1396.5</v>
      </c>
      <c r="H789" s="15">
        <f t="shared" si="372"/>
        <v>1396.5</v>
      </c>
      <c r="I789" s="15">
        <f t="shared" si="372"/>
        <v>1396.5</v>
      </c>
      <c r="J789" s="8"/>
    </row>
    <row r="790" spans="1:11" x14ac:dyDescent="0.2">
      <c r="A790" s="16"/>
      <c r="B790" s="27" t="s">
        <v>35</v>
      </c>
      <c r="C790" s="15">
        <f t="shared" ref="C790:I790" si="373">C789*8</f>
        <v>11172</v>
      </c>
      <c r="D790" s="15">
        <f t="shared" si="373"/>
        <v>11172</v>
      </c>
      <c r="E790" s="15">
        <f t="shared" si="373"/>
        <v>11172</v>
      </c>
      <c r="F790" s="15">
        <f t="shared" si="373"/>
        <v>11172</v>
      </c>
      <c r="G790" s="15">
        <f t="shared" si="373"/>
        <v>11172</v>
      </c>
      <c r="H790" s="15">
        <f t="shared" si="373"/>
        <v>11172</v>
      </c>
      <c r="I790" s="15">
        <f t="shared" si="373"/>
        <v>11172</v>
      </c>
      <c r="J790" s="3">
        <f>SUM(C790:I790)</f>
        <v>78204</v>
      </c>
    </row>
    <row r="792" spans="1:11" x14ac:dyDescent="0.2">
      <c r="A792" s="13"/>
      <c r="B792" s="2" t="s">
        <v>84</v>
      </c>
      <c r="C792" s="11">
        <f>(C784+C787)*8</f>
        <v>-36984</v>
      </c>
      <c r="D792" s="11">
        <f t="shared" ref="D792:I792" si="374">(D784+D787)*8</f>
        <v>-36984</v>
      </c>
      <c r="E792" s="11">
        <f t="shared" si="374"/>
        <v>-36984</v>
      </c>
      <c r="F792" s="11">
        <f t="shared" si="374"/>
        <v>-36984</v>
      </c>
      <c r="G792" s="11">
        <f t="shared" si="374"/>
        <v>-36984</v>
      </c>
      <c r="H792" s="11">
        <f t="shared" si="374"/>
        <v>-36984</v>
      </c>
      <c r="I792" s="11">
        <f t="shared" si="374"/>
        <v>-36984</v>
      </c>
    </row>
    <row r="793" spans="1:11" x14ac:dyDescent="0.2">
      <c r="A793" s="13"/>
      <c r="B793" s="2" t="s">
        <v>85</v>
      </c>
      <c r="C793" s="11">
        <f>C785*8</f>
        <v>48156</v>
      </c>
      <c r="D793" s="11">
        <f t="shared" ref="D793:I793" si="375">D785*8</f>
        <v>48156</v>
      </c>
      <c r="E793" s="11">
        <f t="shared" si="375"/>
        <v>48156</v>
      </c>
      <c r="F793" s="11">
        <f t="shared" si="375"/>
        <v>48156</v>
      </c>
      <c r="G793" s="11">
        <f t="shared" si="375"/>
        <v>48156</v>
      </c>
      <c r="H793" s="11">
        <f t="shared" si="375"/>
        <v>48156</v>
      </c>
      <c r="I793" s="11">
        <f t="shared" si="375"/>
        <v>48156</v>
      </c>
    </row>
    <row r="794" spans="1:11" x14ac:dyDescent="0.2">
      <c r="A794" s="13"/>
      <c r="B794" s="2" t="s">
        <v>77</v>
      </c>
      <c r="C794" s="11">
        <f t="shared" ref="C794:I794" si="376">SUM(C792:C793)</f>
        <v>11172</v>
      </c>
      <c r="D794" s="11">
        <f t="shared" si="376"/>
        <v>11172</v>
      </c>
      <c r="E794" s="11">
        <f t="shared" si="376"/>
        <v>11172</v>
      </c>
      <c r="F794" s="11">
        <f t="shared" si="376"/>
        <v>11172</v>
      </c>
      <c r="G794" s="11">
        <f t="shared" si="376"/>
        <v>11172</v>
      </c>
      <c r="H794" s="11">
        <f t="shared" si="376"/>
        <v>11172</v>
      </c>
      <c r="I794" s="11">
        <f t="shared" si="376"/>
        <v>11172</v>
      </c>
    </row>
    <row r="795" spans="1:11" x14ac:dyDescent="0.2">
      <c r="A795" s="13"/>
    </row>
    <row r="797" spans="1:11" s="1" customFormat="1" x14ac:dyDescent="0.2">
      <c r="A797" s="1" t="s">
        <v>17</v>
      </c>
      <c r="B797" s="5" t="s">
        <v>36</v>
      </c>
      <c r="C797" s="28">
        <v>37257</v>
      </c>
      <c r="D797" s="6">
        <v>37258</v>
      </c>
      <c r="E797" s="6">
        <v>37259</v>
      </c>
      <c r="F797" s="6">
        <v>37260</v>
      </c>
      <c r="G797" s="28">
        <v>37261</v>
      </c>
      <c r="H797" s="28">
        <v>37262</v>
      </c>
      <c r="I797" s="6">
        <v>37263</v>
      </c>
      <c r="J797" s="8"/>
      <c r="K797" s="7"/>
    </row>
    <row r="798" spans="1:11" x14ac:dyDescent="0.2">
      <c r="B798" s="1" t="s">
        <v>3</v>
      </c>
      <c r="D798" s="19">
        <v>0</v>
      </c>
      <c r="E798" s="19">
        <v>0</v>
      </c>
      <c r="F798" s="19">
        <v>0</v>
      </c>
      <c r="G798" s="2"/>
      <c r="H798" s="2"/>
      <c r="I798" s="19">
        <v>0</v>
      </c>
      <c r="K798" s="4"/>
    </row>
    <row r="799" spans="1:11" x14ac:dyDescent="0.2">
      <c r="B799" s="8" t="s">
        <v>4</v>
      </c>
      <c r="C799" s="3">
        <v>0</v>
      </c>
      <c r="D799" s="10">
        <v>0</v>
      </c>
      <c r="E799" s="10">
        <v>0</v>
      </c>
      <c r="F799" s="10">
        <v>0</v>
      </c>
      <c r="G799" s="3">
        <v>0</v>
      </c>
      <c r="H799" s="3">
        <v>0</v>
      </c>
      <c r="I799" s="10">
        <v>0</v>
      </c>
      <c r="K799" s="4"/>
    </row>
    <row r="800" spans="1:11" x14ac:dyDescent="0.2">
      <c r="B800" s="1" t="s">
        <v>5</v>
      </c>
      <c r="C800" s="2">
        <v>350</v>
      </c>
      <c r="D800" s="19">
        <v>350</v>
      </c>
      <c r="E800" s="19">
        <v>350</v>
      </c>
      <c r="F800" s="19">
        <v>350</v>
      </c>
      <c r="G800" s="2">
        <v>350</v>
      </c>
      <c r="H800" s="2">
        <v>350</v>
      </c>
      <c r="I800" s="19">
        <v>350</v>
      </c>
      <c r="K800" s="4"/>
    </row>
    <row r="801" spans="1:11" x14ac:dyDescent="0.2">
      <c r="B801" s="8" t="s">
        <v>4</v>
      </c>
      <c r="C801" s="3">
        <v>30.49</v>
      </c>
      <c r="D801" s="10">
        <v>30.49</v>
      </c>
      <c r="E801" s="10">
        <v>30.49</v>
      </c>
      <c r="F801" s="10">
        <v>30.49</v>
      </c>
      <c r="G801" s="3">
        <v>30.49</v>
      </c>
      <c r="H801" s="3">
        <v>30.49</v>
      </c>
      <c r="I801" s="10">
        <v>30.49</v>
      </c>
      <c r="K801" s="4"/>
    </row>
    <row r="802" spans="1:11" x14ac:dyDescent="0.2">
      <c r="B802" s="7" t="s">
        <v>6</v>
      </c>
      <c r="C802" s="4">
        <f t="shared" ref="C802:I802" si="377">C798-C800</f>
        <v>-350</v>
      </c>
      <c r="D802" s="4">
        <f t="shared" si="377"/>
        <v>-350</v>
      </c>
      <c r="E802" s="21">
        <f t="shared" si="377"/>
        <v>-350</v>
      </c>
      <c r="F802" s="21">
        <f t="shared" si="377"/>
        <v>-350</v>
      </c>
      <c r="G802" s="4">
        <f t="shared" si="377"/>
        <v>-350</v>
      </c>
      <c r="H802" s="4">
        <f t="shared" si="377"/>
        <v>-350</v>
      </c>
      <c r="I802" s="4">
        <f t="shared" si="377"/>
        <v>-350</v>
      </c>
      <c r="K802" s="4"/>
    </row>
    <row r="803" spans="1:11" x14ac:dyDescent="0.2">
      <c r="B803" s="9" t="s">
        <v>7</v>
      </c>
      <c r="C803" s="10">
        <v>30</v>
      </c>
      <c r="D803" s="10">
        <v>30</v>
      </c>
      <c r="E803" s="10">
        <v>30</v>
      </c>
      <c r="F803" s="10">
        <v>30</v>
      </c>
      <c r="G803" s="10">
        <v>30</v>
      </c>
      <c r="H803" s="10">
        <v>30</v>
      </c>
      <c r="I803" s="10">
        <v>30</v>
      </c>
      <c r="K803" s="4"/>
    </row>
    <row r="804" spans="1:11" x14ac:dyDescent="0.2">
      <c r="B804" s="9"/>
      <c r="C804" s="11"/>
      <c r="D804" s="19"/>
      <c r="E804" s="19"/>
      <c r="F804" s="10"/>
      <c r="G804" s="11"/>
      <c r="H804" s="11"/>
      <c r="K804" s="4"/>
    </row>
    <row r="805" spans="1:11" x14ac:dyDescent="0.2">
      <c r="B805" s="9" t="s">
        <v>8</v>
      </c>
      <c r="C805" s="12">
        <f>(C798*C799)*(-1)</f>
        <v>0</v>
      </c>
      <c r="D805" s="12">
        <f t="shared" ref="D805:I805" si="378">(D798*D799)*(-1)</f>
        <v>0</v>
      </c>
      <c r="E805" s="12">
        <f t="shared" si="378"/>
        <v>0</v>
      </c>
      <c r="F805" s="12">
        <f t="shared" si="378"/>
        <v>0</v>
      </c>
      <c r="G805" s="12">
        <f t="shared" si="378"/>
        <v>0</v>
      </c>
      <c r="H805" s="12">
        <f t="shared" si="378"/>
        <v>0</v>
      </c>
      <c r="I805" s="12">
        <f t="shared" si="378"/>
        <v>0</v>
      </c>
      <c r="K805" s="4"/>
    </row>
    <row r="806" spans="1:11" x14ac:dyDescent="0.2">
      <c r="B806" s="9" t="s">
        <v>9</v>
      </c>
      <c r="C806" s="11">
        <f>C800*C801</f>
        <v>10671.5</v>
      </c>
      <c r="D806" s="11">
        <f t="shared" ref="D806:I806" si="379">D800*D801</f>
        <v>10671.5</v>
      </c>
      <c r="E806" s="11">
        <f t="shared" si="379"/>
        <v>10671.5</v>
      </c>
      <c r="F806" s="11">
        <f t="shared" si="379"/>
        <v>10671.5</v>
      </c>
      <c r="G806" s="11">
        <f t="shared" si="379"/>
        <v>10671.5</v>
      </c>
      <c r="H806" s="11">
        <f t="shared" si="379"/>
        <v>10671.5</v>
      </c>
      <c r="I806" s="11">
        <f t="shared" si="379"/>
        <v>10671.5</v>
      </c>
      <c r="K806" s="4"/>
    </row>
    <row r="807" spans="1:11" x14ac:dyDescent="0.2">
      <c r="B807" s="7" t="s">
        <v>10</v>
      </c>
      <c r="C807" s="11">
        <f>SUM(C805:C806)</f>
        <v>10671.5</v>
      </c>
      <c r="D807" s="11">
        <f t="shared" ref="D807:I807" si="380">SUM(D805:D806)</f>
        <v>10671.5</v>
      </c>
      <c r="E807" s="11">
        <f t="shared" si="380"/>
        <v>10671.5</v>
      </c>
      <c r="F807" s="11">
        <f t="shared" si="380"/>
        <v>10671.5</v>
      </c>
      <c r="G807" s="11">
        <f>SUM(G805:G806)</f>
        <v>10671.5</v>
      </c>
      <c r="H807" s="11">
        <f>SUM(H805:H806)</f>
        <v>10671.5</v>
      </c>
      <c r="I807" s="11">
        <f t="shared" si="380"/>
        <v>10671.5</v>
      </c>
      <c r="K807" s="4"/>
    </row>
    <row r="808" spans="1:11" x14ac:dyDescent="0.2">
      <c r="A808" s="13"/>
      <c r="B808" s="2" t="s">
        <v>11</v>
      </c>
      <c r="C808" s="12">
        <f>C802*C803</f>
        <v>-10500</v>
      </c>
      <c r="D808" s="12">
        <f t="shared" ref="D808:I808" si="381">D802*D803</f>
        <v>-10500</v>
      </c>
      <c r="E808" s="12">
        <f t="shared" si="381"/>
        <v>-10500</v>
      </c>
      <c r="F808" s="12">
        <f t="shared" si="381"/>
        <v>-10500</v>
      </c>
      <c r="G808" s="12">
        <f t="shared" si="381"/>
        <v>-10500</v>
      </c>
      <c r="H808" s="12">
        <f t="shared" si="381"/>
        <v>-10500</v>
      </c>
      <c r="I808" s="12">
        <f t="shared" si="381"/>
        <v>-10500</v>
      </c>
    </row>
    <row r="809" spans="1:11" x14ac:dyDescent="0.2">
      <c r="A809" s="14"/>
      <c r="E809" s="2"/>
      <c r="G809" s="2"/>
      <c r="H809" s="2"/>
      <c r="I809" s="2"/>
    </row>
    <row r="810" spans="1:11" s="1" customFormat="1" x14ac:dyDescent="0.2">
      <c r="A810" s="13"/>
      <c r="B810" s="1" t="s">
        <v>12</v>
      </c>
      <c r="C810" s="15">
        <f>SUM(C807:C808)</f>
        <v>171.5</v>
      </c>
      <c r="D810" s="15">
        <f t="shared" ref="D810:I810" si="382">SUM(D807:D808)</f>
        <v>171.5</v>
      </c>
      <c r="E810" s="15">
        <f t="shared" si="382"/>
        <v>171.5</v>
      </c>
      <c r="F810" s="15">
        <f t="shared" si="382"/>
        <v>171.5</v>
      </c>
      <c r="G810" s="15">
        <f t="shared" si="382"/>
        <v>171.5</v>
      </c>
      <c r="H810" s="15">
        <f t="shared" si="382"/>
        <v>171.5</v>
      </c>
      <c r="I810" s="15">
        <f t="shared" si="382"/>
        <v>171.5</v>
      </c>
      <c r="J810" s="8"/>
    </row>
    <row r="811" spans="1:11" x14ac:dyDescent="0.2">
      <c r="A811" s="16"/>
      <c r="B811" s="27" t="s">
        <v>35</v>
      </c>
      <c r="C811" s="15">
        <f t="shared" ref="C811:I811" si="383">C810*8</f>
        <v>1372</v>
      </c>
      <c r="D811" s="15">
        <f t="shared" si="383"/>
        <v>1372</v>
      </c>
      <c r="E811" s="15">
        <f t="shared" si="383"/>
        <v>1372</v>
      </c>
      <c r="F811" s="15">
        <f t="shared" si="383"/>
        <v>1372</v>
      </c>
      <c r="G811" s="15">
        <f t="shared" si="383"/>
        <v>1372</v>
      </c>
      <c r="H811" s="15">
        <f t="shared" si="383"/>
        <v>1372</v>
      </c>
      <c r="I811" s="15">
        <f t="shared" si="383"/>
        <v>1372</v>
      </c>
      <c r="J811" s="3">
        <f>SUM(C811:I811)</f>
        <v>9604</v>
      </c>
    </row>
    <row r="813" spans="1:11" x14ac:dyDescent="0.2">
      <c r="A813" s="13"/>
      <c r="B813" s="2" t="s">
        <v>84</v>
      </c>
      <c r="C813" s="11">
        <f>(C805+C808)*8</f>
        <v>-84000</v>
      </c>
      <c r="D813" s="11">
        <f t="shared" ref="D813:I813" si="384">(D805+D808)*8</f>
        <v>-84000</v>
      </c>
      <c r="E813" s="11">
        <f t="shared" si="384"/>
        <v>-84000</v>
      </c>
      <c r="F813" s="11">
        <f t="shared" si="384"/>
        <v>-84000</v>
      </c>
      <c r="G813" s="11">
        <f t="shared" si="384"/>
        <v>-84000</v>
      </c>
      <c r="H813" s="11">
        <f t="shared" si="384"/>
        <v>-84000</v>
      </c>
      <c r="I813" s="11">
        <f t="shared" si="384"/>
        <v>-84000</v>
      </c>
    </row>
    <row r="814" spans="1:11" x14ac:dyDescent="0.2">
      <c r="A814" s="13"/>
      <c r="B814" s="2" t="s">
        <v>85</v>
      </c>
      <c r="C814" s="11">
        <f>C806*8</f>
        <v>85372</v>
      </c>
      <c r="D814" s="11">
        <f t="shared" ref="D814:I814" si="385">D806*8</f>
        <v>85372</v>
      </c>
      <c r="E814" s="11">
        <f t="shared" si="385"/>
        <v>85372</v>
      </c>
      <c r="F814" s="11">
        <f t="shared" si="385"/>
        <v>85372</v>
      </c>
      <c r="G814" s="11">
        <f t="shared" si="385"/>
        <v>85372</v>
      </c>
      <c r="H814" s="11">
        <f t="shared" si="385"/>
        <v>85372</v>
      </c>
      <c r="I814" s="11">
        <f t="shared" si="385"/>
        <v>85372</v>
      </c>
    </row>
    <row r="815" spans="1:11" x14ac:dyDescent="0.2">
      <c r="A815" s="13"/>
      <c r="B815" s="2" t="s">
        <v>77</v>
      </c>
      <c r="C815" s="11">
        <f t="shared" ref="C815:I815" si="386">SUM(C813:C814)</f>
        <v>1372</v>
      </c>
      <c r="D815" s="11">
        <f t="shared" si="386"/>
        <v>1372</v>
      </c>
      <c r="E815" s="11">
        <f t="shared" si="386"/>
        <v>1372</v>
      </c>
      <c r="F815" s="11">
        <f t="shared" si="386"/>
        <v>1372</v>
      </c>
      <c r="G815" s="11">
        <f t="shared" si="386"/>
        <v>1372</v>
      </c>
      <c r="H815" s="11">
        <f t="shared" si="386"/>
        <v>1372</v>
      </c>
      <c r="I815" s="11">
        <f t="shared" si="386"/>
        <v>1372</v>
      </c>
    </row>
    <row r="816" spans="1:11" x14ac:dyDescent="0.2">
      <c r="A816" s="13"/>
    </row>
    <row r="818" spans="1:11" s="1" customFormat="1" x14ac:dyDescent="0.2">
      <c r="A818" s="1" t="s">
        <v>45</v>
      </c>
      <c r="B818" s="5" t="s">
        <v>36</v>
      </c>
      <c r="C818" s="28">
        <v>37257</v>
      </c>
      <c r="D818" s="6">
        <v>37258</v>
      </c>
      <c r="E818" s="6">
        <v>37259</v>
      </c>
      <c r="F818" s="6">
        <v>37260</v>
      </c>
      <c r="G818" s="28">
        <v>37261</v>
      </c>
      <c r="H818" s="28">
        <v>37262</v>
      </c>
      <c r="I818" s="6">
        <v>37263</v>
      </c>
      <c r="J818" s="8"/>
      <c r="K818" s="7"/>
    </row>
    <row r="819" spans="1:11" x14ac:dyDescent="0.2">
      <c r="B819" s="1" t="s">
        <v>3</v>
      </c>
      <c r="C819" s="19">
        <v>0</v>
      </c>
      <c r="D819" s="19">
        <v>0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K819" s="4"/>
    </row>
    <row r="820" spans="1:11" x14ac:dyDescent="0.2">
      <c r="B820" s="8" t="s">
        <v>4</v>
      </c>
      <c r="C820" s="10">
        <v>0</v>
      </c>
      <c r="D820" s="10">
        <v>0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K820" s="4"/>
    </row>
    <row r="821" spans="1:11" x14ac:dyDescent="0.2">
      <c r="B821" s="1" t="s">
        <v>5</v>
      </c>
      <c r="C821" s="19">
        <v>25</v>
      </c>
      <c r="D821" s="19">
        <v>25</v>
      </c>
      <c r="E821" s="19">
        <v>25</v>
      </c>
      <c r="F821" s="19">
        <v>25</v>
      </c>
      <c r="G821" s="19">
        <v>25</v>
      </c>
      <c r="H821" s="19">
        <v>25</v>
      </c>
      <c r="I821" s="19">
        <v>25</v>
      </c>
      <c r="K821" s="4"/>
    </row>
    <row r="822" spans="1:11" x14ac:dyDescent="0.2">
      <c r="B822" s="8" t="s">
        <v>4</v>
      </c>
      <c r="C822" s="10">
        <v>38.450000000000003</v>
      </c>
      <c r="D822" s="10">
        <v>38.450000000000003</v>
      </c>
      <c r="E822" s="10">
        <v>38.450000000000003</v>
      </c>
      <c r="F822" s="10">
        <v>38.450000000000003</v>
      </c>
      <c r="G822" s="10">
        <v>38.450000000000003</v>
      </c>
      <c r="H822" s="10">
        <v>38.450000000000003</v>
      </c>
      <c r="I822" s="10">
        <v>38.450000000000003</v>
      </c>
      <c r="K822" s="4"/>
    </row>
    <row r="823" spans="1:11" x14ac:dyDescent="0.2">
      <c r="B823" s="7" t="s">
        <v>6</v>
      </c>
      <c r="C823" s="4">
        <f t="shared" ref="C823:I823" si="387">C819-C821</f>
        <v>-25</v>
      </c>
      <c r="D823" s="4">
        <f t="shared" si="387"/>
        <v>-25</v>
      </c>
      <c r="E823" s="4">
        <f t="shared" si="387"/>
        <v>-25</v>
      </c>
      <c r="F823" s="4">
        <f t="shared" si="387"/>
        <v>-25</v>
      </c>
      <c r="G823" s="4">
        <f t="shared" si="387"/>
        <v>-25</v>
      </c>
      <c r="H823" s="4">
        <f t="shared" si="387"/>
        <v>-25</v>
      </c>
      <c r="I823" s="4">
        <f t="shared" si="387"/>
        <v>-25</v>
      </c>
      <c r="K823" s="4"/>
    </row>
    <row r="824" spans="1:11" x14ac:dyDescent="0.2">
      <c r="B824" s="9" t="s">
        <v>7</v>
      </c>
      <c r="C824" s="10">
        <v>30</v>
      </c>
      <c r="D824" s="10">
        <v>30</v>
      </c>
      <c r="E824" s="10">
        <v>30</v>
      </c>
      <c r="F824" s="10">
        <v>30</v>
      </c>
      <c r="G824" s="10">
        <v>30</v>
      </c>
      <c r="H824" s="10">
        <v>30</v>
      </c>
      <c r="I824" s="10">
        <v>30</v>
      </c>
      <c r="K824" s="4"/>
    </row>
    <row r="825" spans="1:11" x14ac:dyDescent="0.2">
      <c r="B825" s="9"/>
      <c r="C825" s="19"/>
      <c r="D825" s="19"/>
      <c r="E825" s="19"/>
      <c r="F825" s="10"/>
      <c r="G825" s="19"/>
      <c r="H825" s="19"/>
      <c r="K825" s="4"/>
    </row>
    <row r="826" spans="1:11" x14ac:dyDescent="0.2">
      <c r="B826" s="9" t="s">
        <v>8</v>
      </c>
      <c r="C826" s="12">
        <f>(C819*C820)*(-1)</f>
        <v>0</v>
      </c>
      <c r="D826" s="12">
        <f t="shared" ref="D826:I826" si="388">(D819*D820)*(-1)</f>
        <v>0</v>
      </c>
      <c r="E826" s="12">
        <f t="shared" si="388"/>
        <v>0</v>
      </c>
      <c r="F826" s="12">
        <f t="shared" si="388"/>
        <v>0</v>
      </c>
      <c r="G826" s="12">
        <f>(G819*G820)*(-1)</f>
        <v>0</v>
      </c>
      <c r="H826" s="12">
        <f>(H819*H820)*(-1)</f>
        <v>0</v>
      </c>
      <c r="I826" s="12">
        <f t="shared" si="388"/>
        <v>0</v>
      </c>
      <c r="K826" s="4"/>
    </row>
    <row r="827" spans="1:11" x14ac:dyDescent="0.2">
      <c r="B827" s="9" t="s">
        <v>9</v>
      </c>
      <c r="C827" s="11">
        <f>C821*C822</f>
        <v>961.25000000000011</v>
      </c>
      <c r="D827" s="11">
        <f t="shared" ref="D827:I827" si="389">D821*D822</f>
        <v>961.25000000000011</v>
      </c>
      <c r="E827" s="11">
        <f t="shared" si="389"/>
        <v>961.25000000000011</v>
      </c>
      <c r="F827" s="11">
        <f t="shared" si="389"/>
        <v>961.25000000000011</v>
      </c>
      <c r="G827" s="11">
        <f>G821*G822</f>
        <v>961.25000000000011</v>
      </c>
      <c r="H827" s="11">
        <f>H821*H822</f>
        <v>961.25000000000011</v>
      </c>
      <c r="I827" s="11">
        <f t="shared" si="389"/>
        <v>961.25000000000011</v>
      </c>
      <c r="K827" s="4"/>
    </row>
    <row r="828" spans="1:11" x14ac:dyDescent="0.2">
      <c r="B828" s="7" t="s">
        <v>10</v>
      </c>
      <c r="C828" s="11">
        <f t="shared" ref="C828:I828" si="390">SUM(C826:C827)</f>
        <v>961.25000000000011</v>
      </c>
      <c r="D828" s="11">
        <f t="shared" si="390"/>
        <v>961.25000000000011</v>
      </c>
      <c r="E828" s="11">
        <f t="shared" si="390"/>
        <v>961.25000000000011</v>
      </c>
      <c r="F828" s="11">
        <f t="shared" si="390"/>
        <v>961.25000000000011</v>
      </c>
      <c r="G828" s="11">
        <f>SUM(G826:G827)</f>
        <v>961.25000000000011</v>
      </c>
      <c r="H828" s="11">
        <f>SUM(H826:H827)</f>
        <v>961.25000000000011</v>
      </c>
      <c r="I828" s="11">
        <f t="shared" si="390"/>
        <v>961.25000000000011</v>
      </c>
      <c r="K828" s="4"/>
    </row>
    <row r="829" spans="1:11" x14ac:dyDescent="0.2">
      <c r="A829" s="13"/>
      <c r="B829" s="2" t="s">
        <v>11</v>
      </c>
      <c r="C829" s="12">
        <f>C823*C824</f>
        <v>-750</v>
      </c>
      <c r="D829" s="12">
        <f t="shared" ref="D829:I829" si="391">D823*D824</f>
        <v>-750</v>
      </c>
      <c r="E829" s="12">
        <f t="shared" si="391"/>
        <v>-750</v>
      </c>
      <c r="F829" s="12">
        <f t="shared" si="391"/>
        <v>-750</v>
      </c>
      <c r="G829" s="12">
        <f>G823*G824</f>
        <v>-750</v>
      </c>
      <c r="H829" s="12">
        <f>H823*H824</f>
        <v>-750</v>
      </c>
      <c r="I829" s="12">
        <f t="shared" si="391"/>
        <v>-750</v>
      </c>
    </row>
    <row r="830" spans="1:11" x14ac:dyDescent="0.2">
      <c r="A830" s="14"/>
      <c r="E830" s="2"/>
      <c r="G830" s="2"/>
      <c r="H830" s="2"/>
      <c r="I830" s="2"/>
    </row>
    <row r="831" spans="1:11" s="1" customFormat="1" x14ac:dyDescent="0.2">
      <c r="A831" s="13"/>
      <c r="B831" s="1" t="s">
        <v>12</v>
      </c>
      <c r="C831" s="15">
        <f>SUM(C828:C829)</f>
        <v>211.25000000000011</v>
      </c>
      <c r="D831" s="15">
        <f t="shared" ref="D831:I831" si="392">SUM(D828:D829)</f>
        <v>211.25000000000011</v>
      </c>
      <c r="E831" s="15">
        <f t="shared" si="392"/>
        <v>211.25000000000011</v>
      </c>
      <c r="F831" s="15">
        <f t="shared" si="392"/>
        <v>211.25000000000011</v>
      </c>
      <c r="G831" s="15">
        <f>SUM(G828:G829)</f>
        <v>211.25000000000011</v>
      </c>
      <c r="H831" s="15">
        <f>SUM(H828:H829)</f>
        <v>211.25000000000011</v>
      </c>
      <c r="I831" s="15">
        <f t="shared" si="392"/>
        <v>211.25000000000011</v>
      </c>
      <c r="J831" s="8"/>
    </row>
    <row r="832" spans="1:11" x14ac:dyDescent="0.2">
      <c r="A832" s="16"/>
      <c r="B832" s="1" t="s">
        <v>27</v>
      </c>
      <c r="C832" s="15">
        <f t="shared" ref="C832:I832" si="393">C831*8</f>
        <v>1690.0000000000009</v>
      </c>
      <c r="D832" s="15">
        <f t="shared" si="393"/>
        <v>1690.0000000000009</v>
      </c>
      <c r="E832" s="15">
        <f t="shared" si="393"/>
        <v>1690.0000000000009</v>
      </c>
      <c r="F832" s="15">
        <f t="shared" si="393"/>
        <v>1690.0000000000009</v>
      </c>
      <c r="G832" s="15">
        <f t="shared" si="393"/>
        <v>1690.0000000000009</v>
      </c>
      <c r="H832" s="15">
        <f t="shared" si="393"/>
        <v>1690.0000000000009</v>
      </c>
      <c r="I832" s="15">
        <f t="shared" si="393"/>
        <v>1690.0000000000009</v>
      </c>
      <c r="J832" s="3">
        <f>SUM(C832:I832)</f>
        <v>11830.000000000004</v>
      </c>
    </row>
    <row r="834" spans="1:11" x14ac:dyDescent="0.2">
      <c r="A834" s="13"/>
      <c r="B834" s="2" t="s">
        <v>84</v>
      </c>
      <c r="C834" s="11">
        <f>(C826+C829)*8</f>
        <v>-6000</v>
      </c>
      <c r="D834" s="11">
        <f t="shared" ref="D834:I834" si="394">(D826+D829)*8</f>
        <v>-6000</v>
      </c>
      <c r="E834" s="11">
        <f t="shared" si="394"/>
        <v>-6000</v>
      </c>
      <c r="F834" s="11">
        <f t="shared" si="394"/>
        <v>-6000</v>
      </c>
      <c r="G834" s="11">
        <f t="shared" si="394"/>
        <v>-6000</v>
      </c>
      <c r="H834" s="11">
        <f t="shared" si="394"/>
        <v>-6000</v>
      </c>
      <c r="I834" s="11">
        <f t="shared" si="394"/>
        <v>-6000</v>
      </c>
    </row>
    <row r="835" spans="1:11" x14ac:dyDescent="0.2">
      <c r="A835" s="13"/>
      <c r="B835" s="2" t="s">
        <v>85</v>
      </c>
      <c r="C835" s="11">
        <f>C827*8</f>
        <v>7690.0000000000009</v>
      </c>
      <c r="D835" s="11">
        <f t="shared" ref="D835:I835" si="395">D827*8</f>
        <v>7690.0000000000009</v>
      </c>
      <c r="E835" s="11">
        <f t="shared" si="395"/>
        <v>7690.0000000000009</v>
      </c>
      <c r="F835" s="11">
        <f t="shared" si="395"/>
        <v>7690.0000000000009</v>
      </c>
      <c r="G835" s="11">
        <f t="shared" si="395"/>
        <v>7690.0000000000009</v>
      </c>
      <c r="H835" s="11">
        <f t="shared" si="395"/>
        <v>7690.0000000000009</v>
      </c>
      <c r="I835" s="11">
        <f t="shared" si="395"/>
        <v>7690.0000000000009</v>
      </c>
    </row>
    <row r="836" spans="1:11" x14ac:dyDescent="0.2">
      <c r="A836" s="13"/>
      <c r="B836" s="2" t="s">
        <v>77</v>
      </c>
      <c r="C836" s="11">
        <f t="shared" ref="C836:I836" si="396">SUM(C834:C835)</f>
        <v>1690.0000000000009</v>
      </c>
      <c r="D836" s="11">
        <f t="shared" si="396"/>
        <v>1690.0000000000009</v>
      </c>
      <c r="E836" s="11">
        <f t="shared" si="396"/>
        <v>1690.0000000000009</v>
      </c>
      <c r="F836" s="11">
        <f t="shared" si="396"/>
        <v>1690.0000000000009</v>
      </c>
      <c r="G836" s="11">
        <f t="shared" si="396"/>
        <v>1690.0000000000009</v>
      </c>
      <c r="H836" s="11">
        <f t="shared" si="396"/>
        <v>1690.0000000000009</v>
      </c>
      <c r="I836" s="11">
        <f t="shared" si="396"/>
        <v>1690.0000000000009</v>
      </c>
    </row>
    <row r="837" spans="1:11" x14ac:dyDescent="0.2">
      <c r="A837" s="13"/>
    </row>
    <row r="838" spans="1:11" s="1" customFormat="1" x14ac:dyDescent="0.2">
      <c r="A838" s="1" t="s">
        <v>46</v>
      </c>
      <c r="B838" s="5" t="s">
        <v>48</v>
      </c>
      <c r="C838" s="28">
        <v>37257</v>
      </c>
      <c r="D838" s="6">
        <v>37258</v>
      </c>
      <c r="E838" s="6">
        <v>37259</v>
      </c>
      <c r="F838" s="6">
        <v>37260</v>
      </c>
      <c r="G838" s="28">
        <v>37261</v>
      </c>
      <c r="H838" s="28">
        <v>37262</v>
      </c>
      <c r="I838" s="6">
        <v>37263</v>
      </c>
      <c r="J838" s="8"/>
      <c r="K838" s="7"/>
    </row>
    <row r="839" spans="1:11" x14ac:dyDescent="0.2">
      <c r="B839" s="1" t="s">
        <v>3</v>
      </c>
      <c r="E839" s="2"/>
      <c r="G839" s="2"/>
      <c r="H839" s="2"/>
      <c r="I839" s="2"/>
      <c r="K839" s="4"/>
    </row>
    <row r="840" spans="1:11" x14ac:dyDescent="0.2">
      <c r="B840" s="8" t="s">
        <v>4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K840" s="4"/>
    </row>
    <row r="841" spans="1:11" x14ac:dyDescent="0.2">
      <c r="B841" s="1" t="s">
        <v>5</v>
      </c>
      <c r="C841" s="2">
        <v>60</v>
      </c>
      <c r="D841" s="2">
        <v>0</v>
      </c>
      <c r="E841" s="2">
        <v>0</v>
      </c>
      <c r="F841" s="2">
        <v>0</v>
      </c>
      <c r="G841" s="2">
        <v>60</v>
      </c>
      <c r="H841" s="2">
        <v>60</v>
      </c>
      <c r="I841" s="2">
        <v>0</v>
      </c>
      <c r="K841" s="4"/>
    </row>
    <row r="842" spans="1:11" x14ac:dyDescent="0.2">
      <c r="B842" s="8" t="s">
        <v>4</v>
      </c>
      <c r="C842" s="3">
        <v>31.75</v>
      </c>
      <c r="D842" s="3">
        <v>0</v>
      </c>
      <c r="E842" s="3">
        <v>0</v>
      </c>
      <c r="F842" s="3">
        <v>0</v>
      </c>
      <c r="G842" s="3">
        <v>31.75</v>
      </c>
      <c r="H842" s="3">
        <v>31.75</v>
      </c>
      <c r="I842" s="3">
        <v>0</v>
      </c>
      <c r="K842" s="4"/>
    </row>
    <row r="843" spans="1:11" x14ac:dyDescent="0.2">
      <c r="B843" s="7" t="s">
        <v>6</v>
      </c>
      <c r="C843" s="4">
        <f>C839-C841</f>
        <v>-60</v>
      </c>
      <c r="D843" s="4">
        <f t="shared" ref="D843:I843" si="397">D839-D841</f>
        <v>0</v>
      </c>
      <c r="E843" s="4">
        <f t="shared" si="397"/>
        <v>0</v>
      </c>
      <c r="F843" s="4">
        <f t="shared" si="397"/>
        <v>0</v>
      </c>
      <c r="G843" s="4">
        <f t="shared" si="397"/>
        <v>-60</v>
      </c>
      <c r="H843" s="4">
        <f t="shared" si="397"/>
        <v>-60</v>
      </c>
      <c r="I843" s="4">
        <f t="shared" si="397"/>
        <v>0</v>
      </c>
      <c r="K843" s="4"/>
    </row>
    <row r="844" spans="1:11" x14ac:dyDescent="0.2">
      <c r="B844" s="9" t="s">
        <v>7</v>
      </c>
      <c r="C844" s="10">
        <v>25</v>
      </c>
      <c r="D844" s="19"/>
      <c r="E844" s="19"/>
      <c r="F844" s="19"/>
      <c r="G844" s="10">
        <v>25</v>
      </c>
      <c r="H844" s="10">
        <v>25</v>
      </c>
      <c r="I844" s="19"/>
      <c r="K844" s="4"/>
    </row>
    <row r="845" spans="1:11" x14ac:dyDescent="0.2">
      <c r="B845" s="9"/>
      <c r="C845" s="11"/>
      <c r="D845" s="19"/>
      <c r="E845" s="19"/>
      <c r="F845" s="19"/>
      <c r="G845" s="11"/>
      <c r="H845" s="11"/>
      <c r="I845" s="19"/>
      <c r="K845" s="4"/>
    </row>
    <row r="846" spans="1:11" x14ac:dyDescent="0.2">
      <c r="B846" s="9" t="s">
        <v>8</v>
      </c>
      <c r="C846" s="12">
        <f t="shared" ref="C846:I846" si="398">(C839*C840)*(-1)</f>
        <v>0</v>
      </c>
      <c r="D846" s="12">
        <f t="shared" si="398"/>
        <v>0</v>
      </c>
      <c r="E846" s="12">
        <f t="shared" si="398"/>
        <v>0</v>
      </c>
      <c r="F846" s="12">
        <f t="shared" si="398"/>
        <v>0</v>
      </c>
      <c r="G846" s="12">
        <f t="shared" si="398"/>
        <v>0</v>
      </c>
      <c r="H846" s="12">
        <f t="shared" si="398"/>
        <v>0</v>
      </c>
      <c r="I846" s="12">
        <f t="shared" si="398"/>
        <v>0</v>
      </c>
      <c r="K846" s="4"/>
    </row>
    <row r="847" spans="1:11" x14ac:dyDescent="0.2">
      <c r="B847" s="9" t="s">
        <v>9</v>
      </c>
      <c r="C847" s="11">
        <f t="shared" ref="C847:I847" si="399">C841*C842</f>
        <v>1905</v>
      </c>
      <c r="D847" s="11">
        <f t="shared" si="399"/>
        <v>0</v>
      </c>
      <c r="E847" s="11">
        <f t="shared" si="399"/>
        <v>0</v>
      </c>
      <c r="F847" s="11">
        <f t="shared" si="399"/>
        <v>0</v>
      </c>
      <c r="G847" s="11">
        <f t="shared" si="399"/>
        <v>1905</v>
      </c>
      <c r="H847" s="11">
        <f t="shared" si="399"/>
        <v>1905</v>
      </c>
      <c r="I847" s="11">
        <f t="shared" si="399"/>
        <v>0</v>
      </c>
      <c r="K847" s="4"/>
    </row>
    <row r="848" spans="1:11" x14ac:dyDescent="0.2">
      <c r="B848" s="7" t="s">
        <v>10</v>
      </c>
      <c r="C848" s="11">
        <f t="shared" ref="C848:I848" si="400">SUM(C846:C847)</f>
        <v>1905</v>
      </c>
      <c r="D848" s="11">
        <f t="shared" si="400"/>
        <v>0</v>
      </c>
      <c r="E848" s="11">
        <f t="shared" si="400"/>
        <v>0</v>
      </c>
      <c r="F848" s="11">
        <f t="shared" si="400"/>
        <v>0</v>
      </c>
      <c r="G848" s="11">
        <f t="shared" si="400"/>
        <v>1905</v>
      </c>
      <c r="H848" s="11">
        <f t="shared" si="400"/>
        <v>1905</v>
      </c>
      <c r="I848" s="11">
        <f t="shared" si="400"/>
        <v>0</v>
      </c>
      <c r="K848" s="4"/>
    </row>
    <row r="849" spans="1:11" x14ac:dyDescent="0.2">
      <c r="A849" s="13"/>
      <c r="B849" s="2" t="s">
        <v>11</v>
      </c>
      <c r="C849" s="12">
        <f t="shared" ref="C849:I849" si="401">C843*C844</f>
        <v>-1500</v>
      </c>
      <c r="D849" s="12">
        <f t="shared" si="401"/>
        <v>0</v>
      </c>
      <c r="E849" s="12">
        <f t="shared" si="401"/>
        <v>0</v>
      </c>
      <c r="F849" s="12">
        <f t="shared" si="401"/>
        <v>0</v>
      </c>
      <c r="G849" s="12">
        <f t="shared" si="401"/>
        <v>-1500</v>
      </c>
      <c r="H849" s="12">
        <f t="shared" si="401"/>
        <v>-1500</v>
      </c>
      <c r="I849" s="12">
        <f t="shared" si="401"/>
        <v>0</v>
      </c>
    </row>
    <row r="850" spans="1:11" x14ac:dyDescent="0.2">
      <c r="A850" s="14"/>
      <c r="E850" s="2"/>
      <c r="G850" s="2"/>
      <c r="H850" s="2"/>
      <c r="I850" s="2"/>
    </row>
    <row r="851" spans="1:11" s="1" customFormat="1" x14ac:dyDescent="0.2">
      <c r="A851" s="13"/>
      <c r="B851" s="1" t="s">
        <v>12</v>
      </c>
      <c r="C851" s="15">
        <f t="shared" ref="C851:I851" si="402">SUM(C848:C849)</f>
        <v>405</v>
      </c>
      <c r="D851" s="15">
        <f t="shared" si="402"/>
        <v>0</v>
      </c>
      <c r="E851" s="15">
        <f t="shared" si="402"/>
        <v>0</v>
      </c>
      <c r="F851" s="15">
        <f t="shared" si="402"/>
        <v>0</v>
      </c>
      <c r="G851" s="15">
        <f t="shared" si="402"/>
        <v>405</v>
      </c>
      <c r="H851" s="15">
        <f t="shared" si="402"/>
        <v>405</v>
      </c>
      <c r="I851" s="15">
        <f t="shared" si="402"/>
        <v>0</v>
      </c>
      <c r="J851" s="8"/>
    </row>
    <row r="852" spans="1:11" x14ac:dyDescent="0.2">
      <c r="A852" s="16"/>
      <c r="B852" s="1" t="s">
        <v>27</v>
      </c>
      <c r="C852" s="15">
        <f t="shared" ref="C852:I852" si="403">C851*8</f>
        <v>3240</v>
      </c>
      <c r="D852" s="15">
        <f t="shared" si="403"/>
        <v>0</v>
      </c>
      <c r="E852" s="15">
        <f t="shared" si="403"/>
        <v>0</v>
      </c>
      <c r="F852" s="15">
        <f t="shared" si="403"/>
        <v>0</v>
      </c>
      <c r="G852" s="15">
        <f t="shared" si="403"/>
        <v>3240</v>
      </c>
      <c r="H852" s="15">
        <f t="shared" si="403"/>
        <v>3240</v>
      </c>
      <c r="I852" s="15">
        <f t="shared" si="403"/>
        <v>0</v>
      </c>
      <c r="J852" s="3">
        <f>SUM(C852:I852)</f>
        <v>9720</v>
      </c>
    </row>
    <row r="854" spans="1:11" x14ac:dyDescent="0.2">
      <c r="A854" s="13"/>
      <c r="B854" s="2" t="s">
        <v>84</v>
      </c>
      <c r="C854" s="11">
        <f>(C846+C849)*8</f>
        <v>-12000</v>
      </c>
      <c r="D854" s="11">
        <f t="shared" ref="D854:I854" si="404">(D846+D849)*8</f>
        <v>0</v>
      </c>
      <c r="E854" s="11">
        <f t="shared" si="404"/>
        <v>0</v>
      </c>
      <c r="F854" s="11">
        <f t="shared" si="404"/>
        <v>0</v>
      </c>
      <c r="G854" s="11">
        <f t="shared" si="404"/>
        <v>-12000</v>
      </c>
      <c r="H854" s="11">
        <f t="shared" si="404"/>
        <v>-12000</v>
      </c>
      <c r="I854" s="11">
        <f t="shared" si="404"/>
        <v>0</v>
      </c>
    </row>
    <row r="855" spans="1:11" x14ac:dyDescent="0.2">
      <c r="A855" s="13"/>
      <c r="B855" s="2" t="s">
        <v>85</v>
      </c>
      <c r="C855" s="11">
        <f>C847*8</f>
        <v>15240</v>
      </c>
      <c r="D855" s="11">
        <f t="shared" ref="D855:I855" si="405">D847*8</f>
        <v>0</v>
      </c>
      <c r="E855" s="11">
        <f t="shared" si="405"/>
        <v>0</v>
      </c>
      <c r="F855" s="11">
        <f t="shared" si="405"/>
        <v>0</v>
      </c>
      <c r="G855" s="11">
        <f t="shared" si="405"/>
        <v>15240</v>
      </c>
      <c r="H855" s="11">
        <f t="shared" si="405"/>
        <v>15240</v>
      </c>
      <c r="I855" s="11">
        <f t="shared" si="405"/>
        <v>0</v>
      </c>
    </row>
    <row r="856" spans="1:11" x14ac:dyDescent="0.2">
      <c r="A856" s="13"/>
      <c r="B856" s="2" t="s">
        <v>77</v>
      </c>
      <c r="C856" s="11">
        <f t="shared" ref="C856:I856" si="406">SUM(C854:C855)</f>
        <v>3240</v>
      </c>
      <c r="D856" s="11">
        <f t="shared" si="406"/>
        <v>0</v>
      </c>
      <c r="E856" s="11">
        <f t="shared" si="406"/>
        <v>0</v>
      </c>
      <c r="F856" s="11">
        <f t="shared" si="406"/>
        <v>0</v>
      </c>
      <c r="G856" s="11">
        <f t="shared" si="406"/>
        <v>3240</v>
      </c>
      <c r="H856" s="11">
        <f t="shared" si="406"/>
        <v>3240</v>
      </c>
      <c r="I856" s="11">
        <f t="shared" si="406"/>
        <v>0</v>
      </c>
    </row>
    <row r="857" spans="1:11" x14ac:dyDescent="0.2">
      <c r="A857" s="13"/>
    </row>
    <row r="859" spans="1:11" s="1" customFormat="1" x14ac:dyDescent="0.2">
      <c r="A859" s="1" t="s">
        <v>49</v>
      </c>
      <c r="B859" s="5" t="s">
        <v>36</v>
      </c>
      <c r="C859" s="28">
        <v>37257</v>
      </c>
      <c r="D859" s="6">
        <v>37258</v>
      </c>
      <c r="E859" s="6">
        <v>37259</v>
      </c>
      <c r="F859" s="6">
        <v>37260</v>
      </c>
      <c r="G859" s="28">
        <v>37261</v>
      </c>
      <c r="H859" s="28">
        <v>37262</v>
      </c>
      <c r="I859" s="6">
        <v>37263</v>
      </c>
      <c r="J859" s="8"/>
      <c r="K859" s="7"/>
    </row>
    <row r="860" spans="1:11" x14ac:dyDescent="0.2">
      <c r="B860" s="1" t="s">
        <v>3</v>
      </c>
      <c r="C860" s="19">
        <v>0</v>
      </c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K860" s="4"/>
    </row>
    <row r="861" spans="1:11" x14ac:dyDescent="0.2">
      <c r="B861" s="8" t="s">
        <v>4</v>
      </c>
      <c r="C861" s="10">
        <v>0</v>
      </c>
      <c r="D861" s="10">
        <v>0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K861" s="4"/>
    </row>
    <row r="862" spans="1:11" x14ac:dyDescent="0.2">
      <c r="B862" s="1" t="s">
        <v>5</v>
      </c>
      <c r="C862" s="19">
        <v>695</v>
      </c>
      <c r="D862" s="19">
        <v>695</v>
      </c>
      <c r="E862" s="19">
        <v>695</v>
      </c>
      <c r="F862" s="19">
        <v>695</v>
      </c>
      <c r="G862" s="19">
        <v>695</v>
      </c>
      <c r="H862" s="19">
        <v>695</v>
      </c>
      <c r="I862" s="19">
        <v>695</v>
      </c>
      <c r="K862" s="4"/>
    </row>
    <row r="863" spans="1:11" x14ac:dyDescent="0.2">
      <c r="B863" s="8" t="s">
        <v>4</v>
      </c>
      <c r="C863" s="10">
        <v>42.25</v>
      </c>
      <c r="D863" s="10">
        <v>42.25</v>
      </c>
      <c r="E863" s="10">
        <v>42.25</v>
      </c>
      <c r="F863" s="10">
        <v>42.25</v>
      </c>
      <c r="G863" s="10">
        <v>42.25</v>
      </c>
      <c r="H863" s="10">
        <v>42.25</v>
      </c>
      <c r="I863" s="10">
        <v>42.25</v>
      </c>
      <c r="K863" s="4"/>
    </row>
    <row r="864" spans="1:11" x14ac:dyDescent="0.2">
      <c r="B864" s="7" t="s">
        <v>6</v>
      </c>
      <c r="C864" s="4">
        <f t="shared" ref="C864:I864" si="407">C860-C862</f>
        <v>-695</v>
      </c>
      <c r="D864" s="4">
        <f t="shared" si="407"/>
        <v>-695</v>
      </c>
      <c r="E864" s="4">
        <f t="shared" si="407"/>
        <v>-695</v>
      </c>
      <c r="F864" s="4">
        <f t="shared" si="407"/>
        <v>-695</v>
      </c>
      <c r="G864" s="4">
        <f t="shared" si="407"/>
        <v>-695</v>
      </c>
      <c r="H864" s="4">
        <f t="shared" si="407"/>
        <v>-695</v>
      </c>
      <c r="I864" s="4">
        <f t="shared" si="407"/>
        <v>-695</v>
      </c>
      <c r="K864" s="4"/>
    </row>
    <row r="865" spans="1:11" x14ac:dyDescent="0.2">
      <c r="B865" s="9" t="s">
        <v>7</v>
      </c>
      <c r="C865" s="10">
        <v>30</v>
      </c>
      <c r="D865" s="10">
        <v>30</v>
      </c>
      <c r="E865" s="10">
        <v>30</v>
      </c>
      <c r="F865" s="10">
        <v>30</v>
      </c>
      <c r="G865" s="10">
        <v>30</v>
      </c>
      <c r="H865" s="10">
        <v>30</v>
      </c>
      <c r="I865" s="10">
        <v>30</v>
      </c>
      <c r="K865" s="4"/>
    </row>
    <row r="866" spans="1:11" x14ac:dyDescent="0.2">
      <c r="B866" s="9"/>
      <c r="C866" s="19"/>
      <c r="D866" s="19"/>
      <c r="E866" s="19"/>
      <c r="F866" s="10"/>
      <c r="G866" s="19"/>
      <c r="H866" s="19"/>
      <c r="K866" s="4"/>
    </row>
    <row r="867" spans="1:11" x14ac:dyDescent="0.2">
      <c r="B867" s="9" t="s">
        <v>8</v>
      </c>
      <c r="C867" s="12">
        <f t="shared" ref="C867:I867" si="408">(C860*C861)*(-1)</f>
        <v>0</v>
      </c>
      <c r="D867" s="12">
        <f t="shared" si="408"/>
        <v>0</v>
      </c>
      <c r="E867" s="12">
        <f t="shared" si="408"/>
        <v>0</v>
      </c>
      <c r="F867" s="12">
        <f t="shared" si="408"/>
        <v>0</v>
      </c>
      <c r="G867" s="12">
        <f t="shared" si="408"/>
        <v>0</v>
      </c>
      <c r="H867" s="12">
        <f t="shared" si="408"/>
        <v>0</v>
      </c>
      <c r="I867" s="12">
        <f t="shared" si="408"/>
        <v>0</v>
      </c>
      <c r="K867" s="4"/>
    </row>
    <row r="868" spans="1:11" x14ac:dyDescent="0.2">
      <c r="B868" s="9" t="s">
        <v>9</v>
      </c>
      <c r="C868" s="11">
        <f t="shared" ref="C868:I868" si="409">C862*C863</f>
        <v>29363.75</v>
      </c>
      <c r="D868" s="11">
        <f t="shared" si="409"/>
        <v>29363.75</v>
      </c>
      <c r="E868" s="11">
        <f t="shared" si="409"/>
        <v>29363.75</v>
      </c>
      <c r="F868" s="11">
        <f t="shared" si="409"/>
        <v>29363.75</v>
      </c>
      <c r="G868" s="11">
        <f t="shared" si="409"/>
        <v>29363.75</v>
      </c>
      <c r="H868" s="11">
        <f t="shared" si="409"/>
        <v>29363.75</v>
      </c>
      <c r="I868" s="11">
        <f t="shared" si="409"/>
        <v>29363.75</v>
      </c>
      <c r="K868" s="4"/>
    </row>
    <row r="869" spans="1:11" x14ac:dyDescent="0.2">
      <c r="B869" s="7" t="s">
        <v>10</v>
      </c>
      <c r="C869" s="11">
        <f t="shared" ref="C869:I869" si="410">SUM(C867:C868)</f>
        <v>29363.75</v>
      </c>
      <c r="D869" s="11">
        <f t="shared" si="410"/>
        <v>29363.75</v>
      </c>
      <c r="E869" s="11">
        <f t="shared" si="410"/>
        <v>29363.75</v>
      </c>
      <c r="F869" s="11">
        <f t="shared" si="410"/>
        <v>29363.75</v>
      </c>
      <c r="G869" s="11">
        <f t="shared" si="410"/>
        <v>29363.75</v>
      </c>
      <c r="H869" s="11">
        <f t="shared" si="410"/>
        <v>29363.75</v>
      </c>
      <c r="I869" s="11">
        <f t="shared" si="410"/>
        <v>29363.75</v>
      </c>
      <c r="K869" s="4"/>
    </row>
    <row r="870" spans="1:11" x14ac:dyDescent="0.2">
      <c r="A870" s="13"/>
      <c r="B870" s="2" t="s">
        <v>11</v>
      </c>
      <c r="C870" s="12">
        <f t="shared" ref="C870:I870" si="411">C864*C865</f>
        <v>-20850</v>
      </c>
      <c r="D870" s="12">
        <f t="shared" si="411"/>
        <v>-20850</v>
      </c>
      <c r="E870" s="12">
        <f t="shared" si="411"/>
        <v>-20850</v>
      </c>
      <c r="F870" s="12">
        <f t="shared" si="411"/>
        <v>-20850</v>
      </c>
      <c r="G870" s="12">
        <f t="shared" si="411"/>
        <v>-20850</v>
      </c>
      <c r="H870" s="12">
        <f t="shared" si="411"/>
        <v>-20850</v>
      </c>
      <c r="I870" s="12">
        <f t="shared" si="411"/>
        <v>-20850</v>
      </c>
    </row>
    <row r="871" spans="1:11" x14ac:dyDescent="0.2">
      <c r="A871" s="14"/>
      <c r="E871" s="2"/>
      <c r="G871" s="2"/>
      <c r="H871" s="2"/>
      <c r="I871" s="2"/>
    </row>
    <row r="872" spans="1:11" s="1" customFormat="1" x14ac:dyDescent="0.2">
      <c r="A872" s="13"/>
      <c r="B872" s="1" t="s">
        <v>12</v>
      </c>
      <c r="C872" s="15">
        <f t="shared" ref="C872:I872" si="412">SUM(C869:C870)</f>
        <v>8513.75</v>
      </c>
      <c r="D872" s="15">
        <f t="shared" si="412"/>
        <v>8513.75</v>
      </c>
      <c r="E872" s="15">
        <f t="shared" si="412"/>
        <v>8513.75</v>
      </c>
      <c r="F872" s="15">
        <f t="shared" si="412"/>
        <v>8513.75</v>
      </c>
      <c r="G872" s="15">
        <f t="shared" si="412"/>
        <v>8513.75</v>
      </c>
      <c r="H872" s="15">
        <f t="shared" si="412"/>
        <v>8513.75</v>
      </c>
      <c r="I872" s="15">
        <f t="shared" si="412"/>
        <v>8513.75</v>
      </c>
      <c r="J872" s="8"/>
    </row>
    <row r="873" spans="1:11" x14ac:dyDescent="0.2">
      <c r="A873" s="16"/>
      <c r="B873" s="1" t="s">
        <v>27</v>
      </c>
      <c r="C873" s="15">
        <f t="shared" ref="C873:I873" si="413">C872*8</f>
        <v>68110</v>
      </c>
      <c r="D873" s="15">
        <f t="shared" si="413"/>
        <v>68110</v>
      </c>
      <c r="E873" s="15">
        <f t="shared" si="413"/>
        <v>68110</v>
      </c>
      <c r="F873" s="15">
        <f t="shared" si="413"/>
        <v>68110</v>
      </c>
      <c r="G873" s="15">
        <f t="shared" si="413"/>
        <v>68110</v>
      </c>
      <c r="H873" s="15">
        <f t="shared" si="413"/>
        <v>68110</v>
      </c>
      <c r="I873" s="15">
        <f t="shared" si="413"/>
        <v>68110</v>
      </c>
      <c r="J873" s="3">
        <f>SUM(C873:I873)</f>
        <v>476770</v>
      </c>
    </row>
    <row r="875" spans="1:11" x14ac:dyDescent="0.2">
      <c r="A875" s="13"/>
      <c r="B875" s="2" t="s">
        <v>84</v>
      </c>
      <c r="C875" s="11">
        <f>(C867+C870)*8</f>
        <v>-166800</v>
      </c>
      <c r="D875" s="11">
        <f t="shared" ref="D875:I875" si="414">(D867+D870)*8</f>
        <v>-166800</v>
      </c>
      <c r="E875" s="11">
        <f t="shared" si="414"/>
        <v>-166800</v>
      </c>
      <c r="F875" s="11">
        <f t="shared" si="414"/>
        <v>-166800</v>
      </c>
      <c r="G875" s="11">
        <f t="shared" si="414"/>
        <v>-166800</v>
      </c>
      <c r="H875" s="11">
        <f t="shared" si="414"/>
        <v>-166800</v>
      </c>
      <c r="I875" s="11">
        <f t="shared" si="414"/>
        <v>-166800</v>
      </c>
    </row>
    <row r="876" spans="1:11" x14ac:dyDescent="0.2">
      <c r="A876" s="13"/>
      <c r="B876" s="2" t="s">
        <v>85</v>
      </c>
      <c r="C876" s="11">
        <f>C868*8</f>
        <v>234910</v>
      </c>
      <c r="D876" s="11">
        <f t="shared" ref="D876:I876" si="415">D868*8</f>
        <v>234910</v>
      </c>
      <c r="E876" s="11">
        <f t="shared" si="415"/>
        <v>234910</v>
      </c>
      <c r="F876" s="11">
        <f t="shared" si="415"/>
        <v>234910</v>
      </c>
      <c r="G876" s="11">
        <f t="shared" si="415"/>
        <v>234910</v>
      </c>
      <c r="H876" s="11">
        <f t="shared" si="415"/>
        <v>234910</v>
      </c>
      <c r="I876" s="11">
        <f t="shared" si="415"/>
        <v>234910</v>
      </c>
    </row>
    <row r="877" spans="1:11" x14ac:dyDescent="0.2">
      <c r="A877" s="13"/>
      <c r="B877" s="2" t="s">
        <v>77</v>
      </c>
      <c r="C877" s="11">
        <f t="shared" ref="C877:I877" si="416">SUM(C875:C876)</f>
        <v>68110</v>
      </c>
      <c r="D877" s="11">
        <f t="shared" si="416"/>
        <v>68110</v>
      </c>
      <c r="E877" s="11">
        <f t="shared" si="416"/>
        <v>68110</v>
      </c>
      <c r="F877" s="11">
        <f t="shared" si="416"/>
        <v>68110</v>
      </c>
      <c r="G877" s="11">
        <f t="shared" si="416"/>
        <v>68110</v>
      </c>
      <c r="H877" s="11">
        <f t="shared" si="416"/>
        <v>68110</v>
      </c>
      <c r="I877" s="11">
        <f t="shared" si="416"/>
        <v>68110</v>
      </c>
    </row>
    <row r="878" spans="1:11" x14ac:dyDescent="0.2">
      <c r="A878" s="13"/>
    </row>
    <row r="881" spans="1:11" s="1" customFormat="1" x14ac:dyDescent="0.2">
      <c r="A881" s="1" t="s">
        <v>50</v>
      </c>
      <c r="B881" s="5" t="s">
        <v>36</v>
      </c>
      <c r="C881" s="28">
        <v>37257</v>
      </c>
      <c r="D881" s="6">
        <v>37258</v>
      </c>
      <c r="E881" s="6">
        <v>37259</v>
      </c>
      <c r="F881" s="6">
        <v>37260</v>
      </c>
      <c r="G881" s="28">
        <v>37261</v>
      </c>
      <c r="H881" s="28">
        <v>37262</v>
      </c>
      <c r="I881" s="6">
        <v>37263</v>
      </c>
      <c r="J881" s="8"/>
      <c r="K881" s="7"/>
    </row>
    <row r="882" spans="1:11" x14ac:dyDescent="0.2">
      <c r="B882" s="1" t="s">
        <v>3</v>
      </c>
      <c r="C882" s="19">
        <v>0</v>
      </c>
      <c r="D882" s="19">
        <v>0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K882" s="4"/>
    </row>
    <row r="883" spans="1:11" x14ac:dyDescent="0.2">
      <c r="B883" s="8" t="s">
        <v>4</v>
      </c>
      <c r="C883" s="10">
        <v>0</v>
      </c>
      <c r="D883" s="10">
        <v>0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K883" s="4"/>
    </row>
    <row r="884" spans="1:11" x14ac:dyDescent="0.2">
      <c r="B884" s="1" t="s">
        <v>5</v>
      </c>
      <c r="C884" s="19">
        <v>62</v>
      </c>
      <c r="D884" s="19">
        <v>62</v>
      </c>
      <c r="E884" s="19">
        <v>62</v>
      </c>
      <c r="F884" s="19">
        <v>62</v>
      </c>
      <c r="G884" s="19">
        <v>62</v>
      </c>
      <c r="H884" s="19">
        <v>62</v>
      </c>
      <c r="I884" s="19">
        <v>62</v>
      </c>
      <c r="K884" s="4"/>
    </row>
    <row r="885" spans="1:11" x14ac:dyDescent="0.2">
      <c r="B885" s="8" t="s">
        <v>4</v>
      </c>
      <c r="C885" s="10">
        <v>77.2</v>
      </c>
      <c r="D885" s="10">
        <v>77.2</v>
      </c>
      <c r="E885" s="10">
        <v>77.2</v>
      </c>
      <c r="F885" s="10">
        <v>77.2</v>
      </c>
      <c r="G885" s="10">
        <v>77.2</v>
      </c>
      <c r="H885" s="10">
        <v>77.2</v>
      </c>
      <c r="I885" s="10">
        <v>77.2</v>
      </c>
      <c r="K885" s="4"/>
    </row>
    <row r="886" spans="1:11" x14ac:dyDescent="0.2">
      <c r="B886" s="7" t="s">
        <v>6</v>
      </c>
      <c r="C886" s="4">
        <f t="shared" ref="C886:I886" si="417">C882-C884</f>
        <v>-62</v>
      </c>
      <c r="D886" s="4">
        <f t="shared" si="417"/>
        <v>-62</v>
      </c>
      <c r="E886" s="4">
        <f t="shared" si="417"/>
        <v>-62</v>
      </c>
      <c r="F886" s="4">
        <f t="shared" si="417"/>
        <v>-62</v>
      </c>
      <c r="G886" s="4">
        <f t="shared" si="417"/>
        <v>-62</v>
      </c>
      <c r="H886" s="4">
        <f t="shared" si="417"/>
        <v>-62</v>
      </c>
      <c r="I886" s="4">
        <f t="shared" si="417"/>
        <v>-62</v>
      </c>
      <c r="K886" s="4"/>
    </row>
    <row r="887" spans="1:11" x14ac:dyDescent="0.2">
      <c r="B887" s="9" t="s">
        <v>7</v>
      </c>
      <c r="C887" s="10">
        <v>30</v>
      </c>
      <c r="D887" s="10">
        <v>30</v>
      </c>
      <c r="E887" s="10">
        <v>30</v>
      </c>
      <c r="F887" s="10">
        <v>30</v>
      </c>
      <c r="G887" s="10">
        <v>30</v>
      </c>
      <c r="H887" s="10">
        <v>30</v>
      </c>
      <c r="I887" s="10">
        <v>30</v>
      </c>
      <c r="K887" s="4"/>
    </row>
    <row r="888" spans="1:11" x14ac:dyDescent="0.2">
      <c r="B888" s="9"/>
      <c r="C888" s="19"/>
      <c r="D888" s="19"/>
      <c r="E888" s="19"/>
      <c r="F888" s="10"/>
      <c r="G888" s="19"/>
      <c r="H888" s="19"/>
      <c r="K888" s="4"/>
    </row>
    <row r="889" spans="1:11" x14ac:dyDescent="0.2">
      <c r="B889" s="9" t="s">
        <v>8</v>
      </c>
      <c r="C889" s="12">
        <f t="shared" ref="C889:I889" si="418">(C882*C883)*(-1)</f>
        <v>0</v>
      </c>
      <c r="D889" s="12">
        <f t="shared" si="418"/>
        <v>0</v>
      </c>
      <c r="E889" s="12">
        <f t="shared" si="418"/>
        <v>0</v>
      </c>
      <c r="F889" s="12">
        <f t="shared" si="418"/>
        <v>0</v>
      </c>
      <c r="G889" s="12">
        <f t="shared" si="418"/>
        <v>0</v>
      </c>
      <c r="H889" s="12">
        <f t="shared" si="418"/>
        <v>0</v>
      </c>
      <c r="I889" s="12">
        <f t="shared" si="418"/>
        <v>0</v>
      </c>
      <c r="K889" s="4"/>
    </row>
    <row r="890" spans="1:11" x14ac:dyDescent="0.2">
      <c r="B890" s="9" t="s">
        <v>9</v>
      </c>
      <c r="C890" s="11">
        <f t="shared" ref="C890:I890" si="419">C884*C885</f>
        <v>4786.4000000000005</v>
      </c>
      <c r="D890" s="11">
        <f t="shared" si="419"/>
        <v>4786.4000000000005</v>
      </c>
      <c r="E890" s="11">
        <f t="shared" si="419"/>
        <v>4786.4000000000005</v>
      </c>
      <c r="F890" s="11">
        <f t="shared" si="419"/>
        <v>4786.4000000000005</v>
      </c>
      <c r="G890" s="11">
        <f t="shared" si="419"/>
        <v>4786.4000000000005</v>
      </c>
      <c r="H890" s="11">
        <f t="shared" si="419"/>
        <v>4786.4000000000005</v>
      </c>
      <c r="I890" s="11">
        <f t="shared" si="419"/>
        <v>4786.4000000000005</v>
      </c>
      <c r="K890" s="4"/>
    </row>
    <row r="891" spans="1:11" x14ac:dyDescent="0.2">
      <c r="B891" s="7" t="s">
        <v>10</v>
      </c>
      <c r="C891" s="11">
        <f t="shared" ref="C891:I891" si="420">SUM(C889:C890)</f>
        <v>4786.4000000000005</v>
      </c>
      <c r="D891" s="11">
        <f t="shared" si="420"/>
        <v>4786.4000000000005</v>
      </c>
      <c r="E891" s="11">
        <f t="shared" si="420"/>
        <v>4786.4000000000005</v>
      </c>
      <c r="F891" s="11">
        <f t="shared" si="420"/>
        <v>4786.4000000000005</v>
      </c>
      <c r="G891" s="11">
        <f t="shared" si="420"/>
        <v>4786.4000000000005</v>
      </c>
      <c r="H891" s="11">
        <f t="shared" si="420"/>
        <v>4786.4000000000005</v>
      </c>
      <c r="I891" s="11">
        <f t="shared" si="420"/>
        <v>4786.4000000000005</v>
      </c>
      <c r="K891" s="4"/>
    </row>
    <row r="892" spans="1:11" x14ac:dyDescent="0.2">
      <c r="A892" s="13"/>
      <c r="B892" s="2" t="s">
        <v>11</v>
      </c>
      <c r="C892" s="12">
        <f t="shared" ref="C892:I892" si="421">C886*C887</f>
        <v>-1860</v>
      </c>
      <c r="D892" s="12">
        <f t="shared" si="421"/>
        <v>-1860</v>
      </c>
      <c r="E892" s="12">
        <f t="shared" si="421"/>
        <v>-1860</v>
      </c>
      <c r="F892" s="12">
        <f t="shared" si="421"/>
        <v>-1860</v>
      </c>
      <c r="G892" s="12">
        <f t="shared" si="421"/>
        <v>-1860</v>
      </c>
      <c r="H892" s="12">
        <f t="shared" si="421"/>
        <v>-1860</v>
      </c>
      <c r="I892" s="12">
        <f t="shared" si="421"/>
        <v>-1860</v>
      </c>
    </row>
    <row r="893" spans="1:11" x14ac:dyDescent="0.2">
      <c r="A893" s="14"/>
      <c r="E893" s="2"/>
      <c r="G893" s="2"/>
      <c r="H893" s="2"/>
      <c r="I893" s="2"/>
    </row>
    <row r="894" spans="1:11" s="1" customFormat="1" x14ac:dyDescent="0.2">
      <c r="A894" s="13"/>
      <c r="B894" s="1" t="s">
        <v>12</v>
      </c>
      <c r="C894" s="15">
        <f t="shared" ref="C894:I894" si="422">SUM(C891:C892)</f>
        <v>2926.4000000000005</v>
      </c>
      <c r="D894" s="15">
        <f t="shared" si="422"/>
        <v>2926.4000000000005</v>
      </c>
      <c r="E894" s="15">
        <f t="shared" si="422"/>
        <v>2926.4000000000005</v>
      </c>
      <c r="F894" s="15">
        <f t="shared" si="422"/>
        <v>2926.4000000000005</v>
      </c>
      <c r="G894" s="15">
        <f t="shared" si="422"/>
        <v>2926.4000000000005</v>
      </c>
      <c r="H894" s="15">
        <f t="shared" si="422"/>
        <v>2926.4000000000005</v>
      </c>
      <c r="I894" s="15">
        <f t="shared" si="422"/>
        <v>2926.4000000000005</v>
      </c>
      <c r="J894" s="8"/>
    </row>
    <row r="895" spans="1:11" x14ac:dyDescent="0.2">
      <c r="A895" s="16"/>
      <c r="B895" s="1" t="s">
        <v>27</v>
      </c>
      <c r="C895" s="15">
        <f t="shared" ref="C895:I895" si="423">C894*8</f>
        <v>23411.200000000004</v>
      </c>
      <c r="D895" s="15">
        <f t="shared" si="423"/>
        <v>23411.200000000004</v>
      </c>
      <c r="E895" s="15">
        <f t="shared" si="423"/>
        <v>23411.200000000004</v>
      </c>
      <c r="F895" s="15">
        <f t="shared" si="423"/>
        <v>23411.200000000004</v>
      </c>
      <c r="G895" s="15">
        <f t="shared" si="423"/>
        <v>23411.200000000004</v>
      </c>
      <c r="H895" s="15">
        <f t="shared" si="423"/>
        <v>23411.200000000004</v>
      </c>
      <c r="I895" s="15">
        <f t="shared" si="423"/>
        <v>23411.200000000004</v>
      </c>
      <c r="J895" s="3">
        <f>SUM(C895:I895)</f>
        <v>163878.40000000005</v>
      </c>
    </row>
    <row r="897" spans="1:9" x14ac:dyDescent="0.2">
      <c r="A897" s="13"/>
      <c r="B897" s="2" t="s">
        <v>84</v>
      </c>
      <c r="C897" s="11">
        <f>(C889+C892)*8</f>
        <v>-14880</v>
      </c>
      <c r="D897" s="11">
        <f t="shared" ref="D897:I897" si="424">(D889+D892)*8</f>
        <v>-14880</v>
      </c>
      <c r="E897" s="11">
        <f t="shared" si="424"/>
        <v>-14880</v>
      </c>
      <c r="F897" s="11">
        <f t="shared" si="424"/>
        <v>-14880</v>
      </c>
      <c r="G897" s="11">
        <f t="shared" si="424"/>
        <v>-14880</v>
      </c>
      <c r="H897" s="11">
        <f t="shared" si="424"/>
        <v>-14880</v>
      </c>
      <c r="I897" s="11">
        <f t="shared" si="424"/>
        <v>-14880</v>
      </c>
    </row>
    <row r="898" spans="1:9" x14ac:dyDescent="0.2">
      <c r="A898" s="13"/>
      <c r="B898" s="2" t="s">
        <v>85</v>
      </c>
      <c r="C898" s="11">
        <f>C890*8</f>
        <v>38291.200000000004</v>
      </c>
      <c r="D898" s="11">
        <f t="shared" ref="D898:I898" si="425">D890*8</f>
        <v>38291.200000000004</v>
      </c>
      <c r="E898" s="11">
        <f t="shared" si="425"/>
        <v>38291.200000000004</v>
      </c>
      <c r="F898" s="11">
        <f t="shared" si="425"/>
        <v>38291.200000000004</v>
      </c>
      <c r="G898" s="11">
        <f t="shared" si="425"/>
        <v>38291.200000000004</v>
      </c>
      <c r="H898" s="11">
        <f t="shared" si="425"/>
        <v>38291.200000000004</v>
      </c>
      <c r="I898" s="11">
        <f t="shared" si="425"/>
        <v>38291.200000000004</v>
      </c>
    </row>
    <row r="899" spans="1:9" x14ac:dyDescent="0.2">
      <c r="A899" s="13"/>
      <c r="B899" s="2" t="s">
        <v>77</v>
      </c>
      <c r="C899" s="11">
        <f t="shared" ref="C899:I899" si="426">SUM(C897:C898)</f>
        <v>23411.200000000004</v>
      </c>
      <c r="D899" s="11">
        <f t="shared" si="426"/>
        <v>23411.200000000004</v>
      </c>
      <c r="E899" s="11">
        <f t="shared" si="426"/>
        <v>23411.200000000004</v>
      </c>
      <c r="F899" s="11">
        <f t="shared" si="426"/>
        <v>23411.200000000004</v>
      </c>
      <c r="G899" s="11">
        <f t="shared" si="426"/>
        <v>23411.200000000004</v>
      </c>
      <c r="H899" s="11">
        <f t="shared" si="426"/>
        <v>23411.200000000004</v>
      </c>
      <c r="I899" s="11">
        <f t="shared" si="426"/>
        <v>23411.200000000004</v>
      </c>
    </row>
    <row r="900" spans="1:9" x14ac:dyDescent="0.2">
      <c r="A900" s="13"/>
    </row>
  </sheetData>
  <mergeCells count="2">
    <mergeCell ref="A4:J4"/>
    <mergeCell ref="A672:J672"/>
  </mergeCells>
  <phoneticPr fontId="0" type="noConversion"/>
  <conditionalFormatting sqref="C22:I24 C19:I20 C39:I40 C60:I61 C81:I82 C103:I104 C42:I44 C63:I65 C84:I86 C106:I108 C127:I129 C147:I149 C168:I170 C189:I191 C210:I212 C231:I233 C252:I254 C278:I280 C298:I300 C318:I320 C340:I342 C361:I363 C384:I386 C405:I407 C427:I429 C447:I449 C467:I469 C487:I489 C507:I509 C527:I529 C547:I549 C567:I569 C587:I589 C607:I609 C628:I630 C648:I650 C668:I670 C690:I692 C710:I712 C730:I732 C750:I752 C771:I773 C792:I794 C813:I815 C834:I836 C854:I856 C875:I877 C897:I899 J1:J1048576">
    <cfRule type="cellIs" dxfId="1" priority="1" stopIfTrue="1" operator="lessThan">
      <formula>0</formula>
    </cfRule>
  </conditionalFormatting>
  <pageMargins left="0.75" right="0.75" top="1" bottom="1" header="0.5" footer="0.5"/>
  <pageSetup scale="45" fitToHeight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13"/>
  <sheetViews>
    <sheetView zoomScale="75" workbookViewId="0">
      <selection activeCell="G693" sqref="G693:I693"/>
    </sheetView>
  </sheetViews>
  <sheetFormatPr defaultRowHeight="12.75" x14ac:dyDescent="0.2"/>
  <cols>
    <col min="1" max="1" width="14.85546875" style="1" bestFit="1" customWidth="1"/>
    <col min="2" max="2" width="33.5703125" style="2" bestFit="1" customWidth="1"/>
    <col min="3" max="4" width="14.28515625" style="2" bestFit="1" customWidth="1"/>
    <col min="5" max="5" width="14.28515625" style="3" bestFit="1" customWidth="1"/>
    <col min="6" max="6" width="14.28515625" style="2" bestFit="1" customWidth="1"/>
    <col min="7" max="9" width="14.28515625" style="4" bestFit="1" customWidth="1"/>
    <col min="10" max="10" width="15.85546875" style="25" bestFit="1" customWidth="1"/>
    <col min="11" max="11" width="11.7109375" style="2" bestFit="1" customWidth="1"/>
    <col min="12" max="12" width="10.5703125" style="2" bestFit="1" customWidth="1"/>
    <col min="13" max="13" width="9.140625" style="2"/>
    <col min="14" max="14" width="9.85546875" style="2" bestFit="1" customWidth="1"/>
    <col min="15" max="15" width="13.42578125" style="2" bestFit="1" customWidth="1"/>
    <col min="16" max="22" width="9.140625" style="2"/>
    <col min="23" max="23" width="8.85546875" style="2" customWidth="1"/>
    <col min="24" max="16384" width="9.140625" style="2"/>
  </cols>
  <sheetData>
    <row r="1" spans="1:11" ht="13.5" thickBot="1" x14ac:dyDescent="0.25">
      <c r="J1" s="3"/>
    </row>
    <row r="2" spans="1:11" ht="20.25" thickBot="1" x14ac:dyDescent="0.35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3"/>
    </row>
    <row r="3" spans="1:11" x14ac:dyDescent="0.2">
      <c r="J3" s="3"/>
    </row>
    <row r="4" spans="1:11" s="1" customFormat="1" x14ac:dyDescent="0.2">
      <c r="A4" s="1" t="s">
        <v>1</v>
      </c>
      <c r="B4" s="5" t="s">
        <v>2</v>
      </c>
      <c r="C4" s="28">
        <v>37257</v>
      </c>
      <c r="D4" s="6">
        <v>37258</v>
      </c>
      <c r="E4" s="6">
        <v>37259</v>
      </c>
      <c r="F4" s="6">
        <v>37260</v>
      </c>
      <c r="G4" s="28">
        <v>37261</v>
      </c>
      <c r="H4" s="28">
        <v>37262</v>
      </c>
      <c r="I4" s="6">
        <v>37263</v>
      </c>
      <c r="J4" s="8"/>
      <c r="K4" s="7"/>
    </row>
    <row r="5" spans="1:11" x14ac:dyDescent="0.2">
      <c r="B5" s="1" t="s">
        <v>3</v>
      </c>
      <c r="C5" s="2">
        <v>50</v>
      </c>
      <c r="D5" s="19">
        <v>850</v>
      </c>
      <c r="E5" s="19">
        <v>850</v>
      </c>
      <c r="F5" s="19">
        <v>850</v>
      </c>
      <c r="G5" s="2">
        <v>50</v>
      </c>
      <c r="H5" s="2">
        <v>50</v>
      </c>
      <c r="I5" s="19">
        <v>850</v>
      </c>
      <c r="K5" s="4"/>
    </row>
    <row r="6" spans="1:11" x14ac:dyDescent="0.2">
      <c r="B6" s="8" t="s">
        <v>4</v>
      </c>
      <c r="C6" s="3">
        <v>23.75</v>
      </c>
      <c r="D6" s="10">
        <v>38.049999999999997</v>
      </c>
      <c r="E6" s="10">
        <v>38.049999999999997</v>
      </c>
      <c r="F6" s="10">
        <v>38.049999999999997</v>
      </c>
      <c r="G6" s="3">
        <v>23.75</v>
      </c>
      <c r="H6" s="3">
        <v>23.75</v>
      </c>
      <c r="I6" s="10">
        <v>38.049999999999997</v>
      </c>
      <c r="K6" s="4"/>
    </row>
    <row r="7" spans="1:11" x14ac:dyDescent="0.2">
      <c r="B7" s="1" t="s">
        <v>5</v>
      </c>
      <c r="C7" s="2">
        <v>50</v>
      </c>
      <c r="D7" s="19">
        <v>900</v>
      </c>
      <c r="E7" s="19">
        <v>900</v>
      </c>
      <c r="F7" s="19">
        <v>900</v>
      </c>
      <c r="G7" s="2">
        <v>50</v>
      </c>
      <c r="H7" s="2">
        <v>50</v>
      </c>
      <c r="I7" s="19">
        <v>900</v>
      </c>
      <c r="K7" s="4"/>
    </row>
    <row r="8" spans="1:11" x14ac:dyDescent="0.2">
      <c r="B8" s="8" t="s">
        <v>4</v>
      </c>
      <c r="C8" s="3">
        <v>23.85</v>
      </c>
      <c r="D8" s="10">
        <v>40.98</v>
      </c>
      <c r="E8" s="10">
        <v>40.98</v>
      </c>
      <c r="F8" s="10">
        <v>40.98</v>
      </c>
      <c r="G8" s="3">
        <v>23.85</v>
      </c>
      <c r="H8" s="3">
        <v>23.85</v>
      </c>
      <c r="I8" s="10">
        <v>40.98</v>
      </c>
      <c r="K8" s="4"/>
    </row>
    <row r="9" spans="1:11" x14ac:dyDescent="0.2">
      <c r="B9" s="7" t="s">
        <v>6</v>
      </c>
      <c r="C9" s="4">
        <f t="shared" ref="C9:I9" si="0">C5-C7</f>
        <v>0</v>
      </c>
      <c r="D9" s="4">
        <f t="shared" si="0"/>
        <v>-50</v>
      </c>
      <c r="E9" s="4">
        <f t="shared" si="0"/>
        <v>-50</v>
      </c>
      <c r="F9" s="4">
        <f t="shared" si="0"/>
        <v>-50</v>
      </c>
      <c r="G9" s="4">
        <f t="shared" si="0"/>
        <v>0</v>
      </c>
      <c r="H9" s="4">
        <f t="shared" si="0"/>
        <v>0</v>
      </c>
      <c r="I9" s="4">
        <f t="shared" si="0"/>
        <v>-50</v>
      </c>
      <c r="K9" s="4"/>
    </row>
    <row r="10" spans="1:11" x14ac:dyDescent="0.2">
      <c r="B10" s="9" t="s">
        <v>7</v>
      </c>
      <c r="C10" s="10">
        <v>22</v>
      </c>
      <c r="D10" s="29">
        <v>28</v>
      </c>
      <c r="E10" s="29">
        <v>28</v>
      </c>
      <c r="F10" s="29">
        <v>28</v>
      </c>
      <c r="G10" s="10">
        <v>22</v>
      </c>
      <c r="H10" s="10">
        <v>22</v>
      </c>
      <c r="I10" s="29">
        <v>28</v>
      </c>
      <c r="K10" s="4"/>
    </row>
    <row r="11" spans="1:11" x14ac:dyDescent="0.2">
      <c r="B11" s="9"/>
      <c r="C11" s="11"/>
      <c r="D11" s="19"/>
      <c r="E11" s="19"/>
      <c r="F11" s="10"/>
      <c r="G11" s="10"/>
      <c r="H11" s="21"/>
      <c r="K11" s="4"/>
    </row>
    <row r="12" spans="1:11" x14ac:dyDescent="0.2">
      <c r="B12" s="9" t="s">
        <v>8</v>
      </c>
      <c r="C12" s="12">
        <f>(C5*C6)*(-1)</f>
        <v>-1187.5</v>
      </c>
      <c r="D12" s="12">
        <f t="shared" ref="D12:I12" si="1">(D5*D6)*(-1)</f>
        <v>-32342.499999999996</v>
      </c>
      <c r="E12" s="12">
        <f t="shared" si="1"/>
        <v>-32342.499999999996</v>
      </c>
      <c r="F12" s="12">
        <f t="shared" si="1"/>
        <v>-32342.499999999996</v>
      </c>
      <c r="G12" s="12">
        <f t="shared" si="1"/>
        <v>-1187.5</v>
      </c>
      <c r="H12" s="12">
        <f t="shared" si="1"/>
        <v>-1187.5</v>
      </c>
      <c r="I12" s="12">
        <f t="shared" si="1"/>
        <v>-32342.499999999996</v>
      </c>
      <c r="K12" s="4"/>
    </row>
    <row r="13" spans="1:11" x14ac:dyDescent="0.2">
      <c r="B13" s="9" t="s">
        <v>9</v>
      </c>
      <c r="C13" s="11">
        <f>C7*C8</f>
        <v>1192.5</v>
      </c>
      <c r="D13" s="11">
        <f t="shared" ref="D13:I13" si="2">D7*D8</f>
        <v>36882</v>
      </c>
      <c r="E13" s="11">
        <f t="shared" si="2"/>
        <v>36882</v>
      </c>
      <c r="F13" s="11">
        <f t="shared" si="2"/>
        <v>36882</v>
      </c>
      <c r="G13" s="11">
        <f t="shared" si="2"/>
        <v>1192.5</v>
      </c>
      <c r="H13" s="11">
        <f t="shared" si="2"/>
        <v>1192.5</v>
      </c>
      <c r="I13" s="11">
        <f t="shared" si="2"/>
        <v>36882</v>
      </c>
      <c r="K13" s="4"/>
    </row>
    <row r="14" spans="1:11" x14ac:dyDescent="0.2">
      <c r="B14" s="7" t="s">
        <v>10</v>
      </c>
      <c r="C14" s="11">
        <f>SUM(C12:C13)</f>
        <v>5</v>
      </c>
      <c r="D14" s="11">
        <f t="shared" ref="D14:I14" si="3">SUM(D12:D13)</f>
        <v>4539.5000000000036</v>
      </c>
      <c r="E14" s="11">
        <f t="shared" si="3"/>
        <v>4539.5000000000036</v>
      </c>
      <c r="F14" s="11">
        <f t="shared" si="3"/>
        <v>4539.5000000000036</v>
      </c>
      <c r="G14" s="11">
        <f t="shared" si="3"/>
        <v>5</v>
      </c>
      <c r="H14" s="11">
        <f t="shared" si="3"/>
        <v>5</v>
      </c>
      <c r="I14" s="11">
        <f t="shared" si="3"/>
        <v>4539.5000000000036</v>
      </c>
      <c r="K14" s="4"/>
    </row>
    <row r="15" spans="1:11" x14ac:dyDescent="0.2">
      <c r="A15" s="13"/>
      <c r="B15" s="2" t="s">
        <v>11</v>
      </c>
      <c r="C15" s="12">
        <f>C9*C10</f>
        <v>0</v>
      </c>
      <c r="D15" s="12">
        <f t="shared" ref="D15:I15" si="4">D9*D10</f>
        <v>-1400</v>
      </c>
      <c r="E15" s="12">
        <f t="shared" si="4"/>
        <v>-1400</v>
      </c>
      <c r="F15" s="12">
        <f t="shared" si="4"/>
        <v>-1400</v>
      </c>
      <c r="G15" s="12">
        <f t="shared" si="4"/>
        <v>0</v>
      </c>
      <c r="H15" s="12">
        <f t="shared" si="4"/>
        <v>0</v>
      </c>
      <c r="I15" s="12">
        <f t="shared" si="4"/>
        <v>-1400</v>
      </c>
    </row>
    <row r="16" spans="1:11" x14ac:dyDescent="0.2">
      <c r="A16" s="14"/>
      <c r="E16" s="2"/>
      <c r="G16" s="2"/>
      <c r="H16" s="2"/>
      <c r="I16" s="2"/>
    </row>
    <row r="17" spans="1:11" s="1" customFormat="1" x14ac:dyDescent="0.2">
      <c r="A17" s="13"/>
      <c r="B17" s="1" t="s">
        <v>12</v>
      </c>
      <c r="C17" s="15">
        <f>SUM(C14:C15)</f>
        <v>5</v>
      </c>
      <c r="D17" s="15">
        <f t="shared" ref="D17:I17" si="5">SUM(D14:D15)</f>
        <v>3139.5000000000036</v>
      </c>
      <c r="E17" s="15">
        <f t="shared" si="5"/>
        <v>3139.5000000000036</v>
      </c>
      <c r="F17" s="15">
        <f t="shared" si="5"/>
        <v>3139.5000000000036</v>
      </c>
      <c r="G17" s="15">
        <f t="shared" si="5"/>
        <v>5</v>
      </c>
      <c r="H17" s="15">
        <f t="shared" si="5"/>
        <v>5</v>
      </c>
      <c r="I17" s="15">
        <f t="shared" si="5"/>
        <v>3139.5000000000036</v>
      </c>
      <c r="J17" s="8"/>
    </row>
    <row r="18" spans="1:11" x14ac:dyDescent="0.2">
      <c r="A18" s="16"/>
      <c r="B18" s="1" t="s">
        <v>13</v>
      </c>
      <c r="C18" s="15">
        <f>C17*16</f>
        <v>80</v>
      </c>
      <c r="D18" s="15">
        <f t="shared" ref="D18:I18" si="6">D17*16</f>
        <v>50232.000000000058</v>
      </c>
      <c r="E18" s="15">
        <f t="shared" si="6"/>
        <v>50232.000000000058</v>
      </c>
      <c r="F18" s="15">
        <f t="shared" si="6"/>
        <v>50232.000000000058</v>
      </c>
      <c r="G18" s="15">
        <f t="shared" si="6"/>
        <v>80</v>
      </c>
      <c r="H18" s="15">
        <f t="shared" si="6"/>
        <v>80</v>
      </c>
      <c r="I18" s="15">
        <f t="shared" si="6"/>
        <v>50232.000000000058</v>
      </c>
      <c r="J18" s="3">
        <f>SUM(C18:I18)</f>
        <v>201168.00000000023</v>
      </c>
    </row>
    <row r="19" spans="1:11" x14ac:dyDescent="0.2">
      <c r="A19" s="16"/>
      <c r="B19" s="1"/>
      <c r="C19" s="15"/>
      <c r="D19" s="15"/>
      <c r="E19" s="15"/>
      <c r="F19" s="15"/>
      <c r="G19" s="15"/>
      <c r="H19" s="15"/>
      <c r="I19" s="15"/>
      <c r="J19" s="3"/>
    </row>
    <row r="20" spans="1:11" x14ac:dyDescent="0.2">
      <c r="A20" s="16"/>
      <c r="B20" s="1"/>
      <c r="C20" s="15"/>
      <c r="D20" s="15"/>
      <c r="E20" s="15"/>
      <c r="F20" s="15"/>
      <c r="G20" s="15"/>
      <c r="H20" s="15"/>
      <c r="I20" s="15"/>
      <c r="J20" s="3"/>
    </row>
    <row r="21" spans="1:11" s="1" customFormat="1" x14ac:dyDescent="0.2">
      <c r="A21" s="1" t="s">
        <v>17</v>
      </c>
      <c r="B21" s="5" t="s">
        <v>2</v>
      </c>
      <c r="C21" s="28">
        <v>37257</v>
      </c>
      <c r="D21" s="6">
        <v>37258</v>
      </c>
      <c r="E21" s="6">
        <v>37259</v>
      </c>
      <c r="F21" s="6">
        <v>37260</v>
      </c>
      <c r="G21" s="28">
        <v>37261</v>
      </c>
      <c r="H21" s="28">
        <v>37262</v>
      </c>
      <c r="I21" s="6">
        <v>37263</v>
      </c>
      <c r="J21" s="8"/>
      <c r="K21" s="7"/>
    </row>
    <row r="22" spans="1:11" x14ac:dyDescent="0.2">
      <c r="B22" s="1" t="s">
        <v>3</v>
      </c>
      <c r="D22" s="19">
        <v>850</v>
      </c>
      <c r="E22" s="19">
        <v>850</v>
      </c>
      <c r="F22" s="19">
        <v>850</v>
      </c>
      <c r="G22" s="10"/>
      <c r="H22" s="21"/>
      <c r="I22" s="19">
        <v>850</v>
      </c>
      <c r="K22" s="4"/>
    </row>
    <row r="23" spans="1:11" x14ac:dyDescent="0.2">
      <c r="B23" s="8" t="s">
        <v>4</v>
      </c>
      <c r="C23" s="3">
        <v>0</v>
      </c>
      <c r="D23" s="10">
        <v>36.36</v>
      </c>
      <c r="E23" s="10">
        <v>36.36</v>
      </c>
      <c r="F23" s="10">
        <v>36.36</v>
      </c>
      <c r="G23" s="10"/>
      <c r="H23" s="21"/>
      <c r="I23" s="10">
        <v>36.36</v>
      </c>
      <c r="K23" s="4"/>
    </row>
    <row r="24" spans="1:11" x14ac:dyDescent="0.2">
      <c r="B24" s="1" t="s">
        <v>5</v>
      </c>
      <c r="D24" s="19">
        <v>650</v>
      </c>
      <c r="E24" s="19">
        <v>650</v>
      </c>
      <c r="F24" s="19">
        <v>650</v>
      </c>
      <c r="G24" s="10"/>
      <c r="H24" s="21"/>
      <c r="I24" s="19">
        <v>650</v>
      </c>
      <c r="K24" s="4"/>
    </row>
    <row r="25" spans="1:11" x14ac:dyDescent="0.2">
      <c r="B25" s="8" t="s">
        <v>4</v>
      </c>
      <c r="C25" s="3">
        <v>0</v>
      </c>
      <c r="D25" s="10">
        <v>35.96</v>
      </c>
      <c r="E25" s="10">
        <v>35.96</v>
      </c>
      <c r="F25" s="10">
        <v>35.96</v>
      </c>
      <c r="G25" s="10"/>
      <c r="H25" s="21"/>
      <c r="I25" s="10">
        <v>35.96</v>
      </c>
      <c r="K25" s="4"/>
    </row>
    <row r="26" spans="1:11" x14ac:dyDescent="0.2">
      <c r="B26" s="7" t="s">
        <v>6</v>
      </c>
      <c r="C26" s="4">
        <f t="shared" ref="C26:I26" si="7">C22-C24</f>
        <v>0</v>
      </c>
      <c r="D26" s="4">
        <f t="shared" si="7"/>
        <v>200</v>
      </c>
      <c r="E26" s="4">
        <f t="shared" si="7"/>
        <v>200</v>
      </c>
      <c r="F26" s="4">
        <f t="shared" si="7"/>
        <v>200</v>
      </c>
      <c r="G26" s="4">
        <f t="shared" si="7"/>
        <v>0</v>
      </c>
      <c r="H26" s="4">
        <f t="shared" si="7"/>
        <v>0</v>
      </c>
      <c r="I26" s="4">
        <f t="shared" si="7"/>
        <v>200</v>
      </c>
      <c r="K26" s="4"/>
    </row>
    <row r="27" spans="1:11" x14ac:dyDescent="0.2">
      <c r="B27" s="9" t="s">
        <v>7</v>
      </c>
      <c r="C27" s="10">
        <v>22</v>
      </c>
      <c r="D27" s="29">
        <v>28</v>
      </c>
      <c r="E27" s="29">
        <v>28</v>
      </c>
      <c r="F27" s="29">
        <v>28</v>
      </c>
      <c r="G27" s="10">
        <v>22</v>
      </c>
      <c r="H27" s="10">
        <v>22</v>
      </c>
      <c r="I27" s="29">
        <v>28</v>
      </c>
      <c r="K27" s="4"/>
    </row>
    <row r="28" spans="1:11" x14ac:dyDescent="0.2">
      <c r="B28" s="9"/>
      <c r="C28" s="11"/>
      <c r="D28" s="19"/>
      <c r="E28" s="19"/>
      <c r="F28" s="10"/>
      <c r="G28" s="10"/>
      <c r="H28" s="21"/>
      <c r="K28" s="4"/>
    </row>
    <row r="29" spans="1:11" x14ac:dyDescent="0.2">
      <c r="B29" s="9" t="s">
        <v>8</v>
      </c>
      <c r="C29" s="12">
        <f t="shared" ref="C29:I29" si="8">(C22*C23)*(-1)</f>
        <v>0</v>
      </c>
      <c r="D29" s="12">
        <f t="shared" si="8"/>
        <v>-30906</v>
      </c>
      <c r="E29" s="12">
        <f t="shared" si="8"/>
        <v>-30906</v>
      </c>
      <c r="F29" s="12">
        <f t="shared" si="8"/>
        <v>-30906</v>
      </c>
      <c r="G29" s="12">
        <f t="shared" si="8"/>
        <v>0</v>
      </c>
      <c r="H29" s="12">
        <f t="shared" si="8"/>
        <v>0</v>
      </c>
      <c r="I29" s="12">
        <f t="shared" si="8"/>
        <v>-30906</v>
      </c>
      <c r="K29" s="4"/>
    </row>
    <row r="30" spans="1:11" x14ac:dyDescent="0.2">
      <c r="B30" s="9" t="s">
        <v>9</v>
      </c>
      <c r="C30" s="11">
        <f t="shared" ref="C30:I30" si="9">C24*C25</f>
        <v>0</v>
      </c>
      <c r="D30" s="11">
        <f t="shared" si="9"/>
        <v>23374</v>
      </c>
      <c r="E30" s="11">
        <f t="shared" si="9"/>
        <v>23374</v>
      </c>
      <c r="F30" s="11">
        <f t="shared" si="9"/>
        <v>23374</v>
      </c>
      <c r="G30" s="11">
        <f t="shared" si="9"/>
        <v>0</v>
      </c>
      <c r="H30" s="11">
        <f t="shared" si="9"/>
        <v>0</v>
      </c>
      <c r="I30" s="11">
        <f t="shared" si="9"/>
        <v>23374</v>
      </c>
      <c r="K30" s="4"/>
    </row>
    <row r="31" spans="1:11" x14ac:dyDescent="0.2">
      <c r="B31" s="7" t="s">
        <v>10</v>
      </c>
      <c r="C31" s="11">
        <f t="shared" ref="C31:I31" si="10">SUM(C29:C30)</f>
        <v>0</v>
      </c>
      <c r="D31" s="11">
        <f t="shared" si="10"/>
        <v>-7532</v>
      </c>
      <c r="E31" s="11">
        <f t="shared" si="10"/>
        <v>-7532</v>
      </c>
      <c r="F31" s="11">
        <f t="shared" si="10"/>
        <v>-7532</v>
      </c>
      <c r="G31" s="11">
        <f t="shared" si="10"/>
        <v>0</v>
      </c>
      <c r="H31" s="11">
        <f t="shared" si="10"/>
        <v>0</v>
      </c>
      <c r="I31" s="11">
        <f t="shared" si="10"/>
        <v>-7532</v>
      </c>
      <c r="K31" s="4"/>
    </row>
    <row r="32" spans="1:11" x14ac:dyDescent="0.2">
      <c r="A32" s="13"/>
      <c r="B32" s="2" t="s">
        <v>11</v>
      </c>
      <c r="C32" s="12">
        <f t="shared" ref="C32:I32" si="11">C26*C27</f>
        <v>0</v>
      </c>
      <c r="D32" s="12">
        <f t="shared" si="11"/>
        <v>5600</v>
      </c>
      <c r="E32" s="12">
        <f t="shared" si="11"/>
        <v>5600</v>
      </c>
      <c r="F32" s="12">
        <f t="shared" si="11"/>
        <v>5600</v>
      </c>
      <c r="G32" s="12">
        <f t="shared" si="11"/>
        <v>0</v>
      </c>
      <c r="H32" s="12">
        <f t="shared" si="11"/>
        <v>0</v>
      </c>
      <c r="I32" s="12">
        <f t="shared" si="11"/>
        <v>5600</v>
      </c>
    </row>
    <row r="33" spans="1:11" x14ac:dyDescent="0.2">
      <c r="A33" s="14"/>
      <c r="E33" s="2"/>
      <c r="G33" s="2"/>
      <c r="H33" s="2"/>
      <c r="I33" s="2"/>
    </row>
    <row r="34" spans="1:11" s="1" customFormat="1" x14ac:dyDescent="0.2">
      <c r="A34" s="13"/>
      <c r="B34" s="1" t="s">
        <v>12</v>
      </c>
      <c r="C34" s="15">
        <f t="shared" ref="C34:I34" si="12">SUM(C31:C32)</f>
        <v>0</v>
      </c>
      <c r="D34" s="15">
        <f t="shared" si="12"/>
        <v>-1932</v>
      </c>
      <c r="E34" s="15">
        <f t="shared" si="12"/>
        <v>-1932</v>
      </c>
      <c r="F34" s="15">
        <f t="shared" si="12"/>
        <v>-1932</v>
      </c>
      <c r="G34" s="15">
        <f t="shared" si="12"/>
        <v>0</v>
      </c>
      <c r="H34" s="15">
        <f t="shared" si="12"/>
        <v>0</v>
      </c>
      <c r="I34" s="15">
        <f t="shared" si="12"/>
        <v>-1932</v>
      </c>
      <c r="J34" s="8"/>
    </row>
    <row r="35" spans="1:11" x14ac:dyDescent="0.2">
      <c r="A35" s="16"/>
      <c r="B35" s="1" t="s">
        <v>13</v>
      </c>
      <c r="C35" s="15">
        <f t="shared" ref="C35:I35" si="13">C34*16</f>
        <v>0</v>
      </c>
      <c r="D35" s="15">
        <f t="shared" si="13"/>
        <v>-30912</v>
      </c>
      <c r="E35" s="15">
        <f t="shared" si="13"/>
        <v>-30912</v>
      </c>
      <c r="F35" s="15">
        <f t="shared" si="13"/>
        <v>-30912</v>
      </c>
      <c r="G35" s="15">
        <f t="shared" si="13"/>
        <v>0</v>
      </c>
      <c r="H35" s="15">
        <f t="shared" si="13"/>
        <v>0</v>
      </c>
      <c r="I35" s="15">
        <f t="shared" si="13"/>
        <v>-30912</v>
      </c>
      <c r="J35" s="3">
        <f>SUM(C35:I35)</f>
        <v>-123648</v>
      </c>
    </row>
    <row r="36" spans="1:11" x14ac:dyDescent="0.2">
      <c r="A36" s="16"/>
      <c r="B36" s="1"/>
      <c r="C36" s="15"/>
      <c r="D36" s="15"/>
      <c r="E36" s="15"/>
      <c r="F36" s="15"/>
      <c r="G36" s="15"/>
      <c r="H36" s="15"/>
      <c r="I36" s="15"/>
      <c r="J36" s="3"/>
    </row>
    <row r="37" spans="1:11" x14ac:dyDescent="0.2">
      <c r="A37" s="16"/>
      <c r="B37" s="1"/>
      <c r="C37" s="15"/>
      <c r="D37" s="15"/>
      <c r="E37" s="15"/>
      <c r="F37" s="15"/>
      <c r="G37" s="15"/>
      <c r="H37" s="15"/>
      <c r="I37" s="15"/>
      <c r="J37" s="3"/>
    </row>
    <row r="38" spans="1:11" s="1" customFormat="1" x14ac:dyDescent="0.2">
      <c r="A38" s="1" t="s">
        <v>30</v>
      </c>
      <c r="B38" s="5" t="s">
        <v>2</v>
      </c>
      <c r="C38" s="28">
        <v>37257</v>
      </c>
      <c r="D38" s="6">
        <v>37258</v>
      </c>
      <c r="E38" s="6">
        <v>37259</v>
      </c>
      <c r="F38" s="6">
        <v>37260</v>
      </c>
      <c r="G38" s="28">
        <v>37261</v>
      </c>
      <c r="H38" s="28">
        <v>37262</v>
      </c>
      <c r="I38" s="6">
        <v>37263</v>
      </c>
      <c r="J38" s="8"/>
      <c r="K38" s="7"/>
    </row>
    <row r="39" spans="1:11" x14ac:dyDescent="0.2">
      <c r="A39" s="17"/>
      <c r="B39" s="17" t="s">
        <v>3</v>
      </c>
      <c r="D39" s="19">
        <v>150</v>
      </c>
      <c r="E39" s="19">
        <v>150</v>
      </c>
      <c r="F39" s="19">
        <v>150</v>
      </c>
      <c r="G39" s="10"/>
      <c r="H39" s="21"/>
      <c r="I39" s="19">
        <v>150</v>
      </c>
      <c r="K39" s="4"/>
    </row>
    <row r="40" spans="1:11" x14ac:dyDescent="0.2">
      <c r="A40" s="17"/>
      <c r="B40" s="22" t="s">
        <v>4</v>
      </c>
      <c r="C40" s="3">
        <v>0</v>
      </c>
      <c r="D40" s="10">
        <v>29.6</v>
      </c>
      <c r="E40" s="10">
        <v>29.6</v>
      </c>
      <c r="F40" s="10">
        <v>29.6</v>
      </c>
      <c r="G40" s="10"/>
      <c r="H40" s="21"/>
      <c r="I40" s="10">
        <v>29.6</v>
      </c>
      <c r="K40" s="4"/>
    </row>
    <row r="41" spans="1:11" x14ac:dyDescent="0.2">
      <c r="A41" s="17"/>
      <c r="B41" s="17" t="s">
        <v>5</v>
      </c>
      <c r="D41" s="19">
        <v>150</v>
      </c>
      <c r="E41" s="19">
        <v>150</v>
      </c>
      <c r="F41" s="19">
        <v>150</v>
      </c>
      <c r="G41" s="10"/>
      <c r="H41" s="21"/>
      <c r="I41" s="19">
        <v>150</v>
      </c>
      <c r="K41" s="4"/>
    </row>
    <row r="42" spans="1:11" x14ac:dyDescent="0.2">
      <c r="A42" s="17"/>
      <c r="B42" s="22" t="s">
        <v>4</v>
      </c>
      <c r="C42" s="3">
        <v>0</v>
      </c>
      <c r="D42" s="10">
        <v>33.700000000000003</v>
      </c>
      <c r="E42" s="10">
        <v>33.700000000000003</v>
      </c>
      <c r="F42" s="10">
        <v>33.700000000000003</v>
      </c>
      <c r="G42" s="10"/>
      <c r="H42" s="21"/>
      <c r="I42" s="10">
        <v>33.700000000000003</v>
      </c>
      <c r="K42" s="4"/>
    </row>
    <row r="43" spans="1:11" x14ac:dyDescent="0.2">
      <c r="A43" s="17"/>
      <c r="B43" s="23" t="s">
        <v>6</v>
      </c>
      <c r="C43" s="4">
        <f t="shared" ref="C43:I43" si="14">C39-C41</f>
        <v>0</v>
      </c>
      <c r="D43" s="4">
        <f t="shared" si="14"/>
        <v>0</v>
      </c>
      <c r="E43" s="4">
        <f t="shared" si="14"/>
        <v>0</v>
      </c>
      <c r="F43" s="4">
        <f t="shared" si="14"/>
        <v>0</v>
      </c>
      <c r="G43" s="4">
        <f t="shared" si="14"/>
        <v>0</v>
      </c>
      <c r="H43" s="4">
        <f t="shared" si="14"/>
        <v>0</v>
      </c>
      <c r="I43" s="4">
        <f t="shared" si="14"/>
        <v>0</v>
      </c>
      <c r="K43" s="4"/>
    </row>
    <row r="44" spans="1:11" x14ac:dyDescent="0.2">
      <c r="A44" s="17"/>
      <c r="B44" s="24" t="s">
        <v>7</v>
      </c>
      <c r="C44" s="10">
        <v>22</v>
      </c>
      <c r="D44" s="29">
        <v>28</v>
      </c>
      <c r="E44" s="29">
        <v>28</v>
      </c>
      <c r="F44" s="29">
        <v>28</v>
      </c>
      <c r="G44" s="10">
        <v>22</v>
      </c>
      <c r="H44" s="10">
        <v>22</v>
      </c>
      <c r="I44" s="29">
        <v>28</v>
      </c>
      <c r="K44" s="4"/>
    </row>
    <row r="45" spans="1:11" x14ac:dyDescent="0.2">
      <c r="A45" s="17"/>
      <c r="B45" s="24"/>
      <c r="C45" s="11"/>
      <c r="D45" s="19"/>
      <c r="E45" s="19"/>
      <c r="F45" s="10"/>
      <c r="G45" s="10"/>
      <c r="H45" s="21"/>
      <c r="K45" s="4"/>
    </row>
    <row r="46" spans="1:11" x14ac:dyDescent="0.2">
      <c r="A46" s="17"/>
      <c r="B46" s="24" t="s">
        <v>8</v>
      </c>
      <c r="C46" s="12">
        <f t="shared" ref="C46:I46" si="15">(C39*C40)*(-1)</f>
        <v>0</v>
      </c>
      <c r="D46" s="12">
        <f t="shared" si="15"/>
        <v>-4440</v>
      </c>
      <c r="E46" s="12">
        <f t="shared" si="15"/>
        <v>-4440</v>
      </c>
      <c r="F46" s="12">
        <f t="shared" si="15"/>
        <v>-4440</v>
      </c>
      <c r="G46" s="12">
        <f t="shared" si="15"/>
        <v>0</v>
      </c>
      <c r="H46" s="12">
        <f t="shared" si="15"/>
        <v>0</v>
      </c>
      <c r="I46" s="12">
        <f t="shared" si="15"/>
        <v>-4440</v>
      </c>
      <c r="K46" s="4"/>
    </row>
    <row r="47" spans="1:11" x14ac:dyDescent="0.2">
      <c r="A47" s="17"/>
      <c r="B47" s="24" t="s">
        <v>9</v>
      </c>
      <c r="C47" s="11">
        <f t="shared" ref="C47:I47" si="16">C41*C42</f>
        <v>0</v>
      </c>
      <c r="D47" s="11">
        <f t="shared" si="16"/>
        <v>5055</v>
      </c>
      <c r="E47" s="11">
        <f t="shared" si="16"/>
        <v>5055</v>
      </c>
      <c r="F47" s="11">
        <f t="shared" si="16"/>
        <v>5055</v>
      </c>
      <c r="G47" s="11">
        <f t="shared" si="16"/>
        <v>0</v>
      </c>
      <c r="H47" s="11">
        <f t="shared" si="16"/>
        <v>0</v>
      </c>
      <c r="I47" s="11">
        <f t="shared" si="16"/>
        <v>5055</v>
      </c>
      <c r="K47" s="4"/>
    </row>
    <row r="48" spans="1:11" x14ac:dyDescent="0.2">
      <c r="A48" s="17"/>
      <c r="B48" s="23" t="s">
        <v>10</v>
      </c>
      <c r="C48" s="11">
        <f t="shared" ref="C48:I48" si="17">SUM(C46:C47)</f>
        <v>0</v>
      </c>
      <c r="D48" s="11">
        <f t="shared" si="17"/>
        <v>615</v>
      </c>
      <c r="E48" s="11">
        <f t="shared" si="17"/>
        <v>615</v>
      </c>
      <c r="F48" s="11">
        <f t="shared" si="17"/>
        <v>615</v>
      </c>
      <c r="G48" s="11">
        <f t="shared" si="17"/>
        <v>0</v>
      </c>
      <c r="H48" s="11">
        <f t="shared" si="17"/>
        <v>0</v>
      </c>
      <c r="I48" s="11">
        <f t="shared" si="17"/>
        <v>615</v>
      </c>
      <c r="K48" s="4"/>
    </row>
    <row r="49" spans="1:11" x14ac:dyDescent="0.2">
      <c r="A49" s="13"/>
      <c r="B49" s="19" t="s">
        <v>11</v>
      </c>
      <c r="C49" s="12">
        <f t="shared" ref="C49:I49" si="18">C43*C44</f>
        <v>0</v>
      </c>
      <c r="D49" s="12">
        <f t="shared" si="18"/>
        <v>0</v>
      </c>
      <c r="E49" s="12">
        <f t="shared" si="18"/>
        <v>0</v>
      </c>
      <c r="F49" s="12">
        <f t="shared" si="18"/>
        <v>0</v>
      </c>
      <c r="G49" s="12">
        <f t="shared" si="18"/>
        <v>0</v>
      </c>
      <c r="H49" s="12">
        <f t="shared" si="18"/>
        <v>0</v>
      </c>
      <c r="I49" s="12">
        <f t="shared" si="18"/>
        <v>0</v>
      </c>
    </row>
    <row r="50" spans="1:11" x14ac:dyDescent="0.2">
      <c r="A50" s="14"/>
      <c r="B50" s="19"/>
      <c r="E50" s="2"/>
      <c r="G50" s="2"/>
      <c r="H50" s="2"/>
      <c r="I50" s="2"/>
    </row>
    <row r="51" spans="1:11" s="1" customFormat="1" x14ac:dyDescent="0.2">
      <c r="A51" s="13"/>
      <c r="B51" s="17" t="s">
        <v>12</v>
      </c>
      <c r="C51" s="15">
        <f t="shared" ref="C51:I51" si="19">SUM(C48:C49)</f>
        <v>0</v>
      </c>
      <c r="D51" s="15">
        <f t="shared" si="19"/>
        <v>615</v>
      </c>
      <c r="E51" s="15">
        <f t="shared" si="19"/>
        <v>615</v>
      </c>
      <c r="F51" s="15">
        <f t="shared" si="19"/>
        <v>615</v>
      </c>
      <c r="G51" s="15">
        <f t="shared" si="19"/>
        <v>0</v>
      </c>
      <c r="H51" s="15">
        <f t="shared" si="19"/>
        <v>0</v>
      </c>
      <c r="I51" s="15">
        <f t="shared" si="19"/>
        <v>615</v>
      </c>
      <c r="J51" s="8"/>
    </row>
    <row r="52" spans="1:11" x14ac:dyDescent="0.2">
      <c r="A52" s="16"/>
      <c r="B52" s="17" t="s">
        <v>13</v>
      </c>
      <c r="C52" s="15">
        <f t="shared" ref="C52:I52" si="20">C51*16</f>
        <v>0</v>
      </c>
      <c r="D52" s="15">
        <f t="shared" si="20"/>
        <v>9840</v>
      </c>
      <c r="E52" s="15">
        <f t="shared" si="20"/>
        <v>9840</v>
      </c>
      <c r="F52" s="15">
        <f t="shared" si="20"/>
        <v>9840</v>
      </c>
      <c r="G52" s="15">
        <f t="shared" si="20"/>
        <v>0</v>
      </c>
      <c r="H52" s="15">
        <f t="shared" si="20"/>
        <v>0</v>
      </c>
      <c r="I52" s="15">
        <f t="shared" si="20"/>
        <v>9840</v>
      </c>
      <c r="J52" s="3">
        <f>SUM(C52:I52)</f>
        <v>39360</v>
      </c>
    </row>
    <row r="53" spans="1:11" x14ac:dyDescent="0.2">
      <c r="A53" s="16"/>
      <c r="B53" s="17"/>
      <c r="C53" s="15"/>
      <c r="D53" s="15"/>
      <c r="E53" s="15"/>
      <c r="F53" s="15"/>
      <c r="G53" s="15"/>
      <c r="H53" s="15"/>
      <c r="I53" s="15"/>
      <c r="J53" s="3"/>
    </row>
    <row r="54" spans="1:11" x14ac:dyDescent="0.2">
      <c r="A54" s="16"/>
      <c r="B54" s="17"/>
      <c r="C54" s="15"/>
      <c r="D54" s="15"/>
      <c r="E54" s="15"/>
      <c r="F54" s="15"/>
      <c r="G54" s="15"/>
      <c r="H54" s="15"/>
      <c r="I54" s="15"/>
      <c r="J54" s="3"/>
    </row>
    <row r="55" spans="1:11" s="1" customFormat="1" x14ac:dyDescent="0.2">
      <c r="A55" s="1" t="s">
        <v>31</v>
      </c>
      <c r="B55" s="5" t="s">
        <v>2</v>
      </c>
      <c r="C55" s="28">
        <v>37257</v>
      </c>
      <c r="D55" s="6">
        <v>37258</v>
      </c>
      <c r="E55" s="6">
        <v>37259</v>
      </c>
      <c r="F55" s="6">
        <v>37260</v>
      </c>
      <c r="G55" s="28">
        <v>37261</v>
      </c>
      <c r="H55" s="28">
        <v>37262</v>
      </c>
      <c r="I55" s="6">
        <v>37263</v>
      </c>
      <c r="J55" s="8"/>
      <c r="K55" s="7"/>
    </row>
    <row r="56" spans="1:11" x14ac:dyDescent="0.2">
      <c r="B56" s="1" t="s">
        <v>3</v>
      </c>
      <c r="D56" s="19">
        <v>100</v>
      </c>
      <c r="E56" s="19">
        <v>100</v>
      </c>
      <c r="F56" s="19">
        <v>100</v>
      </c>
      <c r="G56" s="10"/>
      <c r="H56" s="21"/>
      <c r="I56" s="19">
        <v>100</v>
      </c>
      <c r="K56" s="4"/>
    </row>
    <row r="57" spans="1:11" x14ac:dyDescent="0.2">
      <c r="B57" s="8" t="s">
        <v>4</v>
      </c>
      <c r="C57" s="3">
        <v>0</v>
      </c>
      <c r="D57" s="10">
        <v>40</v>
      </c>
      <c r="E57" s="10">
        <v>40</v>
      </c>
      <c r="F57" s="10">
        <v>40</v>
      </c>
      <c r="G57" s="10"/>
      <c r="H57" s="21"/>
      <c r="I57" s="10">
        <v>40</v>
      </c>
      <c r="K57" s="4"/>
    </row>
    <row r="58" spans="1:11" x14ac:dyDescent="0.2">
      <c r="B58" s="1" t="s">
        <v>5</v>
      </c>
      <c r="D58" s="19">
        <v>0</v>
      </c>
      <c r="E58" s="19">
        <v>0</v>
      </c>
      <c r="F58" s="19">
        <v>0</v>
      </c>
      <c r="G58" s="10"/>
      <c r="H58" s="21"/>
      <c r="I58" s="19">
        <v>0</v>
      </c>
      <c r="K58" s="4"/>
    </row>
    <row r="59" spans="1:11" x14ac:dyDescent="0.2">
      <c r="B59" s="8" t="s">
        <v>4</v>
      </c>
      <c r="C59" s="3">
        <v>0</v>
      </c>
      <c r="D59" s="10">
        <v>0</v>
      </c>
      <c r="E59" s="10">
        <v>0</v>
      </c>
      <c r="F59" s="10">
        <v>0</v>
      </c>
      <c r="G59" s="10"/>
      <c r="H59" s="21"/>
      <c r="I59" s="10">
        <v>0</v>
      </c>
      <c r="K59" s="4"/>
    </row>
    <row r="60" spans="1:11" x14ac:dyDescent="0.2">
      <c r="B60" s="7" t="s">
        <v>6</v>
      </c>
      <c r="C60" s="4">
        <f t="shared" ref="C60:I60" si="21">C56-C58</f>
        <v>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0</v>
      </c>
      <c r="H60" s="4">
        <f t="shared" si="21"/>
        <v>0</v>
      </c>
      <c r="I60" s="4">
        <f t="shared" si="21"/>
        <v>100</v>
      </c>
      <c r="K60" s="4"/>
    </row>
    <row r="61" spans="1:11" x14ac:dyDescent="0.2">
      <c r="B61" s="9" t="s">
        <v>7</v>
      </c>
      <c r="C61" s="10">
        <v>22</v>
      </c>
      <c r="D61" s="29">
        <v>28</v>
      </c>
      <c r="E61" s="29">
        <v>28</v>
      </c>
      <c r="F61" s="29">
        <v>28</v>
      </c>
      <c r="G61" s="10">
        <v>22</v>
      </c>
      <c r="H61" s="10">
        <v>22</v>
      </c>
      <c r="I61" s="29">
        <v>28</v>
      </c>
      <c r="K61" s="4"/>
    </row>
    <row r="62" spans="1:11" x14ac:dyDescent="0.2">
      <c r="B62" s="9"/>
      <c r="C62" s="11"/>
      <c r="D62" s="19"/>
      <c r="E62" s="19"/>
      <c r="F62" s="10"/>
      <c r="G62" s="10"/>
      <c r="H62" s="21"/>
      <c r="K62" s="4"/>
    </row>
    <row r="63" spans="1:11" x14ac:dyDescent="0.2">
      <c r="B63" s="9" t="s">
        <v>8</v>
      </c>
      <c r="C63" s="12">
        <f t="shared" ref="C63:I63" si="22">(C56*C57)*(-1)</f>
        <v>0</v>
      </c>
      <c r="D63" s="12">
        <f t="shared" si="22"/>
        <v>-4000</v>
      </c>
      <c r="E63" s="12">
        <f t="shared" si="22"/>
        <v>-4000</v>
      </c>
      <c r="F63" s="12">
        <f t="shared" si="22"/>
        <v>-4000</v>
      </c>
      <c r="G63" s="12">
        <f t="shared" si="22"/>
        <v>0</v>
      </c>
      <c r="H63" s="12">
        <f t="shared" si="22"/>
        <v>0</v>
      </c>
      <c r="I63" s="12">
        <f t="shared" si="22"/>
        <v>-4000</v>
      </c>
      <c r="K63" s="4"/>
    </row>
    <row r="64" spans="1:11" x14ac:dyDescent="0.2">
      <c r="B64" s="9" t="s">
        <v>9</v>
      </c>
      <c r="C64" s="11">
        <f t="shared" ref="C64:I64" si="23">C58*C59</f>
        <v>0</v>
      </c>
      <c r="D64" s="11">
        <f t="shared" si="23"/>
        <v>0</v>
      </c>
      <c r="E64" s="11">
        <f t="shared" si="23"/>
        <v>0</v>
      </c>
      <c r="F64" s="11">
        <f t="shared" si="23"/>
        <v>0</v>
      </c>
      <c r="G64" s="11">
        <f t="shared" si="23"/>
        <v>0</v>
      </c>
      <c r="H64" s="11">
        <f t="shared" si="23"/>
        <v>0</v>
      </c>
      <c r="I64" s="11">
        <f t="shared" si="23"/>
        <v>0</v>
      </c>
      <c r="K64" s="4"/>
    </row>
    <row r="65" spans="1:11" x14ac:dyDescent="0.2">
      <c r="B65" s="7" t="s">
        <v>10</v>
      </c>
      <c r="C65" s="11">
        <f t="shared" ref="C65:I65" si="24">SUM(C63:C64)</f>
        <v>0</v>
      </c>
      <c r="D65" s="11">
        <f t="shared" si="24"/>
        <v>-4000</v>
      </c>
      <c r="E65" s="11">
        <f t="shared" si="24"/>
        <v>-4000</v>
      </c>
      <c r="F65" s="11">
        <f t="shared" si="24"/>
        <v>-4000</v>
      </c>
      <c r="G65" s="11">
        <f t="shared" si="24"/>
        <v>0</v>
      </c>
      <c r="H65" s="11">
        <f t="shared" si="24"/>
        <v>0</v>
      </c>
      <c r="I65" s="11">
        <f t="shared" si="24"/>
        <v>-4000</v>
      </c>
      <c r="K65" s="4"/>
    </row>
    <row r="66" spans="1:11" x14ac:dyDescent="0.2">
      <c r="A66" s="13"/>
      <c r="B66" s="2" t="s">
        <v>11</v>
      </c>
      <c r="C66" s="12">
        <f t="shared" ref="C66:I66" si="25">C60*C61</f>
        <v>0</v>
      </c>
      <c r="D66" s="12">
        <f t="shared" si="25"/>
        <v>2800</v>
      </c>
      <c r="E66" s="12">
        <f t="shared" si="25"/>
        <v>2800</v>
      </c>
      <c r="F66" s="12">
        <f t="shared" si="25"/>
        <v>2800</v>
      </c>
      <c r="G66" s="12">
        <f t="shared" si="25"/>
        <v>0</v>
      </c>
      <c r="H66" s="12">
        <f t="shared" si="25"/>
        <v>0</v>
      </c>
      <c r="I66" s="12">
        <f t="shared" si="25"/>
        <v>2800</v>
      </c>
    </row>
    <row r="67" spans="1:11" x14ac:dyDescent="0.2">
      <c r="A67" s="14"/>
      <c r="E67" s="2"/>
      <c r="G67" s="2"/>
      <c r="H67" s="2"/>
      <c r="I67" s="2"/>
    </row>
    <row r="68" spans="1:11" s="1" customFormat="1" x14ac:dyDescent="0.2">
      <c r="A68" s="13"/>
      <c r="B68" s="1" t="s">
        <v>12</v>
      </c>
      <c r="C68" s="15">
        <f t="shared" ref="C68:I68" si="26">SUM(C65:C66)</f>
        <v>0</v>
      </c>
      <c r="D68" s="15">
        <f t="shared" si="26"/>
        <v>-1200</v>
      </c>
      <c r="E68" s="15">
        <f t="shared" si="26"/>
        <v>-1200</v>
      </c>
      <c r="F68" s="15">
        <f t="shared" si="26"/>
        <v>-1200</v>
      </c>
      <c r="G68" s="15">
        <f t="shared" si="26"/>
        <v>0</v>
      </c>
      <c r="H68" s="15">
        <f t="shared" si="26"/>
        <v>0</v>
      </c>
      <c r="I68" s="15">
        <f t="shared" si="26"/>
        <v>-1200</v>
      </c>
      <c r="J68" s="8"/>
    </row>
    <row r="69" spans="1:11" x14ac:dyDescent="0.2">
      <c r="A69" s="16"/>
      <c r="B69" s="1" t="s">
        <v>27</v>
      </c>
      <c r="C69" s="15">
        <f t="shared" ref="C69:I69" si="27">C68*16</f>
        <v>0</v>
      </c>
      <c r="D69" s="15">
        <f t="shared" si="27"/>
        <v>-19200</v>
      </c>
      <c r="E69" s="15">
        <f t="shared" si="27"/>
        <v>-19200</v>
      </c>
      <c r="F69" s="15">
        <f t="shared" si="27"/>
        <v>-19200</v>
      </c>
      <c r="G69" s="15">
        <f t="shared" si="27"/>
        <v>0</v>
      </c>
      <c r="H69" s="15">
        <f t="shared" si="27"/>
        <v>0</v>
      </c>
      <c r="I69" s="15">
        <f t="shared" si="27"/>
        <v>-19200</v>
      </c>
      <c r="J69" s="3">
        <f>SUM(C69:I69)</f>
        <v>-76800</v>
      </c>
    </row>
    <row r="70" spans="1:11" x14ac:dyDescent="0.2">
      <c r="A70" s="16"/>
      <c r="B70" s="1"/>
      <c r="C70" s="15"/>
      <c r="D70" s="15"/>
      <c r="E70" s="15"/>
      <c r="F70" s="15"/>
      <c r="G70" s="15"/>
      <c r="H70" s="15"/>
      <c r="I70" s="15"/>
      <c r="J70" s="3"/>
    </row>
    <row r="71" spans="1:11" x14ac:dyDescent="0.2">
      <c r="A71" s="16"/>
      <c r="B71" s="1"/>
      <c r="C71" s="15"/>
      <c r="D71" s="15"/>
      <c r="E71" s="15"/>
      <c r="F71" s="15"/>
      <c r="G71" s="15"/>
      <c r="H71" s="15"/>
      <c r="I71" s="15"/>
      <c r="J71" s="3"/>
    </row>
    <row r="72" spans="1:11" s="1" customFormat="1" x14ac:dyDescent="0.2">
      <c r="A72" s="1" t="s">
        <v>20</v>
      </c>
      <c r="B72" s="5" t="s">
        <v>2</v>
      </c>
      <c r="C72" s="28">
        <v>37257</v>
      </c>
      <c r="D72" s="6">
        <v>37258</v>
      </c>
      <c r="E72" s="6">
        <v>37259</v>
      </c>
      <c r="F72" s="6">
        <v>37260</v>
      </c>
      <c r="G72" s="28">
        <v>37261</v>
      </c>
      <c r="H72" s="28">
        <v>37262</v>
      </c>
      <c r="I72" s="6">
        <v>37263</v>
      </c>
      <c r="J72" s="8"/>
      <c r="K72" s="7"/>
    </row>
    <row r="73" spans="1:11" x14ac:dyDescent="0.2">
      <c r="B73" s="1" t="s">
        <v>3</v>
      </c>
      <c r="D73" s="19">
        <v>0</v>
      </c>
      <c r="E73" s="19">
        <v>0</v>
      </c>
      <c r="F73" s="19">
        <v>0</v>
      </c>
      <c r="G73" s="10"/>
      <c r="H73" s="21"/>
      <c r="I73" s="19">
        <v>0</v>
      </c>
      <c r="K73" s="4"/>
    </row>
    <row r="74" spans="1:11" x14ac:dyDescent="0.2">
      <c r="B74" s="8" t="s">
        <v>4</v>
      </c>
      <c r="C74" s="3">
        <v>0</v>
      </c>
      <c r="D74" s="10">
        <v>0</v>
      </c>
      <c r="E74" s="10">
        <v>0</v>
      </c>
      <c r="F74" s="10">
        <v>0</v>
      </c>
      <c r="G74" s="10"/>
      <c r="H74" s="21"/>
      <c r="I74" s="10">
        <v>0</v>
      </c>
      <c r="K74" s="4"/>
    </row>
    <row r="75" spans="1:11" x14ac:dyDescent="0.2">
      <c r="B75" s="1" t="s">
        <v>5</v>
      </c>
      <c r="D75" s="19">
        <v>300</v>
      </c>
      <c r="E75" s="19">
        <v>300</v>
      </c>
      <c r="F75" s="19">
        <v>300</v>
      </c>
      <c r="G75" s="10"/>
      <c r="H75" s="21"/>
      <c r="I75" s="19">
        <v>300</v>
      </c>
      <c r="K75" s="4"/>
    </row>
    <row r="76" spans="1:11" x14ac:dyDescent="0.2">
      <c r="B76" s="8" t="s">
        <v>4</v>
      </c>
      <c r="C76" s="3">
        <v>0</v>
      </c>
      <c r="D76" s="10">
        <v>48.6</v>
      </c>
      <c r="E76" s="10">
        <v>48.6</v>
      </c>
      <c r="F76" s="10">
        <v>48.6</v>
      </c>
      <c r="G76" s="10"/>
      <c r="H76" s="21"/>
      <c r="I76" s="10">
        <v>48.6</v>
      </c>
      <c r="K76" s="4"/>
    </row>
    <row r="77" spans="1:11" x14ac:dyDescent="0.2">
      <c r="B77" s="7" t="s">
        <v>6</v>
      </c>
      <c r="C77" s="4">
        <f>C73-C75</f>
        <v>0</v>
      </c>
      <c r="D77" s="4">
        <f t="shared" ref="D77:I77" si="28">D73-D75</f>
        <v>-300</v>
      </c>
      <c r="E77" s="4">
        <f t="shared" si="28"/>
        <v>-300</v>
      </c>
      <c r="F77" s="4">
        <f t="shared" si="28"/>
        <v>-300</v>
      </c>
      <c r="G77" s="4">
        <f t="shared" si="28"/>
        <v>0</v>
      </c>
      <c r="H77" s="4">
        <f t="shared" si="28"/>
        <v>0</v>
      </c>
      <c r="I77" s="4">
        <f t="shared" si="28"/>
        <v>-300</v>
      </c>
      <c r="K77" s="4"/>
    </row>
    <row r="78" spans="1:11" x14ac:dyDescent="0.2">
      <c r="B78" s="9" t="s">
        <v>7</v>
      </c>
      <c r="C78" s="10">
        <v>22</v>
      </c>
      <c r="D78" s="29">
        <v>28</v>
      </c>
      <c r="E78" s="29">
        <v>28</v>
      </c>
      <c r="F78" s="29">
        <v>28</v>
      </c>
      <c r="G78" s="10">
        <v>22</v>
      </c>
      <c r="H78" s="10">
        <v>22</v>
      </c>
      <c r="I78" s="29">
        <v>28</v>
      </c>
      <c r="K78" s="4"/>
    </row>
    <row r="79" spans="1:11" x14ac:dyDescent="0.2">
      <c r="B79" s="9"/>
      <c r="C79" s="11"/>
      <c r="D79" s="19"/>
      <c r="E79" s="19"/>
      <c r="F79" s="10"/>
      <c r="G79" s="10"/>
      <c r="H79" s="21"/>
      <c r="K79" s="4"/>
    </row>
    <row r="80" spans="1:11" x14ac:dyDescent="0.2">
      <c r="B80" s="9" t="s">
        <v>8</v>
      </c>
      <c r="C80" s="12">
        <f t="shared" ref="C80:I80" si="29">(C73*C74)*(-1)</f>
        <v>0</v>
      </c>
      <c r="D80" s="12">
        <f t="shared" si="29"/>
        <v>0</v>
      </c>
      <c r="E80" s="12">
        <f t="shared" si="29"/>
        <v>0</v>
      </c>
      <c r="F80" s="12">
        <f t="shared" si="29"/>
        <v>0</v>
      </c>
      <c r="G80" s="12">
        <f t="shared" si="29"/>
        <v>0</v>
      </c>
      <c r="H80" s="12">
        <f t="shared" si="29"/>
        <v>0</v>
      </c>
      <c r="I80" s="12">
        <f t="shared" si="29"/>
        <v>0</v>
      </c>
      <c r="K80" s="4"/>
    </row>
    <row r="81" spans="1:11" x14ac:dyDescent="0.2">
      <c r="B81" s="9" t="s">
        <v>9</v>
      </c>
      <c r="C81" s="11">
        <f t="shared" ref="C81:I81" si="30">C75*C76</f>
        <v>0</v>
      </c>
      <c r="D81" s="11">
        <f t="shared" si="30"/>
        <v>14580</v>
      </c>
      <c r="E81" s="11">
        <f t="shared" si="30"/>
        <v>14580</v>
      </c>
      <c r="F81" s="11">
        <f t="shared" si="30"/>
        <v>14580</v>
      </c>
      <c r="G81" s="11">
        <f t="shared" si="30"/>
        <v>0</v>
      </c>
      <c r="H81" s="11">
        <f t="shared" si="30"/>
        <v>0</v>
      </c>
      <c r="I81" s="11">
        <f t="shared" si="30"/>
        <v>14580</v>
      </c>
      <c r="K81" s="4"/>
    </row>
    <row r="82" spans="1:11" x14ac:dyDescent="0.2">
      <c r="B82" s="7" t="s">
        <v>10</v>
      </c>
      <c r="C82" s="11">
        <f t="shared" ref="C82:I82" si="31">SUM(C80:C81)</f>
        <v>0</v>
      </c>
      <c r="D82" s="11">
        <f t="shared" si="31"/>
        <v>14580</v>
      </c>
      <c r="E82" s="11">
        <f t="shared" si="31"/>
        <v>14580</v>
      </c>
      <c r="F82" s="11">
        <f t="shared" si="31"/>
        <v>14580</v>
      </c>
      <c r="G82" s="11">
        <f t="shared" si="31"/>
        <v>0</v>
      </c>
      <c r="H82" s="11">
        <f t="shared" si="31"/>
        <v>0</v>
      </c>
      <c r="I82" s="11">
        <f t="shared" si="31"/>
        <v>14580</v>
      </c>
      <c r="K82" s="4"/>
    </row>
    <row r="83" spans="1:11" x14ac:dyDescent="0.2">
      <c r="A83" s="13"/>
      <c r="B83" s="2" t="s">
        <v>11</v>
      </c>
      <c r="C83" s="12">
        <f t="shared" ref="C83:I83" si="32">C77*C78</f>
        <v>0</v>
      </c>
      <c r="D83" s="12">
        <f t="shared" si="32"/>
        <v>-8400</v>
      </c>
      <c r="E83" s="12">
        <f t="shared" si="32"/>
        <v>-8400</v>
      </c>
      <c r="F83" s="12">
        <f t="shared" si="32"/>
        <v>-8400</v>
      </c>
      <c r="G83" s="12">
        <f t="shared" si="32"/>
        <v>0</v>
      </c>
      <c r="H83" s="12">
        <f t="shared" si="32"/>
        <v>0</v>
      </c>
      <c r="I83" s="12">
        <f t="shared" si="32"/>
        <v>-8400</v>
      </c>
    </row>
    <row r="84" spans="1:11" x14ac:dyDescent="0.2">
      <c r="A84" s="14"/>
      <c r="E84" s="2"/>
      <c r="G84" s="2"/>
      <c r="H84" s="2"/>
      <c r="I84" s="2"/>
    </row>
    <row r="85" spans="1:11" s="1" customFormat="1" x14ac:dyDescent="0.2">
      <c r="A85" s="13"/>
      <c r="B85" s="1" t="s">
        <v>12</v>
      </c>
      <c r="C85" s="15">
        <f t="shared" ref="C85:I85" si="33">SUM(C82:C83)</f>
        <v>0</v>
      </c>
      <c r="D85" s="15">
        <f t="shared" si="33"/>
        <v>6180</v>
      </c>
      <c r="E85" s="15">
        <f t="shared" si="33"/>
        <v>6180</v>
      </c>
      <c r="F85" s="15">
        <f t="shared" si="33"/>
        <v>6180</v>
      </c>
      <c r="G85" s="15">
        <f t="shared" si="33"/>
        <v>0</v>
      </c>
      <c r="H85" s="15">
        <f t="shared" si="33"/>
        <v>0</v>
      </c>
      <c r="I85" s="15">
        <f t="shared" si="33"/>
        <v>6180</v>
      </c>
      <c r="J85" s="8"/>
    </row>
    <row r="86" spans="1:11" x14ac:dyDescent="0.2">
      <c r="A86" s="16"/>
      <c r="B86" s="1" t="s">
        <v>13</v>
      </c>
      <c r="C86" s="15">
        <f t="shared" ref="C86:I86" si="34">C85*16</f>
        <v>0</v>
      </c>
      <c r="D86" s="15">
        <f t="shared" si="34"/>
        <v>98880</v>
      </c>
      <c r="E86" s="15">
        <f t="shared" si="34"/>
        <v>98880</v>
      </c>
      <c r="F86" s="15">
        <f t="shared" si="34"/>
        <v>98880</v>
      </c>
      <c r="G86" s="15">
        <f t="shared" si="34"/>
        <v>0</v>
      </c>
      <c r="H86" s="15">
        <f t="shared" si="34"/>
        <v>0</v>
      </c>
      <c r="I86" s="15">
        <f t="shared" si="34"/>
        <v>98880</v>
      </c>
      <c r="J86" s="3">
        <f>SUM(C86:I86)</f>
        <v>395520</v>
      </c>
    </row>
    <row r="87" spans="1:11" x14ac:dyDescent="0.2">
      <c r="A87" s="16"/>
      <c r="B87" s="1"/>
      <c r="C87" s="15"/>
      <c r="D87" s="15"/>
      <c r="E87" s="15"/>
      <c r="F87" s="15"/>
      <c r="G87" s="15"/>
      <c r="H87" s="15"/>
      <c r="I87" s="15"/>
      <c r="J87" s="3"/>
    </row>
    <row r="88" spans="1:11" x14ac:dyDescent="0.2">
      <c r="A88" s="16"/>
      <c r="B88" s="1"/>
      <c r="C88" s="15"/>
      <c r="D88" s="15"/>
      <c r="E88" s="15"/>
      <c r="F88" s="15"/>
      <c r="G88" s="15"/>
      <c r="H88" s="15"/>
      <c r="I88" s="15"/>
      <c r="J88" s="3"/>
    </row>
    <row r="89" spans="1:11" s="1" customFormat="1" x14ac:dyDescent="0.2">
      <c r="A89" s="1" t="s">
        <v>21</v>
      </c>
      <c r="B89" s="5" t="s">
        <v>2</v>
      </c>
      <c r="C89" s="28">
        <v>37257</v>
      </c>
      <c r="D89" s="6">
        <v>37258</v>
      </c>
      <c r="E89" s="6">
        <v>37259</v>
      </c>
      <c r="F89" s="6">
        <v>37260</v>
      </c>
      <c r="G89" s="28">
        <v>37261</v>
      </c>
      <c r="H89" s="28">
        <v>37262</v>
      </c>
      <c r="I89" s="6">
        <v>37263</v>
      </c>
      <c r="J89" s="8"/>
      <c r="K89" s="7"/>
    </row>
    <row r="90" spans="1:11" x14ac:dyDescent="0.2">
      <c r="B90" s="1" t="s">
        <v>3</v>
      </c>
      <c r="D90" s="19">
        <v>100</v>
      </c>
      <c r="E90" s="19">
        <v>100</v>
      </c>
      <c r="F90" s="19">
        <v>100</v>
      </c>
      <c r="G90" s="10"/>
      <c r="H90" s="21"/>
      <c r="I90" s="19">
        <v>100</v>
      </c>
      <c r="K90" s="4"/>
    </row>
    <row r="91" spans="1:11" x14ac:dyDescent="0.2">
      <c r="B91" s="8" t="s">
        <v>4</v>
      </c>
      <c r="C91" s="3">
        <v>0</v>
      </c>
      <c r="D91" s="10">
        <v>37.549999999999997</v>
      </c>
      <c r="E91" s="10">
        <v>37.549999999999997</v>
      </c>
      <c r="F91" s="10">
        <v>37.549999999999997</v>
      </c>
      <c r="G91" s="10"/>
      <c r="H91" s="21"/>
      <c r="I91" s="10">
        <v>37.549999999999997</v>
      </c>
      <c r="K91" s="4"/>
    </row>
    <row r="92" spans="1:11" x14ac:dyDescent="0.2">
      <c r="B92" s="1" t="s">
        <v>5</v>
      </c>
      <c r="D92" s="19">
        <v>100</v>
      </c>
      <c r="E92" s="19">
        <v>100</v>
      </c>
      <c r="F92" s="19">
        <v>100</v>
      </c>
      <c r="G92" s="10"/>
      <c r="H92" s="21"/>
      <c r="I92" s="19">
        <v>100</v>
      </c>
      <c r="K92" s="4"/>
    </row>
    <row r="93" spans="1:11" x14ac:dyDescent="0.2">
      <c r="B93" s="8" t="s">
        <v>4</v>
      </c>
      <c r="C93" s="3">
        <v>0</v>
      </c>
      <c r="D93" s="10">
        <v>39.979999999999997</v>
      </c>
      <c r="E93" s="10">
        <v>39.979999999999997</v>
      </c>
      <c r="F93" s="10">
        <v>39.979999999999997</v>
      </c>
      <c r="G93" s="10"/>
      <c r="H93" s="21"/>
      <c r="I93" s="10">
        <v>39.979999999999997</v>
      </c>
      <c r="K93" s="4"/>
    </row>
    <row r="94" spans="1:11" x14ac:dyDescent="0.2">
      <c r="B94" s="7" t="s">
        <v>6</v>
      </c>
      <c r="C94" s="4">
        <f>C90-C92</f>
        <v>0</v>
      </c>
      <c r="D94" s="21"/>
      <c r="E94" s="21">
        <f>E90-E92</f>
        <v>0</v>
      </c>
      <c r="F94" s="21">
        <f>F90-F92</f>
        <v>0</v>
      </c>
      <c r="G94" s="10"/>
      <c r="H94" s="21"/>
      <c r="I94" s="4">
        <f>I90-I92</f>
        <v>0</v>
      </c>
      <c r="K94" s="4"/>
    </row>
    <row r="95" spans="1:11" x14ac:dyDescent="0.2">
      <c r="B95" s="9" t="s">
        <v>7</v>
      </c>
      <c r="C95" s="10">
        <v>22</v>
      </c>
      <c r="D95" s="29">
        <v>28</v>
      </c>
      <c r="E95" s="29">
        <v>28</v>
      </c>
      <c r="F95" s="29">
        <v>28</v>
      </c>
      <c r="G95" s="10">
        <v>22</v>
      </c>
      <c r="H95" s="10">
        <v>22</v>
      </c>
      <c r="I95" s="29">
        <v>28</v>
      </c>
      <c r="K95" s="4"/>
    </row>
    <row r="96" spans="1:11" x14ac:dyDescent="0.2">
      <c r="B96" s="9"/>
      <c r="C96" s="11"/>
      <c r="D96" s="19"/>
      <c r="E96" s="19"/>
      <c r="F96" s="10"/>
      <c r="G96" s="10"/>
      <c r="H96" s="21"/>
      <c r="K96" s="4"/>
    </row>
    <row r="97" spans="1:11" x14ac:dyDescent="0.2">
      <c r="B97" s="9" t="s">
        <v>8</v>
      </c>
      <c r="C97" s="12">
        <f t="shared" ref="C97:I97" si="35">(C90*C91)*(-1)</f>
        <v>0</v>
      </c>
      <c r="D97" s="12">
        <f t="shared" si="35"/>
        <v>-3754.9999999999995</v>
      </c>
      <c r="E97" s="12">
        <f t="shared" si="35"/>
        <v>-3754.9999999999995</v>
      </c>
      <c r="F97" s="12">
        <f t="shared" si="35"/>
        <v>-3754.9999999999995</v>
      </c>
      <c r="G97" s="12">
        <f t="shared" si="35"/>
        <v>0</v>
      </c>
      <c r="H97" s="12">
        <f t="shared" si="35"/>
        <v>0</v>
      </c>
      <c r="I97" s="12">
        <f t="shared" si="35"/>
        <v>-3754.9999999999995</v>
      </c>
      <c r="K97" s="4"/>
    </row>
    <row r="98" spans="1:11" x14ac:dyDescent="0.2">
      <c r="B98" s="9" t="s">
        <v>9</v>
      </c>
      <c r="C98" s="11">
        <f t="shared" ref="C98:I98" si="36">C92*C93</f>
        <v>0</v>
      </c>
      <c r="D98" s="11">
        <f t="shared" si="36"/>
        <v>3997.9999999999995</v>
      </c>
      <c r="E98" s="11">
        <f t="shared" si="36"/>
        <v>3997.9999999999995</v>
      </c>
      <c r="F98" s="11">
        <f t="shared" si="36"/>
        <v>3997.9999999999995</v>
      </c>
      <c r="G98" s="11">
        <f t="shared" si="36"/>
        <v>0</v>
      </c>
      <c r="H98" s="11">
        <f t="shared" si="36"/>
        <v>0</v>
      </c>
      <c r="I98" s="11">
        <f t="shared" si="36"/>
        <v>3997.9999999999995</v>
      </c>
      <c r="K98" s="4"/>
    </row>
    <row r="99" spans="1:11" x14ac:dyDescent="0.2">
      <c r="B99" s="7" t="s">
        <v>10</v>
      </c>
      <c r="C99" s="11">
        <f t="shared" ref="C99:I99" si="37">SUM(C97:C98)</f>
        <v>0</v>
      </c>
      <c r="D99" s="11">
        <f t="shared" si="37"/>
        <v>243</v>
      </c>
      <c r="E99" s="11">
        <f t="shared" si="37"/>
        <v>243</v>
      </c>
      <c r="F99" s="11">
        <f t="shared" si="37"/>
        <v>243</v>
      </c>
      <c r="G99" s="11">
        <f t="shared" si="37"/>
        <v>0</v>
      </c>
      <c r="H99" s="11">
        <f t="shared" si="37"/>
        <v>0</v>
      </c>
      <c r="I99" s="11">
        <f t="shared" si="37"/>
        <v>243</v>
      </c>
      <c r="K99" s="4"/>
    </row>
    <row r="100" spans="1:11" x14ac:dyDescent="0.2">
      <c r="A100" s="13"/>
      <c r="B100" s="2" t="s">
        <v>11</v>
      </c>
      <c r="C100" s="12">
        <f t="shared" ref="C100:I100" si="38">C94*C95</f>
        <v>0</v>
      </c>
      <c r="D100" s="12">
        <f t="shared" si="38"/>
        <v>0</v>
      </c>
      <c r="E100" s="12">
        <f t="shared" si="38"/>
        <v>0</v>
      </c>
      <c r="F100" s="12">
        <f t="shared" si="38"/>
        <v>0</v>
      </c>
      <c r="G100" s="12">
        <f t="shared" si="38"/>
        <v>0</v>
      </c>
      <c r="H100" s="12">
        <f t="shared" si="38"/>
        <v>0</v>
      </c>
      <c r="I100" s="12">
        <f t="shared" si="38"/>
        <v>0</v>
      </c>
    </row>
    <row r="101" spans="1:11" x14ac:dyDescent="0.2">
      <c r="A101" s="14"/>
      <c r="E101" s="2"/>
      <c r="G101" s="2"/>
      <c r="H101" s="2"/>
      <c r="I101" s="2"/>
    </row>
    <row r="102" spans="1:11" s="1" customFormat="1" x14ac:dyDescent="0.2">
      <c r="A102" s="13"/>
      <c r="B102" s="1" t="s">
        <v>12</v>
      </c>
      <c r="C102" s="15">
        <f t="shared" ref="C102:I102" si="39">SUM(C99:C100)</f>
        <v>0</v>
      </c>
      <c r="D102" s="15">
        <f t="shared" si="39"/>
        <v>243</v>
      </c>
      <c r="E102" s="15">
        <f t="shared" si="39"/>
        <v>243</v>
      </c>
      <c r="F102" s="15">
        <f t="shared" si="39"/>
        <v>243</v>
      </c>
      <c r="G102" s="15">
        <f t="shared" si="39"/>
        <v>0</v>
      </c>
      <c r="H102" s="15">
        <f t="shared" si="39"/>
        <v>0</v>
      </c>
      <c r="I102" s="15">
        <f t="shared" si="39"/>
        <v>243</v>
      </c>
      <c r="J102" s="8"/>
    </row>
    <row r="103" spans="1:11" x14ac:dyDescent="0.2">
      <c r="A103" s="16"/>
      <c r="B103" s="1" t="s">
        <v>13</v>
      </c>
      <c r="C103" s="15">
        <f t="shared" ref="C103:I103" si="40">C102*16</f>
        <v>0</v>
      </c>
      <c r="D103" s="15">
        <f t="shared" si="40"/>
        <v>3888</v>
      </c>
      <c r="E103" s="15">
        <f t="shared" si="40"/>
        <v>3888</v>
      </c>
      <c r="F103" s="15">
        <f t="shared" si="40"/>
        <v>3888</v>
      </c>
      <c r="G103" s="15">
        <f t="shared" si="40"/>
        <v>0</v>
      </c>
      <c r="H103" s="15">
        <f t="shared" si="40"/>
        <v>0</v>
      </c>
      <c r="I103" s="15">
        <f t="shared" si="40"/>
        <v>3888</v>
      </c>
      <c r="J103" s="3">
        <f>SUM(C103:I103)</f>
        <v>15552</v>
      </c>
    </row>
    <row r="104" spans="1:11" x14ac:dyDescent="0.2">
      <c r="A104" s="16"/>
      <c r="B104" s="1"/>
      <c r="C104" s="15"/>
      <c r="D104" s="15"/>
      <c r="E104" s="15"/>
      <c r="F104" s="15"/>
      <c r="G104" s="15"/>
      <c r="H104" s="15"/>
      <c r="I104" s="15"/>
      <c r="J104" s="3"/>
    </row>
    <row r="105" spans="1:11" x14ac:dyDescent="0.2">
      <c r="A105" s="16"/>
      <c r="B105" s="1"/>
      <c r="C105" s="15"/>
      <c r="D105" s="15"/>
      <c r="E105" s="15"/>
      <c r="F105" s="15"/>
      <c r="G105" s="15"/>
      <c r="H105" s="15"/>
      <c r="I105" s="15"/>
      <c r="J105" s="3"/>
    </row>
    <row r="106" spans="1:11" s="1" customFormat="1" x14ac:dyDescent="0.2">
      <c r="A106" s="1" t="s">
        <v>43</v>
      </c>
      <c r="B106" s="5" t="s">
        <v>2</v>
      </c>
      <c r="C106" s="28">
        <v>37257</v>
      </c>
      <c r="D106" s="6">
        <v>37258</v>
      </c>
      <c r="E106" s="6">
        <v>37259</v>
      </c>
      <c r="F106" s="6">
        <v>37260</v>
      </c>
      <c r="G106" s="28">
        <v>37261</v>
      </c>
      <c r="H106" s="28">
        <v>37262</v>
      </c>
      <c r="I106" s="6">
        <v>37263</v>
      </c>
      <c r="J106" s="8"/>
      <c r="K106" s="7"/>
    </row>
    <row r="107" spans="1:11" x14ac:dyDescent="0.2">
      <c r="B107" s="1" t="s">
        <v>3</v>
      </c>
      <c r="C107" s="2">
        <v>50</v>
      </c>
      <c r="D107" s="19">
        <v>600</v>
      </c>
      <c r="E107" s="19">
        <v>600</v>
      </c>
      <c r="F107" s="19">
        <v>600</v>
      </c>
      <c r="G107" s="2">
        <v>50</v>
      </c>
      <c r="H107" s="2">
        <v>50</v>
      </c>
      <c r="I107" s="19">
        <v>600</v>
      </c>
      <c r="K107" s="4"/>
    </row>
    <row r="108" spans="1:11" x14ac:dyDescent="0.2">
      <c r="B108" s="8" t="s">
        <v>4</v>
      </c>
      <c r="C108" s="3">
        <v>24</v>
      </c>
      <c r="D108" s="10">
        <v>39.43</v>
      </c>
      <c r="E108" s="10">
        <v>39.43</v>
      </c>
      <c r="F108" s="10">
        <v>39.43</v>
      </c>
      <c r="G108" s="3">
        <v>24</v>
      </c>
      <c r="H108" s="3">
        <v>24</v>
      </c>
      <c r="I108" s="10">
        <v>39.43</v>
      </c>
      <c r="K108" s="4"/>
    </row>
    <row r="109" spans="1:11" x14ac:dyDescent="0.2">
      <c r="B109" s="1" t="s">
        <v>5</v>
      </c>
      <c r="C109" s="2">
        <v>0</v>
      </c>
      <c r="D109" s="19">
        <v>250</v>
      </c>
      <c r="E109" s="19">
        <v>250</v>
      </c>
      <c r="F109" s="19">
        <v>250</v>
      </c>
      <c r="G109" s="19">
        <v>0</v>
      </c>
      <c r="H109" s="19">
        <v>0</v>
      </c>
      <c r="I109" s="19">
        <v>250</v>
      </c>
      <c r="K109" s="4"/>
    </row>
    <row r="110" spans="1:11" x14ac:dyDescent="0.2">
      <c r="B110" s="8" t="s">
        <v>4</v>
      </c>
      <c r="C110" s="3">
        <v>0</v>
      </c>
      <c r="D110" s="10">
        <v>41.79</v>
      </c>
      <c r="E110" s="10">
        <v>41.79</v>
      </c>
      <c r="F110" s="10">
        <v>41.79</v>
      </c>
      <c r="G110" s="3">
        <v>0</v>
      </c>
      <c r="H110" s="3">
        <v>0</v>
      </c>
      <c r="I110" s="10">
        <v>41.79</v>
      </c>
      <c r="K110" s="4"/>
    </row>
    <row r="111" spans="1:11" x14ac:dyDescent="0.2">
      <c r="B111" s="7" t="s">
        <v>6</v>
      </c>
      <c r="C111" s="4">
        <f t="shared" ref="C111:I111" si="41">C107-C109</f>
        <v>50</v>
      </c>
      <c r="D111" s="4">
        <f t="shared" si="41"/>
        <v>350</v>
      </c>
      <c r="E111" s="4">
        <f t="shared" si="41"/>
        <v>350</v>
      </c>
      <c r="F111" s="4">
        <f t="shared" si="41"/>
        <v>350</v>
      </c>
      <c r="G111" s="4">
        <f t="shared" si="41"/>
        <v>50</v>
      </c>
      <c r="H111" s="4">
        <f t="shared" si="41"/>
        <v>50</v>
      </c>
      <c r="I111" s="4">
        <f t="shared" si="41"/>
        <v>350</v>
      </c>
      <c r="K111" s="4"/>
    </row>
    <row r="112" spans="1:11" x14ac:dyDescent="0.2">
      <c r="B112" s="9" t="s">
        <v>7</v>
      </c>
      <c r="C112" s="10">
        <v>22</v>
      </c>
      <c r="D112" s="29">
        <v>28</v>
      </c>
      <c r="E112" s="29">
        <v>28</v>
      </c>
      <c r="F112" s="29">
        <v>28</v>
      </c>
      <c r="G112" s="10">
        <v>22</v>
      </c>
      <c r="H112" s="10">
        <v>22</v>
      </c>
      <c r="I112" s="29">
        <v>28</v>
      </c>
      <c r="K112" s="4"/>
    </row>
    <row r="113" spans="1:11" x14ac:dyDescent="0.2">
      <c r="B113" s="9"/>
      <c r="C113" s="11"/>
      <c r="D113" s="19"/>
      <c r="E113" s="19"/>
      <c r="F113" s="19"/>
      <c r="G113" s="19"/>
      <c r="H113" s="19"/>
      <c r="I113" s="19"/>
      <c r="K113" s="4"/>
    </row>
    <row r="114" spans="1:11" x14ac:dyDescent="0.2">
      <c r="B114" s="9" t="s">
        <v>8</v>
      </c>
      <c r="C114" s="12">
        <f t="shared" ref="C114:I114" si="42">(C107*C108)*(-1)</f>
        <v>-1200</v>
      </c>
      <c r="D114" s="12">
        <f t="shared" si="42"/>
        <v>-23658</v>
      </c>
      <c r="E114" s="12">
        <f t="shared" si="42"/>
        <v>-23658</v>
      </c>
      <c r="F114" s="12">
        <f t="shared" si="42"/>
        <v>-23658</v>
      </c>
      <c r="G114" s="12">
        <f t="shared" si="42"/>
        <v>-1200</v>
      </c>
      <c r="H114" s="12">
        <f t="shared" si="42"/>
        <v>-1200</v>
      </c>
      <c r="I114" s="12">
        <f t="shared" si="42"/>
        <v>-23658</v>
      </c>
      <c r="K114" s="4"/>
    </row>
    <row r="115" spans="1:11" x14ac:dyDescent="0.2">
      <c r="B115" s="9" t="s">
        <v>9</v>
      </c>
      <c r="C115" s="11">
        <f t="shared" ref="C115:I115" si="43">C109*C110</f>
        <v>0</v>
      </c>
      <c r="D115" s="11">
        <f t="shared" si="43"/>
        <v>10447.5</v>
      </c>
      <c r="E115" s="11">
        <f t="shared" si="43"/>
        <v>10447.5</v>
      </c>
      <c r="F115" s="11">
        <f t="shared" si="43"/>
        <v>10447.5</v>
      </c>
      <c r="G115" s="11">
        <f t="shared" si="43"/>
        <v>0</v>
      </c>
      <c r="H115" s="11">
        <f t="shared" si="43"/>
        <v>0</v>
      </c>
      <c r="I115" s="11">
        <f t="shared" si="43"/>
        <v>10447.5</v>
      </c>
      <c r="K115" s="4"/>
    </row>
    <row r="116" spans="1:11" x14ac:dyDescent="0.2">
      <c r="B116" s="7" t="s">
        <v>10</v>
      </c>
      <c r="C116" s="11">
        <f t="shared" ref="C116:I116" si="44">SUM(C114:C115)</f>
        <v>-1200</v>
      </c>
      <c r="D116" s="11">
        <f t="shared" si="44"/>
        <v>-13210.5</v>
      </c>
      <c r="E116" s="11">
        <f t="shared" si="44"/>
        <v>-13210.5</v>
      </c>
      <c r="F116" s="11">
        <f t="shared" si="44"/>
        <v>-13210.5</v>
      </c>
      <c r="G116" s="11">
        <f t="shared" si="44"/>
        <v>-1200</v>
      </c>
      <c r="H116" s="11">
        <f t="shared" si="44"/>
        <v>-1200</v>
      </c>
      <c r="I116" s="11">
        <f t="shared" si="44"/>
        <v>-13210.5</v>
      </c>
      <c r="K116" s="4"/>
    </row>
    <row r="117" spans="1:11" x14ac:dyDescent="0.2">
      <c r="A117" s="13"/>
      <c r="B117" s="2" t="s">
        <v>11</v>
      </c>
      <c r="C117" s="12">
        <f t="shared" ref="C117:I117" si="45">C111*C112</f>
        <v>1100</v>
      </c>
      <c r="D117" s="12">
        <f t="shared" si="45"/>
        <v>9800</v>
      </c>
      <c r="E117" s="12">
        <f t="shared" si="45"/>
        <v>9800</v>
      </c>
      <c r="F117" s="12">
        <f t="shared" si="45"/>
        <v>9800</v>
      </c>
      <c r="G117" s="12">
        <f t="shared" si="45"/>
        <v>1100</v>
      </c>
      <c r="H117" s="12">
        <f t="shared" si="45"/>
        <v>1100</v>
      </c>
      <c r="I117" s="12">
        <f t="shared" si="45"/>
        <v>9800</v>
      </c>
    </row>
    <row r="118" spans="1:11" x14ac:dyDescent="0.2">
      <c r="A118" s="14"/>
      <c r="E118" s="2"/>
      <c r="G118" s="2"/>
      <c r="H118" s="2"/>
      <c r="I118" s="2"/>
    </row>
    <row r="119" spans="1:11" s="1" customFormat="1" x14ac:dyDescent="0.2">
      <c r="A119" s="13"/>
      <c r="B119" s="1" t="s">
        <v>12</v>
      </c>
      <c r="C119" s="15">
        <f t="shared" ref="C119:I119" si="46">SUM(C116:C117)</f>
        <v>-100</v>
      </c>
      <c r="D119" s="15">
        <f t="shared" si="46"/>
        <v>-3410.5</v>
      </c>
      <c r="E119" s="15">
        <f t="shared" si="46"/>
        <v>-3410.5</v>
      </c>
      <c r="F119" s="15">
        <f t="shared" si="46"/>
        <v>-3410.5</v>
      </c>
      <c r="G119" s="15">
        <f t="shared" si="46"/>
        <v>-100</v>
      </c>
      <c r="H119" s="15">
        <f t="shared" si="46"/>
        <v>-100</v>
      </c>
      <c r="I119" s="15">
        <f t="shared" si="46"/>
        <v>-3410.5</v>
      </c>
      <c r="J119" s="8"/>
    </row>
    <row r="120" spans="1:11" x14ac:dyDescent="0.2">
      <c r="A120" s="16"/>
      <c r="B120" s="1" t="s">
        <v>27</v>
      </c>
      <c r="C120" s="15">
        <f t="shared" ref="C120:I120" si="47">C119*16</f>
        <v>-1600</v>
      </c>
      <c r="D120" s="15">
        <f t="shared" si="47"/>
        <v>-54568</v>
      </c>
      <c r="E120" s="15">
        <f t="shared" si="47"/>
        <v>-54568</v>
      </c>
      <c r="F120" s="15">
        <f t="shared" si="47"/>
        <v>-54568</v>
      </c>
      <c r="G120" s="15">
        <f t="shared" si="47"/>
        <v>-1600</v>
      </c>
      <c r="H120" s="15">
        <f t="shared" si="47"/>
        <v>-1600</v>
      </c>
      <c r="I120" s="15">
        <f t="shared" si="47"/>
        <v>-54568</v>
      </c>
      <c r="J120" s="3">
        <f>SUM(C120:I120)</f>
        <v>-223072</v>
      </c>
    </row>
    <row r="121" spans="1:11" x14ac:dyDescent="0.2">
      <c r="A121" s="16"/>
      <c r="B121" s="1"/>
      <c r="C121" s="15"/>
      <c r="D121" s="15"/>
      <c r="E121" s="15"/>
      <c r="F121" s="15"/>
      <c r="G121" s="15"/>
      <c r="H121" s="15"/>
      <c r="I121" s="15"/>
      <c r="J121" s="3"/>
    </row>
    <row r="122" spans="1:11" x14ac:dyDescent="0.2">
      <c r="A122" s="16"/>
      <c r="B122" s="1"/>
      <c r="C122" s="15"/>
      <c r="D122" s="15"/>
      <c r="E122" s="15"/>
      <c r="F122" s="15"/>
      <c r="G122" s="15"/>
      <c r="H122" s="15"/>
      <c r="I122" s="15"/>
      <c r="J122" s="3"/>
    </row>
    <row r="123" spans="1:11" x14ac:dyDescent="0.2">
      <c r="A123" s="16"/>
      <c r="B123" s="1"/>
      <c r="C123" s="15"/>
      <c r="D123" s="15"/>
      <c r="E123" s="15"/>
      <c r="F123" s="15"/>
      <c r="G123" s="15"/>
      <c r="H123" s="15"/>
      <c r="I123" s="15"/>
      <c r="J123" s="3"/>
    </row>
    <row r="124" spans="1:11" x14ac:dyDescent="0.2">
      <c r="A124" s="16"/>
      <c r="B124" s="1" t="s">
        <v>51</v>
      </c>
      <c r="C124" s="30">
        <f>SUM(C9,C26,C43,C60,C77,C94,C111)</f>
        <v>50</v>
      </c>
      <c r="D124" s="30">
        <f t="shared" ref="D124:I124" si="48">SUM(D9,D26,D43,D60,D77,D94,D111)</f>
        <v>300</v>
      </c>
      <c r="E124" s="30">
        <f t="shared" si="48"/>
        <v>300</v>
      </c>
      <c r="F124" s="30">
        <f t="shared" si="48"/>
        <v>300</v>
      </c>
      <c r="G124" s="30">
        <f t="shared" si="48"/>
        <v>50</v>
      </c>
      <c r="H124" s="30">
        <f t="shared" si="48"/>
        <v>50</v>
      </c>
      <c r="I124" s="30">
        <f t="shared" si="48"/>
        <v>300</v>
      </c>
      <c r="J124" s="3"/>
    </row>
    <row r="125" spans="1:11" x14ac:dyDescent="0.2">
      <c r="A125" s="16"/>
      <c r="B125" s="1"/>
      <c r="C125" s="15"/>
      <c r="D125" s="15"/>
      <c r="E125" s="15"/>
      <c r="F125" s="15"/>
      <c r="G125" s="15"/>
      <c r="H125" s="15"/>
      <c r="I125" s="15"/>
      <c r="J125" s="3"/>
    </row>
    <row r="126" spans="1:11" x14ac:dyDescent="0.2">
      <c r="A126" s="16"/>
      <c r="B126" s="1"/>
      <c r="C126" s="15"/>
      <c r="D126" s="15"/>
      <c r="E126" s="15"/>
      <c r="F126" s="15"/>
      <c r="G126" s="15"/>
      <c r="H126" s="15"/>
      <c r="I126" s="15"/>
      <c r="J126" s="3"/>
    </row>
    <row r="127" spans="1:11" x14ac:dyDescent="0.2">
      <c r="A127" s="16"/>
      <c r="B127" s="1"/>
      <c r="C127" s="15"/>
      <c r="D127" s="15"/>
      <c r="E127" s="15"/>
      <c r="F127" s="15"/>
      <c r="G127" s="15"/>
      <c r="H127" s="15"/>
      <c r="I127" s="15"/>
      <c r="J127" s="3"/>
    </row>
    <row r="128" spans="1:11" x14ac:dyDescent="0.2">
      <c r="A128" s="16"/>
      <c r="B128" s="1"/>
      <c r="C128" s="15"/>
      <c r="D128" s="15"/>
      <c r="E128" s="15"/>
      <c r="F128" s="15"/>
      <c r="G128" s="15"/>
      <c r="H128" s="15"/>
      <c r="I128" s="15"/>
      <c r="J128" s="3"/>
    </row>
    <row r="129" spans="1:11" s="1" customFormat="1" x14ac:dyDescent="0.2">
      <c r="A129" s="1" t="s">
        <v>24</v>
      </c>
      <c r="B129" s="5" t="s">
        <v>39</v>
      </c>
      <c r="C129" s="28">
        <v>37257</v>
      </c>
      <c r="D129" s="6">
        <v>37258</v>
      </c>
      <c r="E129" s="6">
        <v>37259</v>
      </c>
      <c r="F129" s="6">
        <v>37260</v>
      </c>
      <c r="G129" s="28">
        <v>37261</v>
      </c>
      <c r="H129" s="28">
        <v>37262</v>
      </c>
      <c r="I129" s="6">
        <v>37263</v>
      </c>
      <c r="J129" s="8"/>
      <c r="K129" s="7"/>
    </row>
    <row r="130" spans="1:11" x14ac:dyDescent="0.2">
      <c r="B130" s="1" t="s">
        <v>3</v>
      </c>
      <c r="D130" s="19">
        <v>50</v>
      </c>
      <c r="E130" s="19">
        <v>50</v>
      </c>
      <c r="F130" s="19">
        <v>50</v>
      </c>
      <c r="G130" s="10"/>
      <c r="H130" s="21"/>
      <c r="I130" s="19">
        <v>50</v>
      </c>
      <c r="K130" s="4"/>
    </row>
    <row r="131" spans="1:11" x14ac:dyDescent="0.2">
      <c r="B131" s="8" t="s">
        <v>4</v>
      </c>
      <c r="C131" s="3">
        <v>0</v>
      </c>
      <c r="D131" s="10">
        <v>25</v>
      </c>
      <c r="E131" s="10">
        <v>25</v>
      </c>
      <c r="F131" s="10">
        <v>25</v>
      </c>
      <c r="G131" s="10"/>
      <c r="H131" s="21"/>
      <c r="I131" s="10">
        <v>25</v>
      </c>
      <c r="K131" s="4"/>
    </row>
    <row r="132" spans="1:11" x14ac:dyDescent="0.2">
      <c r="B132" s="1" t="s">
        <v>5</v>
      </c>
      <c r="D132" s="19">
        <v>200</v>
      </c>
      <c r="E132" s="19">
        <v>200</v>
      </c>
      <c r="F132" s="19">
        <v>200</v>
      </c>
      <c r="G132" s="10"/>
      <c r="H132" s="21"/>
      <c r="I132" s="19">
        <v>200</v>
      </c>
      <c r="K132" s="4"/>
    </row>
    <row r="133" spans="1:11" x14ac:dyDescent="0.2">
      <c r="B133" s="8" t="s">
        <v>4</v>
      </c>
      <c r="C133" s="3">
        <v>0</v>
      </c>
      <c r="D133" s="10">
        <v>39.58</v>
      </c>
      <c r="E133" s="10">
        <v>39.58</v>
      </c>
      <c r="F133" s="10">
        <v>39.58</v>
      </c>
      <c r="G133" s="10"/>
      <c r="H133" s="21"/>
      <c r="I133" s="10">
        <v>39.58</v>
      </c>
      <c r="K133" s="4"/>
    </row>
    <row r="134" spans="1:11" x14ac:dyDescent="0.2">
      <c r="B134" s="7" t="s">
        <v>6</v>
      </c>
      <c r="C134" s="4">
        <f>C130-C132</f>
        <v>0</v>
      </c>
      <c r="D134" s="4">
        <f>D130-D132</f>
        <v>-150</v>
      </c>
      <c r="E134" s="4">
        <f>E130-E132</f>
        <v>-150</v>
      </c>
      <c r="F134" s="4">
        <f>F130-F132</f>
        <v>-150</v>
      </c>
      <c r="G134" s="10"/>
      <c r="H134" s="21"/>
      <c r="I134" s="4">
        <f>I130-I132</f>
        <v>-150</v>
      </c>
      <c r="K134" s="4"/>
    </row>
    <row r="135" spans="1:11" x14ac:dyDescent="0.2">
      <c r="B135" s="9" t="s">
        <v>7</v>
      </c>
      <c r="C135" s="10">
        <v>20.5</v>
      </c>
      <c r="D135" s="29">
        <v>26.5</v>
      </c>
      <c r="E135" s="29">
        <v>26.5</v>
      </c>
      <c r="F135" s="29">
        <v>26.5</v>
      </c>
      <c r="G135" s="10">
        <v>20.5</v>
      </c>
      <c r="H135" s="10">
        <v>20.5</v>
      </c>
      <c r="I135" s="29">
        <v>26.5</v>
      </c>
      <c r="K135" s="4"/>
    </row>
    <row r="136" spans="1:11" x14ac:dyDescent="0.2">
      <c r="B136" s="9"/>
      <c r="C136" s="11"/>
      <c r="D136" s="19"/>
      <c r="E136" s="19"/>
      <c r="F136" s="10"/>
      <c r="G136" s="10"/>
      <c r="H136" s="21"/>
      <c r="K136" s="4"/>
    </row>
    <row r="137" spans="1:11" x14ac:dyDescent="0.2">
      <c r="B137" s="9" t="s">
        <v>8</v>
      </c>
      <c r="C137" s="12">
        <f t="shared" ref="C137:I137" si="49">(C130*C131)*(-1)</f>
        <v>0</v>
      </c>
      <c r="D137" s="12">
        <f t="shared" si="49"/>
        <v>-1250</v>
      </c>
      <c r="E137" s="12">
        <f t="shared" si="49"/>
        <v>-1250</v>
      </c>
      <c r="F137" s="12">
        <f t="shared" si="49"/>
        <v>-1250</v>
      </c>
      <c r="G137" s="12">
        <f t="shared" si="49"/>
        <v>0</v>
      </c>
      <c r="H137" s="12">
        <f t="shared" si="49"/>
        <v>0</v>
      </c>
      <c r="I137" s="12">
        <f t="shared" si="49"/>
        <v>-1250</v>
      </c>
      <c r="K137" s="4"/>
    </row>
    <row r="138" spans="1:11" x14ac:dyDescent="0.2">
      <c r="B138" s="9" t="s">
        <v>9</v>
      </c>
      <c r="C138" s="11">
        <f t="shared" ref="C138:I138" si="50">C132*C133</f>
        <v>0</v>
      </c>
      <c r="D138" s="11">
        <f t="shared" si="50"/>
        <v>7916</v>
      </c>
      <c r="E138" s="11">
        <f t="shared" si="50"/>
        <v>7916</v>
      </c>
      <c r="F138" s="11">
        <f t="shared" si="50"/>
        <v>7916</v>
      </c>
      <c r="G138" s="11">
        <f t="shared" si="50"/>
        <v>0</v>
      </c>
      <c r="H138" s="11">
        <f t="shared" si="50"/>
        <v>0</v>
      </c>
      <c r="I138" s="11">
        <f t="shared" si="50"/>
        <v>7916</v>
      </c>
      <c r="K138" s="4"/>
    </row>
    <row r="139" spans="1:11" x14ac:dyDescent="0.2">
      <c r="B139" s="7" t="s">
        <v>10</v>
      </c>
      <c r="C139" s="11">
        <f t="shared" ref="C139:I139" si="51">SUM(C137:C138)</f>
        <v>0</v>
      </c>
      <c r="D139" s="11">
        <f t="shared" si="51"/>
        <v>6666</v>
      </c>
      <c r="E139" s="11">
        <f t="shared" si="51"/>
        <v>6666</v>
      </c>
      <c r="F139" s="11">
        <f t="shared" si="51"/>
        <v>6666</v>
      </c>
      <c r="G139" s="11">
        <f t="shared" si="51"/>
        <v>0</v>
      </c>
      <c r="H139" s="11">
        <f t="shared" si="51"/>
        <v>0</v>
      </c>
      <c r="I139" s="11">
        <f t="shared" si="51"/>
        <v>6666</v>
      </c>
      <c r="K139" s="4"/>
    </row>
    <row r="140" spans="1:11" x14ac:dyDescent="0.2">
      <c r="A140" s="13"/>
      <c r="B140" s="2" t="s">
        <v>11</v>
      </c>
      <c r="C140" s="12">
        <f t="shared" ref="C140:I140" si="52">C134*C135</f>
        <v>0</v>
      </c>
      <c r="D140" s="12">
        <f t="shared" si="52"/>
        <v>-3975</v>
      </c>
      <c r="E140" s="12">
        <f t="shared" si="52"/>
        <v>-3975</v>
      </c>
      <c r="F140" s="12">
        <f t="shared" si="52"/>
        <v>-3975</v>
      </c>
      <c r="G140" s="12">
        <f t="shared" si="52"/>
        <v>0</v>
      </c>
      <c r="H140" s="12">
        <f t="shared" si="52"/>
        <v>0</v>
      </c>
      <c r="I140" s="12">
        <f t="shared" si="52"/>
        <v>-3975</v>
      </c>
    </row>
    <row r="141" spans="1:11" x14ac:dyDescent="0.2">
      <c r="A141" s="14"/>
      <c r="E141" s="2"/>
      <c r="G141" s="2"/>
      <c r="H141" s="2"/>
      <c r="I141" s="2"/>
    </row>
    <row r="142" spans="1:11" s="1" customFormat="1" x14ac:dyDescent="0.2">
      <c r="A142" s="13"/>
      <c r="B142" s="1" t="s">
        <v>12</v>
      </c>
      <c r="C142" s="15">
        <f t="shared" ref="C142:I142" si="53">SUM(C139:C140)</f>
        <v>0</v>
      </c>
      <c r="D142" s="15">
        <f t="shared" si="53"/>
        <v>2691</v>
      </c>
      <c r="E142" s="15">
        <f t="shared" si="53"/>
        <v>2691</v>
      </c>
      <c r="F142" s="15">
        <f t="shared" si="53"/>
        <v>2691</v>
      </c>
      <c r="G142" s="15">
        <f t="shared" si="53"/>
        <v>0</v>
      </c>
      <c r="H142" s="15">
        <f t="shared" si="53"/>
        <v>0</v>
      </c>
      <c r="I142" s="15">
        <f t="shared" si="53"/>
        <v>2691</v>
      </c>
      <c r="J142" s="8"/>
    </row>
    <row r="143" spans="1:11" x14ac:dyDescent="0.2">
      <c r="A143" s="16"/>
      <c r="B143" s="1" t="s">
        <v>13</v>
      </c>
      <c r="C143" s="15">
        <f t="shared" ref="C143:I143" si="54">C142*16</f>
        <v>0</v>
      </c>
      <c r="D143" s="15">
        <f t="shared" si="54"/>
        <v>43056</v>
      </c>
      <c r="E143" s="15">
        <f t="shared" si="54"/>
        <v>43056</v>
      </c>
      <c r="F143" s="15">
        <f t="shared" si="54"/>
        <v>43056</v>
      </c>
      <c r="G143" s="15">
        <f t="shared" si="54"/>
        <v>0</v>
      </c>
      <c r="H143" s="15">
        <f t="shared" si="54"/>
        <v>0</v>
      </c>
      <c r="I143" s="15">
        <f t="shared" si="54"/>
        <v>43056</v>
      </c>
      <c r="J143" s="3">
        <f>SUM(C143:I143)</f>
        <v>172224</v>
      </c>
    </row>
    <row r="144" spans="1:11" x14ac:dyDescent="0.2">
      <c r="A144" s="16"/>
      <c r="B144" s="1"/>
      <c r="C144" s="15"/>
      <c r="D144" s="15"/>
      <c r="E144" s="15"/>
      <c r="F144" s="15"/>
      <c r="G144" s="15"/>
      <c r="H144" s="15"/>
      <c r="I144" s="15"/>
      <c r="J144" s="3"/>
    </row>
    <row r="145" spans="1:10" x14ac:dyDescent="0.2">
      <c r="A145" s="13"/>
    </row>
    <row r="146" spans="1:10" x14ac:dyDescent="0.2">
      <c r="A146" s="1" t="s">
        <v>1</v>
      </c>
      <c r="B146" s="5" t="s">
        <v>14</v>
      </c>
      <c r="C146" s="28">
        <v>37257</v>
      </c>
      <c r="D146" s="6">
        <v>37258</v>
      </c>
      <c r="E146" s="6">
        <v>37259</v>
      </c>
      <c r="F146" s="6">
        <v>37260</v>
      </c>
      <c r="G146" s="28">
        <v>37261</v>
      </c>
      <c r="H146" s="28">
        <v>37262</v>
      </c>
      <c r="I146" s="6">
        <v>37263</v>
      </c>
      <c r="J146" s="8"/>
    </row>
    <row r="147" spans="1:10" x14ac:dyDescent="0.2">
      <c r="B147" s="1" t="s">
        <v>3</v>
      </c>
      <c r="D147" s="19">
        <v>150</v>
      </c>
      <c r="E147" s="19">
        <v>150</v>
      </c>
      <c r="F147" s="19">
        <v>150</v>
      </c>
      <c r="G147" s="10"/>
      <c r="H147" s="21"/>
      <c r="I147" s="19">
        <v>150</v>
      </c>
    </row>
    <row r="148" spans="1:10" x14ac:dyDescent="0.2">
      <c r="B148" s="8" t="s">
        <v>4</v>
      </c>
      <c r="C148" s="3">
        <v>0</v>
      </c>
      <c r="D148" s="10">
        <v>25.43</v>
      </c>
      <c r="E148" s="10">
        <v>25.43</v>
      </c>
      <c r="F148" s="10">
        <v>25.43</v>
      </c>
      <c r="G148" s="10"/>
      <c r="H148" s="21"/>
      <c r="I148" s="10">
        <v>25.43</v>
      </c>
    </row>
    <row r="149" spans="1:10" x14ac:dyDescent="0.2">
      <c r="B149" s="1" t="s">
        <v>5</v>
      </c>
      <c r="D149" s="19">
        <v>50</v>
      </c>
      <c r="E149" s="19">
        <v>50</v>
      </c>
      <c r="F149" s="19">
        <v>50</v>
      </c>
      <c r="G149" s="10"/>
      <c r="H149" s="21"/>
      <c r="I149" s="19">
        <v>50</v>
      </c>
    </row>
    <row r="150" spans="1:10" x14ac:dyDescent="0.2">
      <c r="B150" s="8" t="s">
        <v>4</v>
      </c>
      <c r="C150" s="3">
        <v>0</v>
      </c>
      <c r="D150" s="10">
        <v>24.25</v>
      </c>
      <c r="E150" s="10">
        <v>24.25</v>
      </c>
      <c r="F150" s="10">
        <v>24.25</v>
      </c>
      <c r="G150" s="10"/>
      <c r="H150" s="21"/>
      <c r="I150" s="10">
        <v>24.25</v>
      </c>
    </row>
    <row r="151" spans="1:10" x14ac:dyDescent="0.2">
      <c r="B151" s="7" t="s">
        <v>6</v>
      </c>
      <c r="C151" s="4">
        <f t="shared" ref="C151:I151" si="55">C147-C149</f>
        <v>0</v>
      </c>
      <c r="D151" s="4">
        <f t="shared" si="55"/>
        <v>100</v>
      </c>
      <c r="E151" s="4">
        <f t="shared" si="55"/>
        <v>100</v>
      </c>
      <c r="F151" s="4">
        <f t="shared" si="55"/>
        <v>100</v>
      </c>
      <c r="G151" s="4">
        <f t="shared" si="55"/>
        <v>0</v>
      </c>
      <c r="H151" s="4">
        <f t="shared" si="55"/>
        <v>0</v>
      </c>
      <c r="I151" s="4">
        <f t="shared" si="55"/>
        <v>100</v>
      </c>
    </row>
    <row r="152" spans="1:10" x14ac:dyDescent="0.2">
      <c r="B152" s="9" t="s">
        <v>7</v>
      </c>
      <c r="C152" s="10">
        <v>20.5</v>
      </c>
      <c r="D152" s="29">
        <v>26.5</v>
      </c>
      <c r="E152" s="29">
        <v>26.5</v>
      </c>
      <c r="F152" s="29">
        <v>26.5</v>
      </c>
      <c r="G152" s="10">
        <v>20.5</v>
      </c>
      <c r="H152" s="10">
        <v>20.5</v>
      </c>
      <c r="I152" s="29">
        <v>26.5</v>
      </c>
    </row>
    <row r="153" spans="1:10" x14ac:dyDescent="0.2">
      <c r="B153" s="9"/>
      <c r="C153" s="11"/>
      <c r="D153" s="19"/>
      <c r="E153" s="19"/>
      <c r="F153" s="10"/>
      <c r="G153" s="10"/>
      <c r="H153" s="21"/>
    </row>
    <row r="154" spans="1:10" x14ac:dyDescent="0.2">
      <c r="B154" s="9" t="s">
        <v>8</v>
      </c>
      <c r="C154" s="12">
        <f>(C147*C148)*(-1)</f>
        <v>0</v>
      </c>
      <c r="D154" s="12">
        <f t="shared" ref="D154:I154" si="56">(D147*D148)*(-1)</f>
        <v>-3814.5</v>
      </c>
      <c r="E154" s="12">
        <f t="shared" si="56"/>
        <v>-3814.5</v>
      </c>
      <c r="F154" s="12">
        <f t="shared" si="56"/>
        <v>-3814.5</v>
      </c>
      <c r="G154" s="12">
        <f t="shared" si="56"/>
        <v>0</v>
      </c>
      <c r="H154" s="12">
        <f t="shared" si="56"/>
        <v>0</v>
      </c>
      <c r="I154" s="12">
        <f t="shared" si="56"/>
        <v>-3814.5</v>
      </c>
    </row>
    <row r="155" spans="1:10" x14ac:dyDescent="0.2">
      <c r="B155" s="9" t="s">
        <v>9</v>
      </c>
      <c r="C155" s="11">
        <f>C149*C150</f>
        <v>0</v>
      </c>
      <c r="D155" s="11">
        <f t="shared" ref="D155:I155" si="57">D149*D150</f>
        <v>1212.5</v>
      </c>
      <c r="E155" s="11">
        <f t="shared" si="57"/>
        <v>1212.5</v>
      </c>
      <c r="F155" s="11">
        <f t="shared" si="57"/>
        <v>1212.5</v>
      </c>
      <c r="G155" s="11">
        <f t="shared" si="57"/>
        <v>0</v>
      </c>
      <c r="H155" s="11">
        <f t="shared" si="57"/>
        <v>0</v>
      </c>
      <c r="I155" s="11">
        <f t="shared" si="57"/>
        <v>1212.5</v>
      </c>
    </row>
    <row r="156" spans="1:10" x14ac:dyDescent="0.2">
      <c r="B156" s="7" t="s">
        <v>10</v>
      </c>
      <c r="C156" s="11">
        <f>SUM(C154:C155)</f>
        <v>0</v>
      </c>
      <c r="D156" s="11">
        <f t="shared" ref="D156:I156" si="58">SUM(D154:D155)</f>
        <v>-2602</v>
      </c>
      <c r="E156" s="11">
        <f t="shared" si="58"/>
        <v>-2602</v>
      </c>
      <c r="F156" s="11">
        <f t="shared" si="58"/>
        <v>-2602</v>
      </c>
      <c r="G156" s="11">
        <f t="shared" si="58"/>
        <v>0</v>
      </c>
      <c r="H156" s="11">
        <f t="shared" si="58"/>
        <v>0</v>
      </c>
      <c r="I156" s="11">
        <f t="shared" si="58"/>
        <v>-2602</v>
      </c>
    </row>
    <row r="157" spans="1:10" x14ac:dyDescent="0.2">
      <c r="A157" s="13"/>
      <c r="B157" s="2" t="s">
        <v>11</v>
      </c>
      <c r="C157" s="12">
        <f>C151*C152</f>
        <v>0</v>
      </c>
      <c r="D157" s="12">
        <f t="shared" ref="D157:I157" si="59">D151*D152</f>
        <v>2650</v>
      </c>
      <c r="E157" s="12">
        <f t="shared" si="59"/>
        <v>2650</v>
      </c>
      <c r="F157" s="12">
        <f t="shared" si="59"/>
        <v>2650</v>
      </c>
      <c r="G157" s="12">
        <f t="shared" si="59"/>
        <v>0</v>
      </c>
      <c r="H157" s="12">
        <f t="shared" si="59"/>
        <v>0</v>
      </c>
      <c r="I157" s="12">
        <f t="shared" si="59"/>
        <v>2650</v>
      </c>
    </row>
    <row r="158" spans="1:10" x14ac:dyDescent="0.2">
      <c r="A158" s="14"/>
      <c r="E158" s="2"/>
      <c r="G158" s="2"/>
      <c r="H158" s="2"/>
      <c r="I158" s="2"/>
    </row>
    <row r="159" spans="1:10" x14ac:dyDescent="0.2">
      <c r="A159" s="13"/>
      <c r="B159" s="1" t="s">
        <v>12</v>
      </c>
      <c r="C159" s="15">
        <f>SUM(C156:C157)</f>
        <v>0</v>
      </c>
      <c r="D159" s="15">
        <f t="shared" ref="D159:I159" si="60">SUM(D156:D157)</f>
        <v>48</v>
      </c>
      <c r="E159" s="15">
        <f t="shared" si="60"/>
        <v>48</v>
      </c>
      <c r="F159" s="15">
        <f t="shared" si="60"/>
        <v>48</v>
      </c>
      <c r="G159" s="15">
        <f t="shared" si="60"/>
        <v>0</v>
      </c>
      <c r="H159" s="15">
        <f t="shared" si="60"/>
        <v>0</v>
      </c>
      <c r="I159" s="15">
        <f t="shared" si="60"/>
        <v>48</v>
      </c>
      <c r="J159" s="8"/>
    </row>
    <row r="160" spans="1:10" x14ac:dyDescent="0.2">
      <c r="A160" s="16"/>
      <c r="B160" s="1" t="s">
        <v>13</v>
      </c>
      <c r="C160" s="15">
        <f>C159*16</f>
        <v>0</v>
      </c>
      <c r="D160" s="15">
        <f t="shared" ref="D160:I160" si="61">D159*16</f>
        <v>768</v>
      </c>
      <c r="E160" s="15">
        <f t="shared" si="61"/>
        <v>768</v>
      </c>
      <c r="F160" s="15">
        <f t="shared" si="61"/>
        <v>768</v>
      </c>
      <c r="G160" s="15">
        <f t="shared" si="61"/>
        <v>0</v>
      </c>
      <c r="H160" s="15">
        <f t="shared" si="61"/>
        <v>0</v>
      </c>
      <c r="I160" s="15">
        <f t="shared" si="61"/>
        <v>768</v>
      </c>
      <c r="J160" s="3">
        <f>SUM(C160:I160)</f>
        <v>3072</v>
      </c>
    </row>
    <row r="161" spans="1:11" x14ac:dyDescent="0.2">
      <c r="A161" s="16"/>
      <c r="B161" s="1"/>
      <c r="C161" s="15"/>
      <c r="D161" s="15"/>
      <c r="E161" s="15"/>
      <c r="F161" s="15"/>
      <c r="G161" s="15"/>
      <c r="H161" s="15"/>
      <c r="I161" s="15"/>
      <c r="J161" s="3"/>
    </row>
    <row r="162" spans="1:11" x14ac:dyDescent="0.2">
      <c r="A162" s="16"/>
      <c r="B162" s="1"/>
      <c r="C162" s="15"/>
      <c r="D162" s="15"/>
      <c r="E162" s="15"/>
      <c r="F162" s="15"/>
      <c r="G162" s="15"/>
      <c r="H162" s="15"/>
      <c r="I162" s="15"/>
      <c r="J162" s="3"/>
    </row>
    <row r="163" spans="1:11" x14ac:dyDescent="0.2">
      <c r="A163" s="16"/>
      <c r="B163" s="1" t="s">
        <v>53</v>
      </c>
      <c r="C163" s="30">
        <f>SUM(C134,C151)</f>
        <v>0</v>
      </c>
      <c r="D163" s="30">
        <f t="shared" ref="D163:I163" si="62">SUM(D134,D151)</f>
        <v>-50</v>
      </c>
      <c r="E163" s="30">
        <f t="shared" si="62"/>
        <v>-50</v>
      </c>
      <c r="F163" s="30">
        <f t="shared" si="62"/>
        <v>-50</v>
      </c>
      <c r="G163" s="30">
        <f t="shared" si="62"/>
        <v>0</v>
      </c>
      <c r="H163" s="30">
        <f t="shared" si="62"/>
        <v>0</v>
      </c>
      <c r="I163" s="30">
        <f t="shared" si="62"/>
        <v>-50</v>
      </c>
      <c r="J163" s="3"/>
    </row>
    <row r="164" spans="1:11" x14ac:dyDescent="0.2">
      <c r="A164" s="16"/>
      <c r="B164" s="1"/>
      <c r="C164" s="15"/>
      <c r="D164" s="15"/>
      <c r="E164" s="15"/>
      <c r="F164" s="15"/>
      <c r="G164" s="15"/>
      <c r="H164" s="15"/>
      <c r="I164" s="15"/>
      <c r="J164" s="3"/>
    </row>
    <row r="165" spans="1:11" x14ac:dyDescent="0.2">
      <c r="A165" s="16"/>
      <c r="B165" s="1"/>
      <c r="C165" s="15"/>
      <c r="D165" s="15"/>
      <c r="E165" s="15"/>
      <c r="F165" s="15"/>
      <c r="G165" s="15"/>
      <c r="H165" s="15"/>
      <c r="I165" s="15"/>
      <c r="J165" s="3"/>
    </row>
    <row r="166" spans="1:11" s="1" customFormat="1" x14ac:dyDescent="0.2">
      <c r="A166" s="1" t="s">
        <v>24</v>
      </c>
      <c r="B166" s="5" t="s">
        <v>18</v>
      </c>
      <c r="C166" s="28">
        <v>37257</v>
      </c>
      <c r="D166" s="6">
        <v>37258</v>
      </c>
      <c r="E166" s="6">
        <v>37259</v>
      </c>
      <c r="F166" s="6">
        <v>37260</v>
      </c>
      <c r="G166" s="28">
        <v>37261</v>
      </c>
      <c r="H166" s="28">
        <v>37262</v>
      </c>
      <c r="I166" s="6">
        <v>37263</v>
      </c>
      <c r="J166" s="8"/>
      <c r="K166" s="7"/>
    </row>
    <row r="167" spans="1:11" x14ac:dyDescent="0.2">
      <c r="B167" s="1" t="s">
        <v>3</v>
      </c>
      <c r="D167" s="19">
        <v>900</v>
      </c>
      <c r="E167" s="19">
        <v>900</v>
      </c>
      <c r="F167" s="19">
        <v>900</v>
      </c>
      <c r="G167" s="10"/>
      <c r="H167" s="21"/>
      <c r="I167" s="19">
        <v>900</v>
      </c>
      <c r="K167" s="4"/>
    </row>
    <row r="168" spans="1:11" x14ac:dyDescent="0.2">
      <c r="B168" s="8" t="s">
        <v>4</v>
      </c>
      <c r="C168" s="3">
        <v>0</v>
      </c>
      <c r="D168" s="10">
        <v>31.27</v>
      </c>
      <c r="E168" s="10">
        <v>31.27</v>
      </c>
      <c r="F168" s="10">
        <v>31.27</v>
      </c>
      <c r="G168" s="10"/>
      <c r="H168" s="21"/>
      <c r="I168" s="10">
        <v>31.27</v>
      </c>
      <c r="K168" s="4"/>
    </row>
    <row r="169" spans="1:11" x14ac:dyDescent="0.2">
      <c r="B169" s="1" t="s">
        <v>5</v>
      </c>
      <c r="D169" s="19">
        <v>800</v>
      </c>
      <c r="E169" s="19">
        <v>800</v>
      </c>
      <c r="F169" s="19">
        <v>800</v>
      </c>
      <c r="G169" s="10"/>
      <c r="H169" s="21"/>
      <c r="I169" s="19">
        <v>800</v>
      </c>
      <c r="K169" s="4"/>
    </row>
    <row r="170" spans="1:11" x14ac:dyDescent="0.2">
      <c r="B170" s="8" t="s">
        <v>4</v>
      </c>
      <c r="C170" s="3">
        <v>0</v>
      </c>
      <c r="D170" s="10">
        <v>29.38</v>
      </c>
      <c r="E170" s="10">
        <v>29.38</v>
      </c>
      <c r="F170" s="10">
        <v>29.38</v>
      </c>
      <c r="G170" s="10"/>
      <c r="H170" s="21"/>
      <c r="I170" s="10">
        <v>29.38</v>
      </c>
      <c r="K170" s="4"/>
    </row>
    <row r="171" spans="1:11" x14ac:dyDescent="0.2">
      <c r="B171" s="7" t="s">
        <v>6</v>
      </c>
      <c r="C171" s="4">
        <f>C167-C169</f>
        <v>0</v>
      </c>
      <c r="D171" s="4">
        <f t="shared" ref="D171:I171" si="63">D167-D169</f>
        <v>100</v>
      </c>
      <c r="E171" s="4">
        <f t="shared" si="63"/>
        <v>100</v>
      </c>
      <c r="F171" s="4">
        <f t="shared" si="63"/>
        <v>100</v>
      </c>
      <c r="G171" s="4">
        <f t="shared" si="63"/>
        <v>0</v>
      </c>
      <c r="H171" s="4">
        <f t="shared" si="63"/>
        <v>0</v>
      </c>
      <c r="I171" s="4">
        <f t="shared" si="63"/>
        <v>100</v>
      </c>
      <c r="K171" s="4"/>
    </row>
    <row r="172" spans="1:11" x14ac:dyDescent="0.2">
      <c r="B172" s="9" t="s">
        <v>7</v>
      </c>
      <c r="C172" s="10">
        <v>22</v>
      </c>
      <c r="D172" s="29">
        <v>28</v>
      </c>
      <c r="E172" s="29">
        <v>28</v>
      </c>
      <c r="F172" s="29">
        <v>28</v>
      </c>
      <c r="G172" s="10">
        <v>22</v>
      </c>
      <c r="H172" s="10">
        <v>22</v>
      </c>
      <c r="I172" s="29">
        <v>28</v>
      </c>
      <c r="K172" s="4"/>
    </row>
    <row r="173" spans="1:11" x14ac:dyDescent="0.2">
      <c r="B173" s="9"/>
      <c r="C173" s="11"/>
      <c r="D173" s="19"/>
      <c r="E173" s="19"/>
      <c r="F173" s="10"/>
      <c r="G173" s="10"/>
      <c r="H173" s="21"/>
      <c r="K173" s="4"/>
    </row>
    <row r="174" spans="1:11" x14ac:dyDescent="0.2">
      <c r="B174" s="9" t="s">
        <v>8</v>
      </c>
      <c r="C174" s="12">
        <f t="shared" ref="C174:I174" si="64">(C167*C168)*(-1)</f>
        <v>0</v>
      </c>
      <c r="D174" s="12">
        <f t="shared" si="64"/>
        <v>-28143</v>
      </c>
      <c r="E174" s="12">
        <f t="shared" si="64"/>
        <v>-28143</v>
      </c>
      <c r="F174" s="12">
        <f t="shared" si="64"/>
        <v>-28143</v>
      </c>
      <c r="G174" s="12">
        <f t="shared" si="64"/>
        <v>0</v>
      </c>
      <c r="H174" s="12">
        <f t="shared" si="64"/>
        <v>0</v>
      </c>
      <c r="I174" s="12">
        <f t="shared" si="64"/>
        <v>-28143</v>
      </c>
      <c r="K174" s="4"/>
    </row>
    <row r="175" spans="1:11" x14ac:dyDescent="0.2">
      <c r="B175" s="9" t="s">
        <v>9</v>
      </c>
      <c r="C175" s="11">
        <f t="shared" ref="C175:I175" si="65">C169*C170</f>
        <v>0</v>
      </c>
      <c r="D175" s="11">
        <f t="shared" si="65"/>
        <v>23504</v>
      </c>
      <c r="E175" s="11">
        <f t="shared" si="65"/>
        <v>23504</v>
      </c>
      <c r="F175" s="11">
        <f t="shared" si="65"/>
        <v>23504</v>
      </c>
      <c r="G175" s="11">
        <f t="shared" si="65"/>
        <v>0</v>
      </c>
      <c r="H175" s="11">
        <f t="shared" si="65"/>
        <v>0</v>
      </c>
      <c r="I175" s="11">
        <f t="shared" si="65"/>
        <v>23504</v>
      </c>
      <c r="K175" s="4"/>
    </row>
    <row r="176" spans="1:11" x14ac:dyDescent="0.2">
      <c r="B176" s="7" t="s">
        <v>10</v>
      </c>
      <c r="C176" s="11">
        <f t="shared" ref="C176:I176" si="66">SUM(C174:C175)</f>
        <v>0</v>
      </c>
      <c r="D176" s="11">
        <f t="shared" si="66"/>
        <v>-4639</v>
      </c>
      <c r="E176" s="11">
        <f t="shared" si="66"/>
        <v>-4639</v>
      </c>
      <c r="F176" s="11">
        <f t="shared" si="66"/>
        <v>-4639</v>
      </c>
      <c r="G176" s="11">
        <f t="shared" si="66"/>
        <v>0</v>
      </c>
      <c r="H176" s="11">
        <f t="shared" si="66"/>
        <v>0</v>
      </c>
      <c r="I176" s="11">
        <f t="shared" si="66"/>
        <v>-4639</v>
      </c>
      <c r="K176" s="4"/>
    </row>
    <row r="177" spans="1:11" x14ac:dyDescent="0.2">
      <c r="A177" s="13"/>
      <c r="B177" s="2" t="s">
        <v>11</v>
      </c>
      <c r="C177" s="12">
        <f t="shared" ref="C177:I177" si="67">C171*C172</f>
        <v>0</v>
      </c>
      <c r="D177" s="12">
        <f t="shared" si="67"/>
        <v>2800</v>
      </c>
      <c r="E177" s="12">
        <f t="shared" si="67"/>
        <v>2800</v>
      </c>
      <c r="F177" s="12">
        <f t="shared" si="67"/>
        <v>2800</v>
      </c>
      <c r="G177" s="12">
        <f t="shared" si="67"/>
        <v>0</v>
      </c>
      <c r="H177" s="12">
        <f t="shared" si="67"/>
        <v>0</v>
      </c>
      <c r="I177" s="12">
        <f t="shared" si="67"/>
        <v>2800</v>
      </c>
    </row>
    <row r="178" spans="1:11" x14ac:dyDescent="0.2">
      <c r="A178" s="14"/>
      <c r="E178" s="2"/>
      <c r="G178" s="2"/>
      <c r="H178" s="2"/>
      <c r="I178" s="2"/>
    </row>
    <row r="179" spans="1:11" s="1" customFormat="1" x14ac:dyDescent="0.2">
      <c r="A179" s="13"/>
      <c r="B179" s="1" t="s">
        <v>12</v>
      </c>
      <c r="C179" s="15">
        <f t="shared" ref="C179:I179" si="68">SUM(C176:C177)</f>
        <v>0</v>
      </c>
      <c r="D179" s="15">
        <f t="shared" si="68"/>
        <v>-1839</v>
      </c>
      <c r="E179" s="15">
        <f t="shared" si="68"/>
        <v>-1839</v>
      </c>
      <c r="F179" s="15">
        <f t="shared" si="68"/>
        <v>-1839</v>
      </c>
      <c r="G179" s="15">
        <f t="shared" si="68"/>
        <v>0</v>
      </c>
      <c r="H179" s="15">
        <f t="shared" si="68"/>
        <v>0</v>
      </c>
      <c r="I179" s="15">
        <f t="shared" si="68"/>
        <v>-1839</v>
      </c>
      <c r="J179" s="8"/>
    </row>
    <row r="180" spans="1:11" x14ac:dyDescent="0.2">
      <c r="A180" s="16"/>
      <c r="B180" s="1" t="s">
        <v>13</v>
      </c>
      <c r="C180" s="15">
        <f t="shared" ref="C180:I180" si="69">C179*16</f>
        <v>0</v>
      </c>
      <c r="D180" s="15">
        <f t="shared" si="69"/>
        <v>-29424</v>
      </c>
      <c r="E180" s="15">
        <f t="shared" si="69"/>
        <v>-29424</v>
      </c>
      <c r="F180" s="15">
        <f t="shared" si="69"/>
        <v>-29424</v>
      </c>
      <c r="G180" s="15">
        <f t="shared" si="69"/>
        <v>0</v>
      </c>
      <c r="H180" s="15">
        <f t="shared" si="69"/>
        <v>0</v>
      </c>
      <c r="I180" s="15">
        <f t="shared" si="69"/>
        <v>-29424</v>
      </c>
      <c r="J180" s="3">
        <f>SUM(C180:I180)</f>
        <v>-117696</v>
      </c>
    </row>
    <row r="181" spans="1:11" x14ac:dyDescent="0.2">
      <c r="A181" s="16"/>
      <c r="B181" s="1"/>
      <c r="C181" s="15"/>
      <c r="D181" s="15"/>
      <c r="E181" s="15"/>
      <c r="F181" s="15"/>
      <c r="G181" s="15"/>
      <c r="H181" s="15"/>
      <c r="I181" s="15"/>
      <c r="J181" s="3"/>
    </row>
    <row r="182" spans="1:11" x14ac:dyDescent="0.2">
      <c r="A182" s="16"/>
      <c r="B182" s="1"/>
      <c r="C182" s="15"/>
      <c r="D182" s="15"/>
      <c r="E182" s="15"/>
      <c r="F182" s="15"/>
      <c r="G182" s="15"/>
      <c r="H182" s="15"/>
      <c r="I182" s="15"/>
      <c r="J182" s="3"/>
    </row>
    <row r="183" spans="1:11" s="1" customFormat="1" x14ac:dyDescent="0.2">
      <c r="A183" s="1" t="s">
        <v>30</v>
      </c>
      <c r="B183" s="5" t="s">
        <v>18</v>
      </c>
      <c r="C183" s="28">
        <v>37257</v>
      </c>
      <c r="D183" s="6">
        <v>37258</v>
      </c>
      <c r="E183" s="6">
        <v>37259</v>
      </c>
      <c r="F183" s="6">
        <v>37260</v>
      </c>
      <c r="G183" s="28">
        <v>37261</v>
      </c>
      <c r="H183" s="28">
        <v>37262</v>
      </c>
      <c r="I183" s="6">
        <v>37263</v>
      </c>
      <c r="J183" s="8"/>
      <c r="K183" s="7"/>
    </row>
    <row r="184" spans="1:11" x14ac:dyDescent="0.2">
      <c r="A184" s="17"/>
      <c r="B184" s="17" t="s">
        <v>3</v>
      </c>
      <c r="D184" s="19">
        <v>100</v>
      </c>
      <c r="E184" s="19">
        <v>100</v>
      </c>
      <c r="F184" s="19">
        <v>100</v>
      </c>
      <c r="G184" s="10"/>
      <c r="H184" s="21"/>
      <c r="I184" s="19">
        <v>100</v>
      </c>
      <c r="K184" s="4"/>
    </row>
    <row r="185" spans="1:11" x14ac:dyDescent="0.2">
      <c r="A185" s="17"/>
      <c r="B185" s="22" t="s">
        <v>4</v>
      </c>
      <c r="C185" s="3">
        <v>0</v>
      </c>
      <c r="D185" s="10">
        <v>29.13</v>
      </c>
      <c r="E185" s="10">
        <v>29.13</v>
      </c>
      <c r="F185" s="10">
        <v>29.13</v>
      </c>
      <c r="G185" s="10"/>
      <c r="H185" s="21"/>
      <c r="I185" s="10">
        <v>29.13</v>
      </c>
      <c r="K185" s="4"/>
    </row>
    <row r="186" spans="1:11" x14ac:dyDescent="0.2">
      <c r="A186" s="17"/>
      <c r="B186" s="17" t="s">
        <v>5</v>
      </c>
      <c r="D186" s="19">
        <v>100</v>
      </c>
      <c r="E186" s="19">
        <v>100</v>
      </c>
      <c r="F186" s="19">
        <v>100</v>
      </c>
      <c r="G186" s="10"/>
      <c r="H186" s="21"/>
      <c r="I186" s="19">
        <v>100</v>
      </c>
      <c r="K186" s="4"/>
    </row>
    <row r="187" spans="1:11" x14ac:dyDescent="0.2">
      <c r="A187" s="17"/>
      <c r="B187" s="22" t="s">
        <v>4</v>
      </c>
      <c r="C187" s="3">
        <v>0</v>
      </c>
      <c r="D187" s="10">
        <v>30.38</v>
      </c>
      <c r="E187" s="10">
        <v>30.38</v>
      </c>
      <c r="F187" s="10">
        <v>30.38</v>
      </c>
      <c r="G187" s="10"/>
      <c r="H187" s="21"/>
      <c r="I187" s="10">
        <v>30.38</v>
      </c>
      <c r="K187" s="4"/>
    </row>
    <row r="188" spans="1:11" x14ac:dyDescent="0.2">
      <c r="A188" s="17"/>
      <c r="B188" s="23" t="s">
        <v>6</v>
      </c>
      <c r="C188" s="4">
        <f t="shared" ref="C188:I188" si="70">C184-C186</f>
        <v>0</v>
      </c>
      <c r="D188" s="4">
        <f t="shared" si="70"/>
        <v>0</v>
      </c>
      <c r="E188" s="4">
        <f t="shared" si="70"/>
        <v>0</v>
      </c>
      <c r="F188" s="4">
        <f t="shared" si="70"/>
        <v>0</v>
      </c>
      <c r="G188" s="4">
        <f t="shared" si="70"/>
        <v>0</v>
      </c>
      <c r="H188" s="4">
        <f t="shared" si="70"/>
        <v>0</v>
      </c>
      <c r="I188" s="4">
        <f t="shared" si="70"/>
        <v>0</v>
      </c>
      <c r="K188" s="4"/>
    </row>
    <row r="189" spans="1:11" x14ac:dyDescent="0.2">
      <c r="A189" s="17"/>
      <c r="B189" s="24" t="s">
        <v>7</v>
      </c>
      <c r="C189" s="10">
        <v>22</v>
      </c>
      <c r="D189" s="29">
        <v>28</v>
      </c>
      <c r="E189" s="29">
        <v>28</v>
      </c>
      <c r="F189" s="29">
        <v>28</v>
      </c>
      <c r="G189" s="10">
        <v>22</v>
      </c>
      <c r="H189" s="10">
        <v>22</v>
      </c>
      <c r="I189" s="29">
        <v>28</v>
      </c>
      <c r="K189" s="4"/>
    </row>
    <row r="190" spans="1:11" x14ac:dyDescent="0.2">
      <c r="A190" s="17"/>
      <c r="B190" s="24"/>
      <c r="C190" s="11"/>
      <c r="D190" s="19"/>
      <c r="E190" s="19"/>
      <c r="F190" s="10"/>
      <c r="G190" s="10"/>
      <c r="H190" s="21"/>
      <c r="K190" s="4"/>
    </row>
    <row r="191" spans="1:11" x14ac:dyDescent="0.2">
      <c r="A191" s="17"/>
      <c r="B191" s="24" t="s">
        <v>8</v>
      </c>
      <c r="C191" s="12">
        <f t="shared" ref="C191:I191" si="71">(C184*C185)*(-1)</f>
        <v>0</v>
      </c>
      <c r="D191" s="12">
        <f t="shared" si="71"/>
        <v>-2913</v>
      </c>
      <c r="E191" s="12">
        <f t="shared" si="71"/>
        <v>-2913</v>
      </c>
      <c r="F191" s="12">
        <f t="shared" si="71"/>
        <v>-2913</v>
      </c>
      <c r="G191" s="12">
        <f t="shared" si="71"/>
        <v>0</v>
      </c>
      <c r="H191" s="12">
        <f t="shared" si="71"/>
        <v>0</v>
      </c>
      <c r="I191" s="12">
        <f t="shared" si="71"/>
        <v>-2913</v>
      </c>
      <c r="K191" s="4"/>
    </row>
    <row r="192" spans="1:11" x14ac:dyDescent="0.2">
      <c r="A192" s="17"/>
      <c r="B192" s="24" t="s">
        <v>9</v>
      </c>
      <c r="C192" s="11">
        <f t="shared" ref="C192:I192" si="72">C186*C187</f>
        <v>0</v>
      </c>
      <c r="D192" s="11">
        <f t="shared" si="72"/>
        <v>3038</v>
      </c>
      <c r="E192" s="11">
        <f t="shared" si="72"/>
        <v>3038</v>
      </c>
      <c r="F192" s="11">
        <f t="shared" si="72"/>
        <v>3038</v>
      </c>
      <c r="G192" s="11">
        <f t="shared" si="72"/>
        <v>0</v>
      </c>
      <c r="H192" s="11">
        <f t="shared" si="72"/>
        <v>0</v>
      </c>
      <c r="I192" s="11">
        <f t="shared" si="72"/>
        <v>3038</v>
      </c>
      <c r="K192" s="4"/>
    </row>
    <row r="193" spans="1:11" x14ac:dyDescent="0.2">
      <c r="A193" s="17"/>
      <c r="B193" s="23" t="s">
        <v>10</v>
      </c>
      <c r="C193" s="11">
        <f t="shared" ref="C193:I193" si="73">SUM(C191:C192)</f>
        <v>0</v>
      </c>
      <c r="D193" s="11">
        <f t="shared" si="73"/>
        <v>125</v>
      </c>
      <c r="E193" s="11">
        <f t="shared" si="73"/>
        <v>125</v>
      </c>
      <c r="F193" s="11">
        <f t="shared" si="73"/>
        <v>125</v>
      </c>
      <c r="G193" s="11">
        <f t="shared" si="73"/>
        <v>0</v>
      </c>
      <c r="H193" s="11">
        <f t="shared" si="73"/>
        <v>0</v>
      </c>
      <c r="I193" s="11">
        <f t="shared" si="73"/>
        <v>125</v>
      </c>
      <c r="K193" s="4"/>
    </row>
    <row r="194" spans="1:11" x14ac:dyDescent="0.2">
      <c r="A194" s="13"/>
      <c r="B194" s="19" t="s">
        <v>11</v>
      </c>
      <c r="C194" s="12">
        <f t="shared" ref="C194:I194" si="74">C188*C189</f>
        <v>0</v>
      </c>
      <c r="D194" s="12">
        <f t="shared" si="74"/>
        <v>0</v>
      </c>
      <c r="E194" s="12">
        <f t="shared" si="74"/>
        <v>0</v>
      </c>
      <c r="F194" s="12">
        <f t="shared" si="74"/>
        <v>0</v>
      </c>
      <c r="G194" s="12">
        <f t="shared" si="74"/>
        <v>0</v>
      </c>
      <c r="H194" s="12">
        <f t="shared" si="74"/>
        <v>0</v>
      </c>
      <c r="I194" s="12">
        <f t="shared" si="74"/>
        <v>0</v>
      </c>
    </row>
    <row r="195" spans="1:11" x14ac:dyDescent="0.2">
      <c r="A195" s="14"/>
      <c r="B195" s="19"/>
      <c r="E195" s="2"/>
      <c r="G195" s="2"/>
      <c r="H195" s="2"/>
      <c r="I195" s="2"/>
    </row>
    <row r="196" spans="1:11" s="1" customFormat="1" x14ac:dyDescent="0.2">
      <c r="A196" s="13"/>
      <c r="B196" s="17" t="s">
        <v>12</v>
      </c>
      <c r="C196" s="15">
        <f t="shared" ref="C196:I196" si="75">SUM(C193:C194)</f>
        <v>0</v>
      </c>
      <c r="D196" s="15">
        <f t="shared" si="75"/>
        <v>125</v>
      </c>
      <c r="E196" s="15">
        <f t="shared" si="75"/>
        <v>125</v>
      </c>
      <c r="F196" s="15">
        <f t="shared" si="75"/>
        <v>125</v>
      </c>
      <c r="G196" s="15">
        <f t="shared" si="75"/>
        <v>0</v>
      </c>
      <c r="H196" s="15">
        <f t="shared" si="75"/>
        <v>0</v>
      </c>
      <c r="I196" s="15">
        <f t="shared" si="75"/>
        <v>125</v>
      </c>
      <c r="J196" s="8"/>
    </row>
    <row r="197" spans="1:11" x14ac:dyDescent="0.2">
      <c r="A197" s="16"/>
      <c r="B197" s="17" t="s">
        <v>13</v>
      </c>
      <c r="C197" s="15">
        <f t="shared" ref="C197:I197" si="76">C196*16</f>
        <v>0</v>
      </c>
      <c r="D197" s="15">
        <f t="shared" si="76"/>
        <v>2000</v>
      </c>
      <c r="E197" s="15">
        <f t="shared" si="76"/>
        <v>2000</v>
      </c>
      <c r="F197" s="15">
        <f t="shared" si="76"/>
        <v>2000</v>
      </c>
      <c r="G197" s="15">
        <f t="shared" si="76"/>
        <v>0</v>
      </c>
      <c r="H197" s="15">
        <f t="shared" si="76"/>
        <v>0</v>
      </c>
      <c r="I197" s="15">
        <f t="shared" si="76"/>
        <v>2000</v>
      </c>
      <c r="J197" s="3">
        <f>SUM(C197:I197)</f>
        <v>8000</v>
      </c>
    </row>
    <row r="198" spans="1:11" x14ac:dyDescent="0.2">
      <c r="A198" s="16"/>
      <c r="B198" s="17"/>
      <c r="C198" s="18"/>
      <c r="D198" s="18"/>
      <c r="E198" s="18"/>
      <c r="F198" s="18"/>
      <c r="G198" s="18"/>
      <c r="H198" s="18"/>
      <c r="I198" s="18"/>
      <c r="J198" s="10"/>
    </row>
    <row r="199" spans="1:11" x14ac:dyDescent="0.2">
      <c r="A199" s="16"/>
      <c r="B199" s="1"/>
      <c r="C199" s="15"/>
      <c r="D199" s="15"/>
      <c r="E199" s="15"/>
      <c r="F199" s="15"/>
      <c r="G199" s="15"/>
      <c r="H199" s="15"/>
      <c r="I199" s="15"/>
    </row>
    <row r="200" spans="1:11" s="1" customFormat="1" x14ac:dyDescent="0.2">
      <c r="A200" s="1" t="s">
        <v>31</v>
      </c>
      <c r="B200" s="5" t="s">
        <v>29</v>
      </c>
      <c r="C200" s="28">
        <v>37257</v>
      </c>
      <c r="D200" s="6">
        <v>37258</v>
      </c>
      <c r="E200" s="6">
        <v>37259</v>
      </c>
      <c r="F200" s="6">
        <v>37260</v>
      </c>
      <c r="G200" s="28">
        <v>37261</v>
      </c>
      <c r="H200" s="28">
        <v>37262</v>
      </c>
      <c r="I200" s="6">
        <v>37263</v>
      </c>
      <c r="J200" s="8"/>
      <c r="K200" s="7"/>
    </row>
    <row r="201" spans="1:11" x14ac:dyDescent="0.2">
      <c r="B201" s="1" t="s">
        <v>3</v>
      </c>
      <c r="D201" s="19">
        <v>100</v>
      </c>
      <c r="E201" s="19">
        <v>100</v>
      </c>
      <c r="F201" s="19">
        <v>100</v>
      </c>
      <c r="G201" s="10"/>
      <c r="H201" s="21"/>
      <c r="I201" s="19">
        <v>100</v>
      </c>
      <c r="K201" s="4"/>
    </row>
    <row r="202" spans="1:11" x14ac:dyDescent="0.2">
      <c r="B202" s="8" t="s">
        <v>4</v>
      </c>
      <c r="C202" s="3">
        <v>0</v>
      </c>
      <c r="D202" s="10">
        <v>46.25</v>
      </c>
      <c r="E202" s="10">
        <v>46.25</v>
      </c>
      <c r="F202" s="10">
        <v>46.25</v>
      </c>
      <c r="G202" s="10"/>
      <c r="H202" s="21"/>
      <c r="I202" s="10">
        <v>46.25</v>
      </c>
      <c r="K202" s="4"/>
    </row>
    <row r="203" spans="1:11" x14ac:dyDescent="0.2">
      <c r="B203" s="1" t="s">
        <v>5</v>
      </c>
      <c r="D203" s="19">
        <v>50</v>
      </c>
      <c r="E203" s="19">
        <v>50</v>
      </c>
      <c r="F203" s="19">
        <v>50</v>
      </c>
      <c r="G203" s="10"/>
      <c r="H203" s="21"/>
      <c r="I203" s="19">
        <v>50</v>
      </c>
      <c r="K203" s="4"/>
    </row>
    <row r="204" spans="1:11" x14ac:dyDescent="0.2">
      <c r="B204" s="8" t="s">
        <v>4</v>
      </c>
      <c r="C204" s="3">
        <v>0</v>
      </c>
      <c r="D204" s="10">
        <v>45</v>
      </c>
      <c r="E204" s="10">
        <v>45</v>
      </c>
      <c r="F204" s="10">
        <v>45</v>
      </c>
      <c r="G204" s="10"/>
      <c r="H204" s="21"/>
      <c r="I204" s="10">
        <v>45</v>
      </c>
      <c r="K204" s="4"/>
    </row>
    <row r="205" spans="1:11" x14ac:dyDescent="0.2">
      <c r="B205" s="7" t="s">
        <v>6</v>
      </c>
      <c r="C205" s="4">
        <f t="shared" ref="C205:I205" si="77">C201-C203</f>
        <v>0</v>
      </c>
      <c r="D205" s="4">
        <f t="shared" si="77"/>
        <v>50</v>
      </c>
      <c r="E205" s="4">
        <f t="shared" si="77"/>
        <v>50</v>
      </c>
      <c r="F205" s="4">
        <f t="shared" si="77"/>
        <v>50</v>
      </c>
      <c r="G205" s="4">
        <f t="shared" si="77"/>
        <v>0</v>
      </c>
      <c r="H205" s="4">
        <f t="shared" si="77"/>
        <v>0</v>
      </c>
      <c r="I205" s="4">
        <f t="shared" si="77"/>
        <v>50</v>
      </c>
      <c r="K205" s="4"/>
    </row>
    <row r="206" spans="1:11" x14ac:dyDescent="0.2">
      <c r="B206" s="9" t="s">
        <v>7</v>
      </c>
      <c r="C206" s="10">
        <v>22</v>
      </c>
      <c r="D206" s="29">
        <v>28</v>
      </c>
      <c r="E206" s="29">
        <v>28</v>
      </c>
      <c r="F206" s="29">
        <v>28</v>
      </c>
      <c r="G206" s="10">
        <v>22</v>
      </c>
      <c r="H206" s="10">
        <v>22</v>
      </c>
      <c r="I206" s="29">
        <v>28</v>
      </c>
      <c r="K206" s="4"/>
    </row>
    <row r="207" spans="1:11" x14ac:dyDescent="0.2">
      <c r="B207" s="9"/>
      <c r="C207" s="11"/>
      <c r="D207" s="19"/>
      <c r="E207" s="19"/>
      <c r="F207" s="10"/>
      <c r="G207" s="10"/>
      <c r="H207" s="21"/>
      <c r="K207" s="4"/>
    </row>
    <row r="208" spans="1:11" x14ac:dyDescent="0.2">
      <c r="B208" s="9" t="s">
        <v>8</v>
      </c>
      <c r="C208" s="12">
        <f t="shared" ref="C208:I208" si="78">(C201*C202)*(-1)</f>
        <v>0</v>
      </c>
      <c r="D208" s="12">
        <f t="shared" si="78"/>
        <v>-4625</v>
      </c>
      <c r="E208" s="12">
        <f t="shared" si="78"/>
        <v>-4625</v>
      </c>
      <c r="F208" s="12">
        <f t="shared" si="78"/>
        <v>-4625</v>
      </c>
      <c r="G208" s="12">
        <f t="shared" si="78"/>
        <v>0</v>
      </c>
      <c r="H208" s="12">
        <f t="shared" si="78"/>
        <v>0</v>
      </c>
      <c r="I208" s="12">
        <f t="shared" si="78"/>
        <v>-4625</v>
      </c>
      <c r="K208" s="4"/>
    </row>
    <row r="209" spans="1:11" x14ac:dyDescent="0.2">
      <c r="B209" s="9" t="s">
        <v>9</v>
      </c>
      <c r="C209" s="11">
        <f t="shared" ref="C209:I209" si="79">C203*C204</f>
        <v>0</v>
      </c>
      <c r="D209" s="11">
        <f t="shared" si="79"/>
        <v>2250</v>
      </c>
      <c r="E209" s="11">
        <f t="shared" si="79"/>
        <v>2250</v>
      </c>
      <c r="F209" s="11">
        <f t="shared" si="79"/>
        <v>2250</v>
      </c>
      <c r="G209" s="11">
        <f t="shared" si="79"/>
        <v>0</v>
      </c>
      <c r="H209" s="11">
        <f t="shared" si="79"/>
        <v>0</v>
      </c>
      <c r="I209" s="11">
        <f t="shared" si="79"/>
        <v>2250</v>
      </c>
      <c r="K209" s="4"/>
    </row>
    <row r="210" spans="1:11" x14ac:dyDescent="0.2">
      <c r="B210" s="7" t="s">
        <v>10</v>
      </c>
      <c r="C210" s="11">
        <f t="shared" ref="C210:I210" si="80">SUM(C208:C209)</f>
        <v>0</v>
      </c>
      <c r="D210" s="11">
        <f t="shared" si="80"/>
        <v>-2375</v>
      </c>
      <c r="E210" s="11">
        <f t="shared" si="80"/>
        <v>-2375</v>
      </c>
      <c r="F210" s="11">
        <f t="shared" si="80"/>
        <v>-2375</v>
      </c>
      <c r="G210" s="11">
        <f t="shared" si="80"/>
        <v>0</v>
      </c>
      <c r="H210" s="11">
        <f t="shared" si="80"/>
        <v>0</v>
      </c>
      <c r="I210" s="11">
        <f t="shared" si="80"/>
        <v>-2375</v>
      </c>
      <c r="K210" s="4"/>
    </row>
    <row r="211" spans="1:11" x14ac:dyDescent="0.2">
      <c r="A211" s="13"/>
      <c r="B211" s="2" t="s">
        <v>11</v>
      </c>
      <c r="C211" s="12">
        <f t="shared" ref="C211:I211" si="81">C205*C206</f>
        <v>0</v>
      </c>
      <c r="D211" s="12">
        <f t="shared" si="81"/>
        <v>1400</v>
      </c>
      <c r="E211" s="12">
        <f t="shared" si="81"/>
        <v>1400</v>
      </c>
      <c r="F211" s="12">
        <f t="shared" si="81"/>
        <v>1400</v>
      </c>
      <c r="G211" s="12">
        <f t="shared" si="81"/>
        <v>0</v>
      </c>
      <c r="H211" s="12">
        <f t="shared" si="81"/>
        <v>0</v>
      </c>
      <c r="I211" s="12">
        <f t="shared" si="81"/>
        <v>1400</v>
      </c>
    </row>
    <row r="212" spans="1:11" x14ac:dyDescent="0.2">
      <c r="A212" s="14"/>
      <c r="E212" s="2"/>
      <c r="G212" s="2"/>
      <c r="H212" s="2"/>
      <c r="I212" s="2"/>
    </row>
    <row r="213" spans="1:11" s="1" customFormat="1" x14ac:dyDescent="0.2">
      <c r="A213" s="13"/>
      <c r="B213" s="1" t="s">
        <v>12</v>
      </c>
      <c r="C213" s="15">
        <f t="shared" ref="C213:I213" si="82">SUM(C210:C211)</f>
        <v>0</v>
      </c>
      <c r="D213" s="15">
        <f t="shared" si="82"/>
        <v>-975</v>
      </c>
      <c r="E213" s="15">
        <f t="shared" si="82"/>
        <v>-975</v>
      </c>
      <c r="F213" s="15">
        <f t="shared" si="82"/>
        <v>-975</v>
      </c>
      <c r="G213" s="15">
        <f t="shared" si="82"/>
        <v>0</v>
      </c>
      <c r="H213" s="15">
        <f t="shared" si="82"/>
        <v>0</v>
      </c>
      <c r="I213" s="15">
        <f t="shared" si="82"/>
        <v>-975</v>
      </c>
      <c r="J213" s="8"/>
    </row>
    <row r="214" spans="1:11" x14ac:dyDescent="0.2">
      <c r="A214" s="16"/>
      <c r="B214" s="1" t="s">
        <v>27</v>
      </c>
      <c r="C214" s="15">
        <f t="shared" ref="C214:I214" si="83">C213*16</f>
        <v>0</v>
      </c>
      <c r="D214" s="15">
        <f t="shared" si="83"/>
        <v>-15600</v>
      </c>
      <c r="E214" s="15">
        <f t="shared" si="83"/>
        <v>-15600</v>
      </c>
      <c r="F214" s="15">
        <f t="shared" si="83"/>
        <v>-15600</v>
      </c>
      <c r="G214" s="15">
        <f t="shared" si="83"/>
        <v>0</v>
      </c>
      <c r="H214" s="15">
        <f t="shared" si="83"/>
        <v>0</v>
      </c>
      <c r="I214" s="15">
        <f t="shared" si="83"/>
        <v>-15600</v>
      </c>
      <c r="J214" s="3">
        <f>SUM(C214:I214)</f>
        <v>-62400</v>
      </c>
    </row>
    <row r="215" spans="1:11" x14ac:dyDescent="0.2">
      <c r="A215" s="16"/>
      <c r="B215" s="1"/>
      <c r="C215" s="15"/>
      <c r="D215" s="15"/>
      <c r="E215" s="15"/>
      <c r="F215" s="15"/>
      <c r="G215" s="15"/>
      <c r="H215" s="15"/>
      <c r="I215" s="15"/>
      <c r="J215" s="3"/>
    </row>
    <row r="216" spans="1:11" s="1" customFormat="1" x14ac:dyDescent="0.2">
      <c r="A216" s="1" t="s">
        <v>28</v>
      </c>
      <c r="B216" s="5" t="s">
        <v>29</v>
      </c>
      <c r="C216" s="28">
        <v>37257</v>
      </c>
      <c r="D216" s="6">
        <v>37258</v>
      </c>
      <c r="E216" s="6">
        <v>37259</v>
      </c>
      <c r="F216" s="6">
        <v>37260</v>
      </c>
      <c r="G216" s="28">
        <v>37261</v>
      </c>
      <c r="H216" s="28">
        <v>37262</v>
      </c>
      <c r="I216" s="6">
        <v>37263</v>
      </c>
      <c r="J216" s="8"/>
      <c r="K216" s="7"/>
    </row>
    <row r="217" spans="1:11" x14ac:dyDescent="0.2">
      <c r="B217" s="1" t="s">
        <v>3</v>
      </c>
      <c r="D217" s="19">
        <v>300</v>
      </c>
      <c r="E217" s="19">
        <v>300</v>
      </c>
      <c r="F217" s="19">
        <v>300</v>
      </c>
      <c r="G217" s="10"/>
      <c r="H217" s="21"/>
      <c r="I217" s="19">
        <v>300</v>
      </c>
      <c r="K217" s="4"/>
    </row>
    <row r="218" spans="1:11" x14ac:dyDescent="0.2">
      <c r="B218" s="8" t="s">
        <v>4</v>
      </c>
      <c r="C218" s="3">
        <v>0</v>
      </c>
      <c r="D218" s="10">
        <v>28.38</v>
      </c>
      <c r="E218" s="10">
        <v>28.38</v>
      </c>
      <c r="F218" s="10">
        <v>28.38</v>
      </c>
      <c r="G218" s="10"/>
      <c r="H218" s="21"/>
      <c r="I218" s="10">
        <v>28.38</v>
      </c>
      <c r="K218" s="4"/>
    </row>
    <row r="219" spans="1:11" x14ac:dyDescent="0.2">
      <c r="B219" s="1" t="s">
        <v>5</v>
      </c>
      <c r="D219" s="19">
        <v>550</v>
      </c>
      <c r="E219" s="19">
        <v>550</v>
      </c>
      <c r="F219" s="19">
        <v>550</v>
      </c>
      <c r="G219" s="10"/>
      <c r="H219" s="21"/>
      <c r="I219" s="19">
        <v>550</v>
      </c>
      <c r="K219" s="4"/>
    </row>
    <row r="220" spans="1:11" x14ac:dyDescent="0.2">
      <c r="B220" s="8" t="s">
        <v>4</v>
      </c>
      <c r="C220" s="3">
        <v>0</v>
      </c>
      <c r="D220" s="10">
        <v>32.479999999999997</v>
      </c>
      <c r="E220" s="10">
        <v>32.479999999999997</v>
      </c>
      <c r="F220" s="10">
        <v>32.479999999999997</v>
      </c>
      <c r="G220" s="10"/>
      <c r="H220" s="21"/>
      <c r="I220" s="10">
        <v>32.479999999999997</v>
      </c>
      <c r="K220" s="4"/>
    </row>
    <row r="221" spans="1:11" x14ac:dyDescent="0.2">
      <c r="B221" s="7" t="s">
        <v>6</v>
      </c>
      <c r="C221" s="4">
        <f t="shared" ref="C221:I221" si="84">C217-C219</f>
        <v>0</v>
      </c>
      <c r="D221" s="4">
        <f t="shared" si="84"/>
        <v>-250</v>
      </c>
      <c r="E221" s="4">
        <f t="shared" si="84"/>
        <v>-250</v>
      </c>
      <c r="F221" s="4">
        <f t="shared" si="84"/>
        <v>-250</v>
      </c>
      <c r="G221" s="4">
        <f t="shared" si="84"/>
        <v>0</v>
      </c>
      <c r="H221" s="4">
        <f t="shared" si="84"/>
        <v>0</v>
      </c>
      <c r="I221" s="4">
        <f t="shared" si="84"/>
        <v>-250</v>
      </c>
      <c r="K221" s="4"/>
    </row>
    <row r="222" spans="1:11" x14ac:dyDescent="0.2">
      <c r="B222" s="9" t="s">
        <v>7</v>
      </c>
      <c r="C222" s="10">
        <v>22</v>
      </c>
      <c r="D222" s="29">
        <v>28</v>
      </c>
      <c r="E222" s="29">
        <v>28</v>
      </c>
      <c r="F222" s="29">
        <v>28</v>
      </c>
      <c r="G222" s="10">
        <v>22</v>
      </c>
      <c r="H222" s="10">
        <v>22</v>
      </c>
      <c r="I222" s="29">
        <v>28</v>
      </c>
      <c r="K222" s="4"/>
    </row>
    <row r="223" spans="1:11" x14ac:dyDescent="0.2">
      <c r="B223" s="9"/>
      <c r="C223" s="11"/>
      <c r="D223" s="19"/>
      <c r="E223" s="19"/>
      <c r="F223" s="10"/>
      <c r="G223" s="10"/>
      <c r="H223" s="21"/>
      <c r="K223" s="4"/>
    </row>
    <row r="224" spans="1:11" x14ac:dyDescent="0.2">
      <c r="B224" s="9" t="s">
        <v>8</v>
      </c>
      <c r="C224" s="12">
        <f t="shared" ref="C224:I224" si="85">(C217*C218)*(-1)</f>
        <v>0</v>
      </c>
      <c r="D224" s="12">
        <f t="shared" si="85"/>
        <v>-8514</v>
      </c>
      <c r="E224" s="12">
        <f t="shared" si="85"/>
        <v>-8514</v>
      </c>
      <c r="F224" s="12">
        <f t="shared" si="85"/>
        <v>-8514</v>
      </c>
      <c r="G224" s="12">
        <f t="shared" si="85"/>
        <v>0</v>
      </c>
      <c r="H224" s="12">
        <f t="shared" si="85"/>
        <v>0</v>
      </c>
      <c r="I224" s="12">
        <f t="shared" si="85"/>
        <v>-8514</v>
      </c>
      <c r="K224" s="4"/>
    </row>
    <row r="225" spans="1:11" x14ac:dyDescent="0.2">
      <c r="B225" s="9" t="s">
        <v>9</v>
      </c>
      <c r="C225" s="11">
        <f t="shared" ref="C225:I225" si="86">C219*C220</f>
        <v>0</v>
      </c>
      <c r="D225" s="11">
        <f t="shared" si="86"/>
        <v>17864</v>
      </c>
      <c r="E225" s="11">
        <f t="shared" si="86"/>
        <v>17864</v>
      </c>
      <c r="F225" s="11">
        <f t="shared" si="86"/>
        <v>17864</v>
      </c>
      <c r="G225" s="11">
        <f t="shared" si="86"/>
        <v>0</v>
      </c>
      <c r="H225" s="11">
        <f t="shared" si="86"/>
        <v>0</v>
      </c>
      <c r="I225" s="11">
        <f t="shared" si="86"/>
        <v>17864</v>
      </c>
      <c r="K225" s="4"/>
    </row>
    <row r="226" spans="1:11" x14ac:dyDescent="0.2">
      <c r="B226" s="7" t="s">
        <v>10</v>
      </c>
      <c r="C226" s="11">
        <f t="shared" ref="C226:I226" si="87">SUM(C224:C225)</f>
        <v>0</v>
      </c>
      <c r="D226" s="11">
        <f t="shared" si="87"/>
        <v>9350</v>
      </c>
      <c r="E226" s="11">
        <f t="shared" si="87"/>
        <v>9350</v>
      </c>
      <c r="F226" s="11">
        <f t="shared" si="87"/>
        <v>9350</v>
      </c>
      <c r="G226" s="11">
        <f t="shared" si="87"/>
        <v>0</v>
      </c>
      <c r="H226" s="11">
        <f t="shared" si="87"/>
        <v>0</v>
      </c>
      <c r="I226" s="11">
        <f t="shared" si="87"/>
        <v>9350</v>
      </c>
      <c r="K226" s="4"/>
    </row>
    <row r="227" spans="1:11" x14ac:dyDescent="0.2">
      <c r="A227" s="13"/>
      <c r="B227" s="2" t="s">
        <v>11</v>
      </c>
      <c r="C227" s="12">
        <f t="shared" ref="C227:I227" si="88">C221*C222</f>
        <v>0</v>
      </c>
      <c r="D227" s="12">
        <f t="shared" si="88"/>
        <v>-7000</v>
      </c>
      <c r="E227" s="12">
        <f t="shared" si="88"/>
        <v>-7000</v>
      </c>
      <c r="F227" s="12">
        <f t="shared" si="88"/>
        <v>-7000</v>
      </c>
      <c r="G227" s="12">
        <f t="shared" si="88"/>
        <v>0</v>
      </c>
      <c r="H227" s="12">
        <f t="shared" si="88"/>
        <v>0</v>
      </c>
      <c r="I227" s="12">
        <f t="shared" si="88"/>
        <v>-7000</v>
      </c>
    </row>
    <row r="228" spans="1:11" x14ac:dyDescent="0.2">
      <c r="A228" s="14"/>
      <c r="E228" s="2"/>
      <c r="G228" s="2"/>
      <c r="H228" s="2"/>
      <c r="I228" s="2"/>
    </row>
    <row r="229" spans="1:11" s="1" customFormat="1" x14ac:dyDescent="0.2">
      <c r="A229" s="13"/>
      <c r="B229" s="1" t="s">
        <v>12</v>
      </c>
      <c r="C229" s="15">
        <f t="shared" ref="C229:I229" si="89">SUM(C226:C227)</f>
        <v>0</v>
      </c>
      <c r="D229" s="15">
        <f t="shared" si="89"/>
        <v>2350</v>
      </c>
      <c r="E229" s="15">
        <f t="shared" si="89"/>
        <v>2350</v>
      </c>
      <c r="F229" s="15">
        <f t="shared" si="89"/>
        <v>2350</v>
      </c>
      <c r="G229" s="15">
        <f t="shared" si="89"/>
        <v>0</v>
      </c>
      <c r="H229" s="15">
        <f t="shared" si="89"/>
        <v>0</v>
      </c>
      <c r="I229" s="15">
        <f t="shared" si="89"/>
        <v>2350</v>
      </c>
      <c r="J229" s="8"/>
    </row>
    <row r="230" spans="1:11" x14ac:dyDescent="0.2">
      <c r="A230" s="16"/>
      <c r="B230" s="1" t="s">
        <v>13</v>
      </c>
      <c r="C230" s="15">
        <f t="shared" ref="C230:I230" si="90">C229*16</f>
        <v>0</v>
      </c>
      <c r="D230" s="15">
        <f t="shared" si="90"/>
        <v>37600</v>
      </c>
      <c r="E230" s="15">
        <f t="shared" si="90"/>
        <v>37600</v>
      </c>
      <c r="F230" s="15">
        <f t="shared" si="90"/>
        <v>37600</v>
      </c>
      <c r="G230" s="15">
        <f t="shared" si="90"/>
        <v>0</v>
      </c>
      <c r="H230" s="15">
        <f t="shared" si="90"/>
        <v>0</v>
      </c>
      <c r="I230" s="15">
        <f t="shared" si="90"/>
        <v>37600</v>
      </c>
      <c r="J230" s="3">
        <f>SUM(C230:I230)</f>
        <v>150400</v>
      </c>
    </row>
    <row r="231" spans="1:11" x14ac:dyDescent="0.2">
      <c r="A231" s="16"/>
      <c r="B231" s="1"/>
      <c r="C231" s="15"/>
      <c r="D231" s="15"/>
      <c r="E231" s="15"/>
      <c r="F231" s="15"/>
      <c r="G231" s="15"/>
      <c r="H231" s="15"/>
      <c r="I231" s="15"/>
      <c r="J231" s="3"/>
    </row>
    <row r="233" spans="1:11" s="1" customFormat="1" x14ac:dyDescent="0.2">
      <c r="A233" s="1" t="s">
        <v>22</v>
      </c>
      <c r="B233" s="5" t="s">
        <v>18</v>
      </c>
      <c r="C233" s="28">
        <v>37257</v>
      </c>
      <c r="D233" s="6">
        <v>37258</v>
      </c>
      <c r="E233" s="6">
        <v>37259</v>
      </c>
      <c r="F233" s="6">
        <v>37260</v>
      </c>
      <c r="G233" s="28">
        <v>37261</v>
      </c>
      <c r="H233" s="28">
        <v>37262</v>
      </c>
      <c r="I233" s="6">
        <v>37263</v>
      </c>
      <c r="J233" s="8"/>
      <c r="K233" s="7"/>
    </row>
    <row r="234" spans="1:11" x14ac:dyDescent="0.2">
      <c r="B234" s="1" t="s">
        <v>3</v>
      </c>
      <c r="D234" s="19">
        <v>0</v>
      </c>
      <c r="E234" s="19">
        <v>0</v>
      </c>
      <c r="F234" s="19">
        <v>0</v>
      </c>
      <c r="G234" s="10"/>
      <c r="H234" s="21"/>
      <c r="I234" s="19">
        <v>0</v>
      </c>
      <c r="K234" s="4"/>
    </row>
    <row r="235" spans="1:11" x14ac:dyDescent="0.2">
      <c r="B235" s="8" t="s">
        <v>4</v>
      </c>
      <c r="C235" s="3">
        <v>0</v>
      </c>
      <c r="D235" s="10">
        <v>0</v>
      </c>
      <c r="E235" s="10">
        <v>0</v>
      </c>
      <c r="F235" s="10">
        <v>0</v>
      </c>
      <c r="G235" s="10"/>
      <c r="H235" s="21"/>
      <c r="I235" s="10">
        <v>0</v>
      </c>
      <c r="K235" s="4"/>
    </row>
    <row r="236" spans="1:11" x14ac:dyDescent="0.2">
      <c r="B236" s="1" t="s">
        <v>5</v>
      </c>
      <c r="D236" s="19">
        <v>200</v>
      </c>
      <c r="E236" s="19">
        <v>200</v>
      </c>
      <c r="F236" s="19">
        <v>200</v>
      </c>
      <c r="G236" s="10"/>
      <c r="H236" s="21"/>
      <c r="I236" s="19">
        <v>200</v>
      </c>
      <c r="K236" s="4"/>
    </row>
    <row r="237" spans="1:11" x14ac:dyDescent="0.2">
      <c r="B237" s="8" t="s">
        <v>4</v>
      </c>
      <c r="C237" s="3">
        <v>0</v>
      </c>
      <c r="D237" s="10">
        <v>32.75</v>
      </c>
      <c r="E237" s="10">
        <v>32.75</v>
      </c>
      <c r="F237" s="10">
        <v>32.75</v>
      </c>
      <c r="G237" s="10"/>
      <c r="H237" s="21"/>
      <c r="I237" s="10">
        <v>32.75</v>
      </c>
      <c r="K237" s="4"/>
    </row>
    <row r="238" spans="1:11" x14ac:dyDescent="0.2">
      <c r="B238" s="7" t="s">
        <v>6</v>
      </c>
      <c r="C238" s="4">
        <f>C234-C236</f>
        <v>0</v>
      </c>
      <c r="D238" s="4">
        <f t="shared" ref="D238:I238" si="91">D234-D236</f>
        <v>-200</v>
      </c>
      <c r="E238" s="4">
        <f t="shared" si="91"/>
        <v>-200</v>
      </c>
      <c r="F238" s="4">
        <f t="shared" si="91"/>
        <v>-200</v>
      </c>
      <c r="G238" s="4">
        <f t="shared" si="91"/>
        <v>0</v>
      </c>
      <c r="H238" s="4">
        <f t="shared" si="91"/>
        <v>0</v>
      </c>
      <c r="I238" s="4">
        <f t="shared" si="91"/>
        <v>-200</v>
      </c>
      <c r="K238" s="4"/>
    </row>
    <row r="239" spans="1:11" x14ac:dyDescent="0.2">
      <c r="B239" s="9" t="s">
        <v>7</v>
      </c>
      <c r="C239" s="10">
        <v>22</v>
      </c>
      <c r="D239" s="29">
        <v>28</v>
      </c>
      <c r="E239" s="29">
        <v>28</v>
      </c>
      <c r="F239" s="29">
        <v>28</v>
      </c>
      <c r="G239" s="10">
        <v>22</v>
      </c>
      <c r="H239" s="10">
        <v>22</v>
      </c>
      <c r="I239" s="29">
        <v>28</v>
      </c>
      <c r="K239" s="4"/>
    </row>
    <row r="240" spans="1:11" x14ac:dyDescent="0.2">
      <c r="B240" s="9"/>
      <c r="C240" s="11"/>
      <c r="D240" s="19"/>
      <c r="E240" s="19"/>
      <c r="F240" s="10"/>
      <c r="G240" s="10"/>
      <c r="H240" s="21"/>
      <c r="K240" s="4"/>
    </row>
    <row r="241" spans="1:11" x14ac:dyDescent="0.2">
      <c r="B241" s="9" t="s">
        <v>8</v>
      </c>
      <c r="C241" s="12">
        <f t="shared" ref="C241:I241" si="92">(C234*C235)*(-1)</f>
        <v>0</v>
      </c>
      <c r="D241" s="12">
        <f t="shared" si="92"/>
        <v>0</v>
      </c>
      <c r="E241" s="12">
        <f t="shared" si="92"/>
        <v>0</v>
      </c>
      <c r="F241" s="12">
        <f t="shared" si="92"/>
        <v>0</v>
      </c>
      <c r="G241" s="12">
        <f t="shared" si="92"/>
        <v>0</v>
      </c>
      <c r="H241" s="12">
        <f t="shared" si="92"/>
        <v>0</v>
      </c>
      <c r="I241" s="12">
        <f t="shared" si="92"/>
        <v>0</v>
      </c>
      <c r="K241" s="4"/>
    </row>
    <row r="242" spans="1:11" x14ac:dyDescent="0.2">
      <c r="B242" s="9" t="s">
        <v>9</v>
      </c>
      <c r="C242" s="11">
        <f t="shared" ref="C242:I242" si="93">C236*C237</f>
        <v>0</v>
      </c>
      <c r="D242" s="11">
        <f t="shared" si="93"/>
        <v>6550</v>
      </c>
      <c r="E242" s="11">
        <f t="shared" si="93"/>
        <v>6550</v>
      </c>
      <c r="F242" s="11">
        <f t="shared" si="93"/>
        <v>6550</v>
      </c>
      <c r="G242" s="11">
        <f t="shared" si="93"/>
        <v>0</v>
      </c>
      <c r="H242" s="11">
        <f t="shared" si="93"/>
        <v>0</v>
      </c>
      <c r="I242" s="11">
        <f t="shared" si="93"/>
        <v>6550</v>
      </c>
      <c r="K242" s="4"/>
    </row>
    <row r="243" spans="1:11" x14ac:dyDescent="0.2">
      <c r="B243" s="7" t="s">
        <v>10</v>
      </c>
      <c r="C243" s="11">
        <f t="shared" ref="C243:I243" si="94">SUM(C241:C242)</f>
        <v>0</v>
      </c>
      <c r="D243" s="11">
        <f t="shared" si="94"/>
        <v>6550</v>
      </c>
      <c r="E243" s="11">
        <f t="shared" si="94"/>
        <v>6550</v>
      </c>
      <c r="F243" s="11">
        <f t="shared" si="94"/>
        <v>6550</v>
      </c>
      <c r="G243" s="11">
        <f t="shared" si="94"/>
        <v>0</v>
      </c>
      <c r="H243" s="11">
        <f t="shared" si="94"/>
        <v>0</v>
      </c>
      <c r="I243" s="11">
        <f t="shared" si="94"/>
        <v>6550</v>
      </c>
      <c r="K243" s="4"/>
    </row>
    <row r="244" spans="1:11" x14ac:dyDescent="0.2">
      <c r="A244" s="13"/>
      <c r="B244" s="2" t="s">
        <v>11</v>
      </c>
      <c r="C244" s="12">
        <f t="shared" ref="C244:I244" si="95">C238*C239</f>
        <v>0</v>
      </c>
      <c r="D244" s="12">
        <f t="shared" si="95"/>
        <v>-5600</v>
      </c>
      <c r="E244" s="12">
        <f t="shared" si="95"/>
        <v>-5600</v>
      </c>
      <c r="F244" s="12">
        <f t="shared" si="95"/>
        <v>-5600</v>
      </c>
      <c r="G244" s="12">
        <f t="shared" si="95"/>
        <v>0</v>
      </c>
      <c r="H244" s="12">
        <f t="shared" si="95"/>
        <v>0</v>
      </c>
      <c r="I244" s="12">
        <f t="shared" si="95"/>
        <v>-5600</v>
      </c>
    </row>
    <row r="245" spans="1:11" x14ac:dyDescent="0.2">
      <c r="A245" s="14"/>
      <c r="E245" s="2"/>
      <c r="G245" s="2"/>
      <c r="H245" s="2"/>
      <c r="I245" s="2"/>
    </row>
    <row r="246" spans="1:11" s="1" customFormat="1" x14ac:dyDescent="0.2">
      <c r="A246" s="13"/>
      <c r="B246" s="1" t="s">
        <v>12</v>
      </c>
      <c r="C246" s="15">
        <f t="shared" ref="C246:I246" si="96">SUM(C243:C244)</f>
        <v>0</v>
      </c>
      <c r="D246" s="15">
        <f t="shared" si="96"/>
        <v>950</v>
      </c>
      <c r="E246" s="15">
        <f t="shared" si="96"/>
        <v>950</v>
      </c>
      <c r="F246" s="15">
        <f t="shared" si="96"/>
        <v>950</v>
      </c>
      <c r="G246" s="15">
        <f t="shared" si="96"/>
        <v>0</v>
      </c>
      <c r="H246" s="15">
        <f t="shared" si="96"/>
        <v>0</v>
      </c>
      <c r="I246" s="15">
        <f t="shared" si="96"/>
        <v>950</v>
      </c>
      <c r="J246" s="8"/>
    </row>
    <row r="247" spans="1:11" x14ac:dyDescent="0.2">
      <c r="A247" s="16"/>
      <c r="B247" s="1" t="s">
        <v>13</v>
      </c>
      <c r="C247" s="15">
        <f t="shared" ref="C247:I247" si="97">C246*16</f>
        <v>0</v>
      </c>
      <c r="D247" s="15">
        <f t="shared" si="97"/>
        <v>15200</v>
      </c>
      <c r="E247" s="15">
        <f t="shared" si="97"/>
        <v>15200</v>
      </c>
      <c r="F247" s="15">
        <f t="shared" si="97"/>
        <v>15200</v>
      </c>
      <c r="G247" s="15">
        <f t="shared" si="97"/>
        <v>0</v>
      </c>
      <c r="H247" s="15">
        <f t="shared" si="97"/>
        <v>0</v>
      </c>
      <c r="I247" s="15">
        <f t="shared" si="97"/>
        <v>15200</v>
      </c>
      <c r="J247" s="3">
        <f>SUM(C247:I247)</f>
        <v>60800</v>
      </c>
    </row>
    <row r="248" spans="1:11" x14ac:dyDescent="0.2">
      <c r="A248" s="16"/>
      <c r="B248" s="1"/>
      <c r="C248" s="15"/>
      <c r="D248" s="15"/>
      <c r="E248" s="15"/>
      <c r="F248" s="15"/>
      <c r="G248" s="15"/>
      <c r="H248" s="15"/>
      <c r="I248" s="15"/>
      <c r="J248" s="3"/>
    </row>
    <row r="250" spans="1:11" s="1" customFormat="1" x14ac:dyDescent="0.2">
      <c r="A250" s="1" t="s">
        <v>1</v>
      </c>
      <c r="B250" s="5" t="s">
        <v>15</v>
      </c>
      <c r="C250" s="28">
        <v>37257</v>
      </c>
      <c r="D250" s="6">
        <v>37258</v>
      </c>
      <c r="E250" s="6">
        <v>37259</v>
      </c>
      <c r="F250" s="6">
        <v>37260</v>
      </c>
      <c r="G250" s="28">
        <v>37261</v>
      </c>
      <c r="H250" s="28">
        <v>37262</v>
      </c>
      <c r="I250" s="6">
        <v>37263</v>
      </c>
      <c r="J250" s="8"/>
      <c r="K250" s="7"/>
    </row>
    <row r="251" spans="1:11" x14ac:dyDescent="0.2">
      <c r="B251" s="1" t="s">
        <v>3</v>
      </c>
      <c r="C251" s="19">
        <v>0</v>
      </c>
      <c r="D251" s="19">
        <v>550</v>
      </c>
      <c r="E251" s="19">
        <v>550</v>
      </c>
      <c r="F251" s="19">
        <v>550</v>
      </c>
      <c r="G251" s="19">
        <v>0</v>
      </c>
      <c r="H251" s="19">
        <v>0</v>
      </c>
      <c r="I251" s="19">
        <v>550</v>
      </c>
      <c r="K251" s="4"/>
    </row>
    <row r="252" spans="1:11" x14ac:dyDescent="0.2">
      <c r="B252" s="8" t="s">
        <v>4</v>
      </c>
      <c r="C252" s="10">
        <v>0</v>
      </c>
      <c r="D252" s="10">
        <v>31.52</v>
      </c>
      <c r="E252" s="10">
        <v>31.52</v>
      </c>
      <c r="F252" s="10">
        <v>31.52</v>
      </c>
      <c r="G252" s="10">
        <v>0</v>
      </c>
      <c r="H252" s="10">
        <v>0</v>
      </c>
      <c r="I252" s="10">
        <v>31.52</v>
      </c>
      <c r="K252" s="4"/>
    </row>
    <row r="253" spans="1:11" x14ac:dyDescent="0.2">
      <c r="B253" s="1" t="s">
        <v>5</v>
      </c>
      <c r="C253" s="19">
        <v>50</v>
      </c>
      <c r="D253" s="19">
        <v>1250</v>
      </c>
      <c r="E253" s="19">
        <v>1250</v>
      </c>
      <c r="F253" s="19">
        <v>1250</v>
      </c>
      <c r="G253" s="19">
        <v>50</v>
      </c>
      <c r="H253" s="19">
        <v>50</v>
      </c>
      <c r="I253" s="19">
        <v>1250</v>
      </c>
      <c r="K253" s="4"/>
    </row>
    <row r="254" spans="1:11" x14ac:dyDescent="0.2">
      <c r="B254" s="8" t="s">
        <v>4</v>
      </c>
      <c r="C254" s="10">
        <v>18.25</v>
      </c>
      <c r="D254" s="10">
        <v>35.5</v>
      </c>
      <c r="E254" s="10">
        <v>35.5</v>
      </c>
      <c r="F254" s="10">
        <v>35.5</v>
      </c>
      <c r="G254" s="10">
        <v>18.25</v>
      </c>
      <c r="H254" s="10">
        <v>18.25</v>
      </c>
      <c r="I254" s="10">
        <v>35.5</v>
      </c>
      <c r="K254" s="4"/>
    </row>
    <row r="255" spans="1:11" x14ac:dyDescent="0.2">
      <c r="B255" s="7" t="s">
        <v>6</v>
      </c>
      <c r="C255" s="4">
        <f t="shared" ref="C255:I255" si="98">C251-C253</f>
        <v>-50</v>
      </c>
      <c r="D255" s="4">
        <f t="shared" si="98"/>
        <v>-700</v>
      </c>
      <c r="E255" s="4">
        <f t="shared" si="98"/>
        <v>-700</v>
      </c>
      <c r="F255" s="4">
        <f t="shared" si="98"/>
        <v>-700</v>
      </c>
      <c r="G255" s="4">
        <f t="shared" si="98"/>
        <v>-50</v>
      </c>
      <c r="H255" s="4">
        <f t="shared" si="98"/>
        <v>-50</v>
      </c>
      <c r="I255" s="4">
        <f t="shared" si="98"/>
        <v>-700</v>
      </c>
      <c r="K255" s="4"/>
    </row>
    <row r="256" spans="1:11" x14ac:dyDescent="0.2">
      <c r="B256" s="9" t="s">
        <v>7</v>
      </c>
      <c r="C256" s="10">
        <v>22</v>
      </c>
      <c r="D256" s="29">
        <v>28</v>
      </c>
      <c r="E256" s="29">
        <v>28</v>
      </c>
      <c r="F256" s="29">
        <v>28</v>
      </c>
      <c r="G256" s="10">
        <v>22</v>
      </c>
      <c r="H256" s="10">
        <v>22</v>
      </c>
      <c r="I256" s="29">
        <v>28</v>
      </c>
      <c r="K256" s="4"/>
    </row>
    <row r="257" spans="1:11" x14ac:dyDescent="0.2">
      <c r="B257" s="9"/>
      <c r="C257" s="19"/>
      <c r="D257" s="19"/>
      <c r="E257" s="19"/>
      <c r="F257" s="10"/>
      <c r="G257" s="19"/>
      <c r="H257" s="19"/>
      <c r="K257" s="4"/>
    </row>
    <row r="258" spans="1:11" x14ac:dyDescent="0.2">
      <c r="B258" s="9" t="s">
        <v>8</v>
      </c>
      <c r="C258" s="12">
        <f>(C251*C252)*(-1)</f>
        <v>0</v>
      </c>
      <c r="D258" s="12">
        <f t="shared" ref="D258:I258" si="99">(D251*D252)*(-1)</f>
        <v>-17336</v>
      </c>
      <c r="E258" s="12">
        <f t="shared" si="99"/>
        <v>-17336</v>
      </c>
      <c r="F258" s="12">
        <f t="shared" si="99"/>
        <v>-17336</v>
      </c>
      <c r="G258" s="12">
        <f t="shared" si="99"/>
        <v>0</v>
      </c>
      <c r="H258" s="12">
        <f t="shared" si="99"/>
        <v>0</v>
      </c>
      <c r="I258" s="12">
        <f t="shared" si="99"/>
        <v>-17336</v>
      </c>
      <c r="K258" s="4"/>
    </row>
    <row r="259" spans="1:11" x14ac:dyDescent="0.2">
      <c r="B259" s="9" t="s">
        <v>9</v>
      </c>
      <c r="C259" s="11">
        <f>C253*C254</f>
        <v>912.5</v>
      </c>
      <c r="D259" s="11">
        <f t="shared" ref="D259:I259" si="100">D253*D254</f>
        <v>44375</v>
      </c>
      <c r="E259" s="11">
        <f t="shared" si="100"/>
        <v>44375</v>
      </c>
      <c r="F259" s="11">
        <f t="shared" si="100"/>
        <v>44375</v>
      </c>
      <c r="G259" s="11">
        <f t="shared" si="100"/>
        <v>912.5</v>
      </c>
      <c r="H259" s="11">
        <f t="shared" si="100"/>
        <v>912.5</v>
      </c>
      <c r="I259" s="11">
        <f t="shared" si="100"/>
        <v>44375</v>
      </c>
      <c r="K259" s="4"/>
    </row>
    <row r="260" spans="1:11" x14ac:dyDescent="0.2">
      <c r="B260" s="7" t="s">
        <v>10</v>
      </c>
      <c r="C260" s="11">
        <f>SUM(C258:C259)</f>
        <v>912.5</v>
      </c>
      <c r="D260" s="11">
        <f t="shared" ref="D260:I260" si="101">SUM(D258:D259)</f>
        <v>27039</v>
      </c>
      <c r="E260" s="11">
        <f t="shared" si="101"/>
        <v>27039</v>
      </c>
      <c r="F260" s="11">
        <f t="shared" si="101"/>
        <v>27039</v>
      </c>
      <c r="G260" s="11">
        <f>SUM(G258:G259)</f>
        <v>912.5</v>
      </c>
      <c r="H260" s="11">
        <f>SUM(H258:H259)</f>
        <v>912.5</v>
      </c>
      <c r="I260" s="11">
        <f t="shared" si="101"/>
        <v>27039</v>
      </c>
      <c r="K260" s="4"/>
    </row>
    <row r="261" spans="1:11" x14ac:dyDescent="0.2">
      <c r="A261" s="13"/>
      <c r="B261" s="2" t="s">
        <v>11</v>
      </c>
      <c r="C261" s="12">
        <f>C255*C256</f>
        <v>-1100</v>
      </c>
      <c r="D261" s="12">
        <f t="shared" ref="D261:I261" si="102">D255*D256</f>
        <v>-19600</v>
      </c>
      <c r="E261" s="12">
        <f t="shared" si="102"/>
        <v>-19600</v>
      </c>
      <c r="F261" s="12">
        <f t="shared" si="102"/>
        <v>-19600</v>
      </c>
      <c r="G261" s="12">
        <f t="shared" si="102"/>
        <v>-1100</v>
      </c>
      <c r="H261" s="12">
        <f t="shared" si="102"/>
        <v>-1100</v>
      </c>
      <c r="I261" s="12">
        <f t="shared" si="102"/>
        <v>-19600</v>
      </c>
    </row>
    <row r="262" spans="1:11" x14ac:dyDescent="0.2">
      <c r="A262" s="14"/>
      <c r="E262" s="2"/>
      <c r="G262" s="2"/>
      <c r="H262" s="2"/>
      <c r="I262" s="2"/>
    </row>
    <row r="263" spans="1:11" s="1" customFormat="1" x14ac:dyDescent="0.2">
      <c r="A263" s="13"/>
      <c r="B263" s="1" t="s">
        <v>12</v>
      </c>
      <c r="C263" s="15">
        <f>SUM(C260:C261)</f>
        <v>-187.5</v>
      </c>
      <c r="D263" s="15">
        <f t="shared" ref="D263:I263" si="103">SUM(D260:D261)</f>
        <v>7439</v>
      </c>
      <c r="E263" s="15">
        <f t="shared" si="103"/>
        <v>7439</v>
      </c>
      <c r="F263" s="15">
        <f t="shared" si="103"/>
        <v>7439</v>
      </c>
      <c r="G263" s="15">
        <f t="shared" si="103"/>
        <v>-187.5</v>
      </c>
      <c r="H263" s="15">
        <f t="shared" si="103"/>
        <v>-187.5</v>
      </c>
      <c r="I263" s="15">
        <f t="shared" si="103"/>
        <v>7439</v>
      </c>
      <c r="J263" s="8"/>
    </row>
    <row r="264" spans="1:11" x14ac:dyDescent="0.2">
      <c r="A264" s="16"/>
      <c r="B264" s="1" t="s">
        <v>13</v>
      </c>
      <c r="C264" s="15">
        <f>C263*16</f>
        <v>-3000</v>
      </c>
      <c r="D264" s="15">
        <f t="shared" ref="D264:I264" si="104">D263*16</f>
        <v>119024</v>
      </c>
      <c r="E264" s="15">
        <f t="shared" si="104"/>
        <v>119024</v>
      </c>
      <c r="F264" s="15">
        <f t="shared" si="104"/>
        <v>119024</v>
      </c>
      <c r="G264" s="15">
        <f>G263*16</f>
        <v>-3000</v>
      </c>
      <c r="H264" s="15">
        <f>H263*16</f>
        <v>-3000</v>
      </c>
      <c r="I264" s="15">
        <f t="shared" si="104"/>
        <v>119024</v>
      </c>
      <c r="J264" s="3">
        <f>SUM(C264:I264)</f>
        <v>467096</v>
      </c>
    </row>
    <row r="265" spans="1:11" x14ac:dyDescent="0.2">
      <c r="A265" s="16"/>
      <c r="B265" s="1"/>
      <c r="C265" s="15"/>
      <c r="D265" s="15"/>
      <c r="E265" s="15"/>
      <c r="F265" s="15"/>
      <c r="G265" s="15"/>
      <c r="H265" s="15"/>
      <c r="I265" s="15"/>
      <c r="J265" s="3"/>
    </row>
    <row r="266" spans="1:11" x14ac:dyDescent="0.2">
      <c r="A266" s="16"/>
      <c r="B266" s="1"/>
      <c r="C266" s="15"/>
      <c r="D266" s="15"/>
      <c r="E266" s="15"/>
      <c r="F266" s="15"/>
      <c r="G266" s="15"/>
      <c r="H266" s="15"/>
      <c r="I266" s="15"/>
      <c r="J266" s="3"/>
    </row>
    <row r="267" spans="1:11" s="1" customFormat="1" x14ac:dyDescent="0.2">
      <c r="A267" s="1" t="s">
        <v>43</v>
      </c>
      <c r="B267" s="5" t="s">
        <v>18</v>
      </c>
      <c r="C267" s="28">
        <v>37257</v>
      </c>
      <c r="D267" s="6">
        <v>37258</v>
      </c>
      <c r="E267" s="6">
        <v>37259</v>
      </c>
      <c r="F267" s="6">
        <v>37260</v>
      </c>
      <c r="G267" s="28">
        <v>37261</v>
      </c>
      <c r="H267" s="28">
        <v>37262</v>
      </c>
      <c r="I267" s="6">
        <v>37263</v>
      </c>
      <c r="J267" s="8"/>
      <c r="K267" s="7"/>
    </row>
    <row r="268" spans="1:11" x14ac:dyDescent="0.2">
      <c r="B268" s="1" t="s">
        <v>3</v>
      </c>
      <c r="C268" s="19">
        <v>0</v>
      </c>
      <c r="D268" s="19">
        <v>200</v>
      </c>
      <c r="E268" s="19">
        <v>200</v>
      </c>
      <c r="F268" s="19">
        <v>200</v>
      </c>
      <c r="G268" s="19">
        <v>0</v>
      </c>
      <c r="H268" s="19">
        <v>0</v>
      </c>
      <c r="I268" s="19">
        <v>200</v>
      </c>
      <c r="K268" s="4"/>
    </row>
    <row r="269" spans="1:11" x14ac:dyDescent="0.2">
      <c r="B269" s="8" t="s">
        <v>4</v>
      </c>
      <c r="C269" s="10">
        <v>0</v>
      </c>
      <c r="D269" s="10">
        <v>30</v>
      </c>
      <c r="E269" s="10">
        <v>30</v>
      </c>
      <c r="F269" s="10">
        <v>30</v>
      </c>
      <c r="G269" s="10">
        <v>0</v>
      </c>
      <c r="H269" s="10">
        <v>0</v>
      </c>
      <c r="I269" s="10">
        <v>30</v>
      </c>
      <c r="K269" s="4"/>
    </row>
    <row r="270" spans="1:11" x14ac:dyDescent="0.2">
      <c r="B270" s="1" t="s">
        <v>5</v>
      </c>
      <c r="C270" s="19">
        <v>0</v>
      </c>
      <c r="D270" s="19">
        <v>350</v>
      </c>
      <c r="E270" s="19">
        <v>350</v>
      </c>
      <c r="F270" s="19">
        <v>350</v>
      </c>
      <c r="G270" s="19">
        <v>0</v>
      </c>
      <c r="H270" s="19">
        <v>0</v>
      </c>
      <c r="I270" s="19">
        <v>350</v>
      </c>
      <c r="K270" s="4"/>
    </row>
    <row r="271" spans="1:11" x14ac:dyDescent="0.2">
      <c r="B271" s="8" t="s">
        <v>4</v>
      </c>
      <c r="C271" s="10">
        <v>0</v>
      </c>
      <c r="D271" s="10">
        <v>28.3</v>
      </c>
      <c r="E271" s="10">
        <v>28.3</v>
      </c>
      <c r="F271" s="10">
        <v>28.3</v>
      </c>
      <c r="G271" s="10">
        <v>0</v>
      </c>
      <c r="H271" s="10">
        <v>0</v>
      </c>
      <c r="I271" s="10">
        <v>28.3</v>
      </c>
      <c r="K271" s="4"/>
    </row>
    <row r="272" spans="1:11" x14ac:dyDescent="0.2">
      <c r="B272" s="7" t="s">
        <v>6</v>
      </c>
      <c r="C272" s="4">
        <f t="shared" ref="C272:I272" si="105">C268-C270</f>
        <v>0</v>
      </c>
      <c r="D272" s="4">
        <f t="shared" si="105"/>
        <v>-150</v>
      </c>
      <c r="E272" s="4">
        <f t="shared" si="105"/>
        <v>-150</v>
      </c>
      <c r="F272" s="4">
        <f t="shared" si="105"/>
        <v>-150</v>
      </c>
      <c r="G272" s="4">
        <f t="shared" si="105"/>
        <v>0</v>
      </c>
      <c r="H272" s="4">
        <f t="shared" si="105"/>
        <v>0</v>
      </c>
      <c r="I272" s="4">
        <f t="shared" si="105"/>
        <v>-150</v>
      </c>
      <c r="K272" s="4"/>
    </row>
    <row r="273" spans="1:11" x14ac:dyDescent="0.2">
      <c r="B273" s="9" t="s">
        <v>7</v>
      </c>
      <c r="C273" s="10">
        <v>22</v>
      </c>
      <c r="D273" s="29">
        <v>28</v>
      </c>
      <c r="E273" s="29">
        <v>28</v>
      </c>
      <c r="F273" s="29">
        <v>28</v>
      </c>
      <c r="G273" s="10">
        <v>22</v>
      </c>
      <c r="H273" s="10">
        <v>22</v>
      </c>
      <c r="I273" s="29">
        <v>28</v>
      </c>
      <c r="K273" s="4"/>
    </row>
    <row r="274" spans="1:11" x14ac:dyDescent="0.2">
      <c r="B274" s="9"/>
      <c r="C274" s="19"/>
      <c r="D274" s="19"/>
      <c r="E274" s="19"/>
      <c r="F274" s="19"/>
      <c r="G274" s="19"/>
      <c r="H274" s="19"/>
      <c r="I274" s="19"/>
      <c r="K274" s="4"/>
    </row>
    <row r="275" spans="1:11" x14ac:dyDescent="0.2">
      <c r="B275" s="9" t="s">
        <v>8</v>
      </c>
      <c r="C275" s="12">
        <f t="shared" ref="C275:I275" si="106">(C268*C269)*(-1)</f>
        <v>0</v>
      </c>
      <c r="D275" s="12">
        <f t="shared" si="106"/>
        <v>-6000</v>
      </c>
      <c r="E275" s="12">
        <f t="shared" si="106"/>
        <v>-6000</v>
      </c>
      <c r="F275" s="12">
        <f t="shared" si="106"/>
        <v>-6000</v>
      </c>
      <c r="G275" s="12">
        <f t="shared" si="106"/>
        <v>0</v>
      </c>
      <c r="H275" s="12">
        <f t="shared" si="106"/>
        <v>0</v>
      </c>
      <c r="I275" s="12">
        <f t="shared" si="106"/>
        <v>-6000</v>
      </c>
      <c r="K275" s="4"/>
    </row>
    <row r="276" spans="1:11" x14ac:dyDescent="0.2">
      <c r="B276" s="9" t="s">
        <v>9</v>
      </c>
      <c r="C276" s="11">
        <f t="shared" ref="C276:I276" si="107">C270*C271</f>
        <v>0</v>
      </c>
      <c r="D276" s="11">
        <f t="shared" si="107"/>
        <v>9905</v>
      </c>
      <c r="E276" s="11">
        <f t="shared" si="107"/>
        <v>9905</v>
      </c>
      <c r="F276" s="11">
        <f t="shared" si="107"/>
        <v>9905</v>
      </c>
      <c r="G276" s="11">
        <f t="shared" si="107"/>
        <v>0</v>
      </c>
      <c r="H276" s="11">
        <f t="shared" si="107"/>
        <v>0</v>
      </c>
      <c r="I276" s="11">
        <f t="shared" si="107"/>
        <v>9905</v>
      </c>
      <c r="K276" s="4"/>
    </row>
    <row r="277" spans="1:11" x14ac:dyDescent="0.2">
      <c r="B277" s="7" t="s">
        <v>10</v>
      </c>
      <c r="C277" s="11">
        <f t="shared" ref="C277:I277" si="108">SUM(C275:C276)</f>
        <v>0</v>
      </c>
      <c r="D277" s="11">
        <f t="shared" si="108"/>
        <v>3905</v>
      </c>
      <c r="E277" s="11">
        <f t="shared" si="108"/>
        <v>3905</v>
      </c>
      <c r="F277" s="11">
        <f t="shared" si="108"/>
        <v>3905</v>
      </c>
      <c r="G277" s="11">
        <f t="shared" si="108"/>
        <v>0</v>
      </c>
      <c r="H277" s="11">
        <f t="shared" si="108"/>
        <v>0</v>
      </c>
      <c r="I277" s="11">
        <f t="shared" si="108"/>
        <v>3905</v>
      </c>
      <c r="K277" s="4"/>
    </row>
    <row r="278" spans="1:11" x14ac:dyDescent="0.2">
      <c r="A278" s="13"/>
      <c r="B278" s="2" t="s">
        <v>11</v>
      </c>
      <c r="C278" s="12">
        <f t="shared" ref="C278:I278" si="109">C272*C273</f>
        <v>0</v>
      </c>
      <c r="D278" s="12">
        <f t="shared" si="109"/>
        <v>-4200</v>
      </c>
      <c r="E278" s="12">
        <f t="shared" si="109"/>
        <v>-4200</v>
      </c>
      <c r="F278" s="12">
        <f t="shared" si="109"/>
        <v>-4200</v>
      </c>
      <c r="G278" s="12">
        <f t="shared" si="109"/>
        <v>0</v>
      </c>
      <c r="H278" s="12">
        <f t="shared" si="109"/>
        <v>0</v>
      </c>
      <c r="I278" s="12">
        <f t="shared" si="109"/>
        <v>-4200</v>
      </c>
    </row>
    <row r="279" spans="1:11" x14ac:dyDescent="0.2">
      <c r="A279" s="14"/>
      <c r="E279" s="2"/>
      <c r="G279" s="2"/>
      <c r="H279" s="2"/>
      <c r="I279" s="2"/>
    </row>
    <row r="280" spans="1:11" s="1" customFormat="1" x14ac:dyDescent="0.2">
      <c r="A280" s="13"/>
      <c r="B280" s="1" t="s">
        <v>12</v>
      </c>
      <c r="C280" s="15">
        <f t="shared" ref="C280:I280" si="110">SUM(C277:C278)</f>
        <v>0</v>
      </c>
      <c r="D280" s="15">
        <f t="shared" si="110"/>
        <v>-295</v>
      </c>
      <c r="E280" s="15">
        <f t="shared" si="110"/>
        <v>-295</v>
      </c>
      <c r="F280" s="15">
        <f t="shared" si="110"/>
        <v>-295</v>
      </c>
      <c r="G280" s="15">
        <f t="shared" si="110"/>
        <v>0</v>
      </c>
      <c r="H280" s="15">
        <f t="shared" si="110"/>
        <v>0</v>
      </c>
      <c r="I280" s="15">
        <f t="shared" si="110"/>
        <v>-295</v>
      </c>
      <c r="J280" s="8"/>
    </row>
    <row r="281" spans="1:11" x14ac:dyDescent="0.2">
      <c r="A281" s="16"/>
      <c r="B281" s="1" t="s">
        <v>27</v>
      </c>
      <c r="C281" s="15">
        <f t="shared" ref="C281:I281" si="111">C280*16</f>
        <v>0</v>
      </c>
      <c r="D281" s="15">
        <f t="shared" si="111"/>
        <v>-4720</v>
      </c>
      <c r="E281" s="15">
        <f t="shared" si="111"/>
        <v>-4720</v>
      </c>
      <c r="F281" s="15">
        <f t="shared" si="111"/>
        <v>-4720</v>
      </c>
      <c r="G281" s="15">
        <f t="shared" si="111"/>
        <v>0</v>
      </c>
      <c r="H281" s="15">
        <f t="shared" si="111"/>
        <v>0</v>
      </c>
      <c r="I281" s="15">
        <f t="shared" si="111"/>
        <v>-4720</v>
      </c>
      <c r="J281" s="3">
        <f>SUM(C281:I281)</f>
        <v>-18880</v>
      </c>
    </row>
    <row r="282" spans="1:11" x14ac:dyDescent="0.2">
      <c r="A282" s="16"/>
      <c r="B282" s="1"/>
      <c r="C282" s="15"/>
      <c r="D282" s="15"/>
      <c r="E282" s="15"/>
      <c r="F282" s="15"/>
      <c r="G282" s="15"/>
      <c r="H282" s="15"/>
      <c r="I282" s="15"/>
      <c r="J282" s="3"/>
    </row>
    <row r="283" spans="1:11" x14ac:dyDescent="0.2">
      <c r="A283" s="13"/>
    </row>
    <row r="284" spans="1:11" s="1" customFormat="1" x14ac:dyDescent="0.2">
      <c r="A284" s="1" t="s">
        <v>17</v>
      </c>
      <c r="B284" s="5" t="s">
        <v>18</v>
      </c>
      <c r="C284" s="28">
        <v>37257</v>
      </c>
      <c r="D284" s="6">
        <v>37258</v>
      </c>
      <c r="E284" s="6">
        <v>37259</v>
      </c>
      <c r="F284" s="6">
        <v>37260</v>
      </c>
      <c r="G284" s="28">
        <v>37261</v>
      </c>
      <c r="H284" s="28">
        <v>37262</v>
      </c>
      <c r="I284" s="6">
        <v>37263</v>
      </c>
      <c r="J284" s="8"/>
      <c r="K284" s="7"/>
    </row>
    <row r="285" spans="1:11" x14ac:dyDescent="0.2">
      <c r="B285" s="1" t="s">
        <v>3</v>
      </c>
      <c r="D285" s="19">
        <v>550</v>
      </c>
      <c r="E285" s="19">
        <v>550</v>
      </c>
      <c r="F285" s="19">
        <v>550</v>
      </c>
      <c r="G285" s="10"/>
      <c r="H285" s="21"/>
      <c r="I285" s="19">
        <v>550</v>
      </c>
      <c r="K285" s="4"/>
    </row>
    <row r="286" spans="1:11" x14ac:dyDescent="0.2">
      <c r="B286" s="8" t="s">
        <v>4</v>
      </c>
      <c r="C286" s="3">
        <v>0</v>
      </c>
      <c r="D286" s="10">
        <v>28.04</v>
      </c>
      <c r="E286" s="10">
        <v>28.04</v>
      </c>
      <c r="F286" s="10">
        <v>28.04</v>
      </c>
      <c r="G286" s="10"/>
      <c r="H286" s="21"/>
      <c r="I286" s="10">
        <v>28.04</v>
      </c>
      <c r="K286" s="4"/>
    </row>
    <row r="287" spans="1:11" x14ac:dyDescent="0.2">
      <c r="B287" s="1" t="s">
        <v>5</v>
      </c>
      <c r="D287" s="19">
        <v>550</v>
      </c>
      <c r="E287" s="19">
        <v>550</v>
      </c>
      <c r="F287" s="19">
        <v>550</v>
      </c>
      <c r="G287" s="10"/>
      <c r="H287" s="21"/>
      <c r="I287" s="19">
        <v>550</v>
      </c>
      <c r="K287" s="4"/>
    </row>
    <row r="288" spans="1:11" x14ac:dyDescent="0.2">
      <c r="B288" s="8" t="s">
        <v>4</v>
      </c>
      <c r="C288" s="3">
        <v>0</v>
      </c>
      <c r="D288" s="10">
        <v>27.81</v>
      </c>
      <c r="E288" s="10">
        <v>27.81</v>
      </c>
      <c r="F288" s="10">
        <v>27.81</v>
      </c>
      <c r="G288" s="10"/>
      <c r="H288" s="21"/>
      <c r="I288" s="10">
        <v>27.81</v>
      </c>
      <c r="K288" s="4"/>
    </row>
    <row r="289" spans="1:11" x14ac:dyDescent="0.2">
      <c r="B289" s="7" t="s">
        <v>6</v>
      </c>
      <c r="C289" s="4">
        <f>C285-C287</f>
        <v>0</v>
      </c>
      <c r="D289" s="4">
        <f t="shared" ref="D289:I289" si="112">D285-D287</f>
        <v>0</v>
      </c>
      <c r="E289" s="4">
        <f t="shared" si="112"/>
        <v>0</v>
      </c>
      <c r="F289" s="4">
        <f t="shared" si="112"/>
        <v>0</v>
      </c>
      <c r="G289" s="4">
        <f t="shared" si="112"/>
        <v>0</v>
      </c>
      <c r="H289" s="4">
        <f t="shared" si="112"/>
        <v>0</v>
      </c>
      <c r="I289" s="4">
        <f t="shared" si="112"/>
        <v>0</v>
      </c>
      <c r="K289" s="4"/>
    </row>
    <row r="290" spans="1:11" x14ac:dyDescent="0.2">
      <c r="B290" s="9" t="s">
        <v>7</v>
      </c>
      <c r="C290" s="10">
        <v>22</v>
      </c>
      <c r="D290" s="29">
        <v>28</v>
      </c>
      <c r="E290" s="29">
        <v>28</v>
      </c>
      <c r="F290" s="29">
        <v>28</v>
      </c>
      <c r="G290" s="10">
        <v>22</v>
      </c>
      <c r="H290" s="10">
        <v>22</v>
      </c>
      <c r="I290" s="29">
        <v>28</v>
      </c>
      <c r="K290" s="4"/>
    </row>
    <row r="291" spans="1:11" x14ac:dyDescent="0.2">
      <c r="B291" s="9"/>
      <c r="C291" s="11"/>
      <c r="D291" s="19"/>
      <c r="E291" s="19"/>
      <c r="F291" s="10"/>
      <c r="G291" s="10"/>
      <c r="H291" s="21"/>
      <c r="K291" s="4"/>
    </row>
    <row r="292" spans="1:11" x14ac:dyDescent="0.2">
      <c r="B292" s="9" t="s">
        <v>8</v>
      </c>
      <c r="C292" s="12">
        <f t="shared" ref="C292:I292" si="113">(C285*C286)*(-1)</f>
        <v>0</v>
      </c>
      <c r="D292" s="12">
        <f t="shared" si="113"/>
        <v>-15422</v>
      </c>
      <c r="E292" s="12">
        <f t="shared" si="113"/>
        <v>-15422</v>
      </c>
      <c r="F292" s="12">
        <f t="shared" si="113"/>
        <v>-15422</v>
      </c>
      <c r="G292" s="12">
        <f t="shared" si="113"/>
        <v>0</v>
      </c>
      <c r="H292" s="12">
        <f t="shared" si="113"/>
        <v>0</v>
      </c>
      <c r="I292" s="12">
        <f t="shared" si="113"/>
        <v>-15422</v>
      </c>
      <c r="K292" s="4"/>
    </row>
    <row r="293" spans="1:11" x14ac:dyDescent="0.2">
      <c r="B293" s="9" t="s">
        <v>9</v>
      </c>
      <c r="C293" s="11">
        <f t="shared" ref="C293:I293" si="114">C287*C288</f>
        <v>0</v>
      </c>
      <c r="D293" s="11">
        <f t="shared" si="114"/>
        <v>15295.5</v>
      </c>
      <c r="E293" s="11">
        <f t="shared" si="114"/>
        <v>15295.5</v>
      </c>
      <c r="F293" s="11">
        <f t="shared" si="114"/>
        <v>15295.5</v>
      </c>
      <c r="G293" s="11">
        <f t="shared" si="114"/>
        <v>0</v>
      </c>
      <c r="H293" s="11">
        <f t="shared" si="114"/>
        <v>0</v>
      </c>
      <c r="I293" s="11">
        <f t="shared" si="114"/>
        <v>15295.5</v>
      </c>
      <c r="K293" s="4"/>
    </row>
    <row r="294" spans="1:11" x14ac:dyDescent="0.2">
      <c r="B294" s="7" t="s">
        <v>10</v>
      </c>
      <c r="C294" s="11">
        <f t="shared" ref="C294:I294" si="115">SUM(C292:C293)</f>
        <v>0</v>
      </c>
      <c r="D294" s="11">
        <f t="shared" si="115"/>
        <v>-126.5</v>
      </c>
      <c r="E294" s="11">
        <f t="shared" si="115"/>
        <v>-126.5</v>
      </c>
      <c r="F294" s="11">
        <f t="shared" si="115"/>
        <v>-126.5</v>
      </c>
      <c r="G294" s="11">
        <f t="shared" si="115"/>
        <v>0</v>
      </c>
      <c r="H294" s="11">
        <f t="shared" si="115"/>
        <v>0</v>
      </c>
      <c r="I294" s="11">
        <f t="shared" si="115"/>
        <v>-126.5</v>
      </c>
      <c r="K294" s="4"/>
    </row>
    <row r="295" spans="1:11" x14ac:dyDescent="0.2">
      <c r="A295" s="13"/>
      <c r="B295" s="2" t="s">
        <v>11</v>
      </c>
      <c r="C295" s="12">
        <f t="shared" ref="C295:I295" si="116">C289*C290</f>
        <v>0</v>
      </c>
      <c r="D295" s="12">
        <f t="shared" si="116"/>
        <v>0</v>
      </c>
      <c r="E295" s="12">
        <f t="shared" si="116"/>
        <v>0</v>
      </c>
      <c r="F295" s="12">
        <f t="shared" si="116"/>
        <v>0</v>
      </c>
      <c r="G295" s="12">
        <f t="shared" si="116"/>
        <v>0</v>
      </c>
      <c r="H295" s="12">
        <f t="shared" si="116"/>
        <v>0</v>
      </c>
      <c r="I295" s="12">
        <f t="shared" si="116"/>
        <v>0</v>
      </c>
    </row>
    <row r="296" spans="1:11" x14ac:dyDescent="0.2">
      <c r="A296" s="14"/>
      <c r="E296" s="2"/>
      <c r="G296" s="2"/>
      <c r="H296" s="2"/>
      <c r="I296" s="2"/>
    </row>
    <row r="297" spans="1:11" s="1" customFormat="1" x14ac:dyDescent="0.2">
      <c r="A297" s="13"/>
      <c r="B297" s="1" t="s">
        <v>12</v>
      </c>
      <c r="C297" s="15">
        <f t="shared" ref="C297:I297" si="117">SUM(C294:C295)</f>
        <v>0</v>
      </c>
      <c r="D297" s="15">
        <f t="shared" si="117"/>
        <v>-126.5</v>
      </c>
      <c r="E297" s="15">
        <f t="shared" si="117"/>
        <v>-126.5</v>
      </c>
      <c r="F297" s="15">
        <f t="shared" si="117"/>
        <v>-126.5</v>
      </c>
      <c r="G297" s="15">
        <f t="shared" si="117"/>
        <v>0</v>
      </c>
      <c r="H297" s="15">
        <f t="shared" si="117"/>
        <v>0</v>
      </c>
      <c r="I297" s="15">
        <f t="shared" si="117"/>
        <v>-126.5</v>
      </c>
      <c r="J297" s="8"/>
    </row>
    <row r="298" spans="1:11" x14ac:dyDescent="0.2">
      <c r="A298" s="16"/>
      <c r="B298" s="1" t="s">
        <v>13</v>
      </c>
      <c r="C298" s="15">
        <f t="shared" ref="C298:I298" si="118">C297*16</f>
        <v>0</v>
      </c>
      <c r="D298" s="15">
        <f t="shared" si="118"/>
        <v>-2024</v>
      </c>
      <c r="E298" s="15">
        <f t="shared" si="118"/>
        <v>-2024</v>
      </c>
      <c r="F298" s="15">
        <f t="shared" si="118"/>
        <v>-2024</v>
      </c>
      <c r="G298" s="15">
        <f t="shared" si="118"/>
        <v>0</v>
      </c>
      <c r="H298" s="15">
        <f t="shared" si="118"/>
        <v>0</v>
      </c>
      <c r="I298" s="15">
        <f t="shared" si="118"/>
        <v>-2024</v>
      </c>
      <c r="J298" s="3">
        <f>SUM(C298:I298)</f>
        <v>-8096</v>
      </c>
    </row>
    <row r="299" spans="1:11" x14ac:dyDescent="0.2">
      <c r="A299" s="16"/>
      <c r="B299" s="1"/>
      <c r="C299" s="15"/>
      <c r="D299" s="15"/>
      <c r="E299" s="15"/>
      <c r="F299" s="15"/>
      <c r="G299" s="15"/>
      <c r="H299" s="15"/>
      <c r="I299" s="15"/>
      <c r="J299" s="3"/>
    </row>
    <row r="300" spans="1:11" x14ac:dyDescent="0.2">
      <c r="A300" s="16"/>
      <c r="B300" s="1"/>
      <c r="C300" s="15"/>
      <c r="D300" s="15"/>
      <c r="E300" s="15"/>
      <c r="F300" s="15"/>
      <c r="G300" s="15"/>
      <c r="H300" s="15"/>
      <c r="I300" s="15"/>
      <c r="J300" s="3"/>
    </row>
    <row r="301" spans="1:11" s="1" customFormat="1" x14ac:dyDescent="0.2">
      <c r="A301" s="1" t="s">
        <v>32</v>
      </c>
      <c r="B301" s="5" t="s">
        <v>29</v>
      </c>
      <c r="C301" s="28">
        <v>37257</v>
      </c>
      <c r="D301" s="6">
        <v>37258</v>
      </c>
      <c r="E301" s="6">
        <v>37259</v>
      </c>
      <c r="F301" s="6">
        <v>37260</v>
      </c>
      <c r="G301" s="28">
        <v>37261</v>
      </c>
      <c r="H301" s="28">
        <v>37262</v>
      </c>
      <c r="I301" s="6">
        <v>37263</v>
      </c>
      <c r="J301" s="8"/>
      <c r="K301" s="7"/>
    </row>
    <row r="302" spans="1:11" x14ac:dyDescent="0.2">
      <c r="B302" s="1" t="s">
        <v>3</v>
      </c>
      <c r="D302" s="19">
        <v>50</v>
      </c>
      <c r="E302" s="19">
        <v>50</v>
      </c>
      <c r="F302" s="19">
        <v>50</v>
      </c>
      <c r="G302" s="10"/>
      <c r="H302" s="21"/>
      <c r="I302" s="19">
        <v>50</v>
      </c>
      <c r="K302" s="4"/>
    </row>
    <row r="303" spans="1:11" x14ac:dyDescent="0.2">
      <c r="B303" s="8" t="s">
        <v>4</v>
      </c>
      <c r="C303" s="3">
        <v>0</v>
      </c>
      <c r="D303" s="10">
        <v>32</v>
      </c>
      <c r="E303" s="10">
        <v>32</v>
      </c>
      <c r="F303" s="10">
        <v>32</v>
      </c>
      <c r="G303" s="10"/>
      <c r="H303" s="21"/>
      <c r="I303" s="10">
        <v>32</v>
      </c>
      <c r="K303" s="4"/>
    </row>
    <row r="304" spans="1:11" x14ac:dyDescent="0.2">
      <c r="B304" s="1" t="s">
        <v>5</v>
      </c>
      <c r="C304" s="2">
        <v>50</v>
      </c>
      <c r="D304" s="19">
        <v>50</v>
      </c>
      <c r="E304" s="19">
        <v>50</v>
      </c>
      <c r="F304" s="19">
        <v>50</v>
      </c>
      <c r="G304" s="19">
        <v>50</v>
      </c>
      <c r="H304" s="19">
        <v>50</v>
      </c>
      <c r="I304" s="19">
        <v>50</v>
      </c>
      <c r="K304" s="4"/>
    </row>
    <row r="305" spans="1:11" x14ac:dyDescent="0.2">
      <c r="B305" s="8" t="s">
        <v>4</v>
      </c>
      <c r="C305" s="3">
        <v>32</v>
      </c>
      <c r="D305" s="10">
        <v>32</v>
      </c>
      <c r="E305" s="10">
        <v>32</v>
      </c>
      <c r="F305" s="10">
        <v>32</v>
      </c>
      <c r="G305" s="10">
        <v>32</v>
      </c>
      <c r="H305" s="10">
        <v>32</v>
      </c>
      <c r="I305" s="10">
        <v>32</v>
      </c>
      <c r="K305" s="4"/>
    </row>
    <row r="306" spans="1:11" x14ac:dyDescent="0.2">
      <c r="B306" s="7" t="s">
        <v>6</v>
      </c>
      <c r="C306" s="4">
        <f>C302-C304</f>
        <v>-50</v>
      </c>
      <c r="D306" s="4">
        <f t="shared" ref="D306:I306" si="119">D302-D304</f>
        <v>0</v>
      </c>
      <c r="E306" s="4">
        <f t="shared" si="119"/>
        <v>0</v>
      </c>
      <c r="F306" s="4">
        <f t="shared" si="119"/>
        <v>0</v>
      </c>
      <c r="G306" s="4">
        <f t="shared" si="119"/>
        <v>-50</v>
      </c>
      <c r="H306" s="4">
        <f t="shared" si="119"/>
        <v>-50</v>
      </c>
      <c r="I306" s="4">
        <f t="shared" si="119"/>
        <v>0</v>
      </c>
      <c r="K306" s="4"/>
    </row>
    <row r="307" spans="1:11" x14ac:dyDescent="0.2">
      <c r="B307" s="9" t="s">
        <v>7</v>
      </c>
      <c r="C307" s="10">
        <v>22</v>
      </c>
      <c r="D307" s="29">
        <v>28</v>
      </c>
      <c r="E307" s="29">
        <v>28</v>
      </c>
      <c r="F307" s="29">
        <v>28</v>
      </c>
      <c r="G307" s="10">
        <v>22</v>
      </c>
      <c r="H307" s="10">
        <v>22</v>
      </c>
      <c r="I307" s="29">
        <v>28</v>
      </c>
      <c r="K307" s="4"/>
    </row>
    <row r="308" spans="1:11" x14ac:dyDescent="0.2">
      <c r="B308" s="9"/>
      <c r="C308" s="11"/>
      <c r="D308" s="19"/>
      <c r="E308" s="19"/>
      <c r="F308" s="10"/>
      <c r="G308" s="10"/>
      <c r="H308" s="21"/>
      <c r="K308" s="4"/>
    </row>
    <row r="309" spans="1:11" x14ac:dyDescent="0.2">
      <c r="B309" s="9" t="s">
        <v>8</v>
      </c>
      <c r="C309" s="12">
        <f t="shared" ref="C309:I309" si="120">(C302*C303)*(-1)</f>
        <v>0</v>
      </c>
      <c r="D309" s="12">
        <f t="shared" si="120"/>
        <v>-1600</v>
      </c>
      <c r="E309" s="12">
        <f t="shared" si="120"/>
        <v>-1600</v>
      </c>
      <c r="F309" s="12">
        <f t="shared" si="120"/>
        <v>-1600</v>
      </c>
      <c r="G309" s="12">
        <f t="shared" si="120"/>
        <v>0</v>
      </c>
      <c r="H309" s="12">
        <f t="shared" si="120"/>
        <v>0</v>
      </c>
      <c r="I309" s="12">
        <f t="shared" si="120"/>
        <v>-1600</v>
      </c>
      <c r="K309" s="4"/>
    </row>
    <row r="310" spans="1:11" x14ac:dyDescent="0.2">
      <c r="B310" s="9" t="s">
        <v>9</v>
      </c>
      <c r="C310" s="11">
        <f t="shared" ref="C310:I310" si="121">C304*C305</f>
        <v>1600</v>
      </c>
      <c r="D310" s="11">
        <f t="shared" si="121"/>
        <v>1600</v>
      </c>
      <c r="E310" s="11">
        <f t="shared" si="121"/>
        <v>1600</v>
      </c>
      <c r="F310" s="11">
        <f t="shared" si="121"/>
        <v>1600</v>
      </c>
      <c r="G310" s="11">
        <f t="shared" si="121"/>
        <v>1600</v>
      </c>
      <c r="H310" s="11">
        <f t="shared" si="121"/>
        <v>1600</v>
      </c>
      <c r="I310" s="11">
        <f t="shared" si="121"/>
        <v>1600</v>
      </c>
      <c r="K310" s="4"/>
    </row>
    <row r="311" spans="1:11" x14ac:dyDescent="0.2">
      <c r="B311" s="7" t="s">
        <v>10</v>
      </c>
      <c r="C311" s="11">
        <f t="shared" ref="C311:I311" si="122">SUM(C309:C310)</f>
        <v>1600</v>
      </c>
      <c r="D311" s="11">
        <f t="shared" si="122"/>
        <v>0</v>
      </c>
      <c r="E311" s="11">
        <f t="shared" si="122"/>
        <v>0</v>
      </c>
      <c r="F311" s="11">
        <f t="shared" si="122"/>
        <v>0</v>
      </c>
      <c r="G311" s="11">
        <f t="shared" si="122"/>
        <v>1600</v>
      </c>
      <c r="H311" s="11">
        <f t="shared" si="122"/>
        <v>1600</v>
      </c>
      <c r="I311" s="11">
        <f t="shared" si="122"/>
        <v>0</v>
      </c>
      <c r="K311" s="4"/>
    </row>
    <row r="312" spans="1:11" x14ac:dyDescent="0.2">
      <c r="A312" s="13"/>
      <c r="B312" s="2" t="s">
        <v>11</v>
      </c>
      <c r="C312" s="12">
        <f t="shared" ref="C312:I312" si="123">C306*C307</f>
        <v>-1100</v>
      </c>
      <c r="D312" s="12">
        <f t="shared" si="123"/>
        <v>0</v>
      </c>
      <c r="E312" s="12">
        <f t="shared" si="123"/>
        <v>0</v>
      </c>
      <c r="F312" s="12">
        <f t="shared" si="123"/>
        <v>0</v>
      </c>
      <c r="G312" s="12">
        <f t="shared" si="123"/>
        <v>-1100</v>
      </c>
      <c r="H312" s="12">
        <f t="shared" si="123"/>
        <v>-1100</v>
      </c>
      <c r="I312" s="12">
        <f t="shared" si="123"/>
        <v>0</v>
      </c>
    </row>
    <row r="313" spans="1:11" x14ac:dyDescent="0.2">
      <c r="A313" s="14"/>
      <c r="E313" s="2"/>
      <c r="G313" s="2"/>
      <c r="H313" s="2"/>
      <c r="I313" s="2"/>
    </row>
    <row r="314" spans="1:11" s="1" customFormat="1" x14ac:dyDescent="0.2">
      <c r="A314" s="13"/>
      <c r="B314" s="1" t="s">
        <v>12</v>
      </c>
      <c r="C314" s="15">
        <f t="shared" ref="C314:I314" si="124">SUM(C311:C312)</f>
        <v>500</v>
      </c>
      <c r="D314" s="15">
        <f t="shared" si="124"/>
        <v>0</v>
      </c>
      <c r="E314" s="15">
        <f t="shared" si="124"/>
        <v>0</v>
      </c>
      <c r="F314" s="15">
        <f t="shared" si="124"/>
        <v>0</v>
      </c>
      <c r="G314" s="15">
        <f t="shared" si="124"/>
        <v>500</v>
      </c>
      <c r="H314" s="15">
        <f t="shared" si="124"/>
        <v>500</v>
      </c>
      <c r="I314" s="15">
        <f t="shared" si="124"/>
        <v>0</v>
      </c>
      <c r="J314" s="8"/>
    </row>
    <row r="315" spans="1:11" x14ac:dyDescent="0.2">
      <c r="A315" s="16"/>
      <c r="B315" s="1" t="s">
        <v>27</v>
      </c>
      <c r="C315" s="15">
        <f t="shared" ref="C315:I315" si="125">C314*16</f>
        <v>8000</v>
      </c>
      <c r="D315" s="15">
        <f t="shared" si="125"/>
        <v>0</v>
      </c>
      <c r="E315" s="15">
        <f t="shared" si="125"/>
        <v>0</v>
      </c>
      <c r="F315" s="15">
        <f t="shared" si="125"/>
        <v>0</v>
      </c>
      <c r="G315" s="15">
        <f t="shared" si="125"/>
        <v>8000</v>
      </c>
      <c r="H315" s="15">
        <f t="shared" si="125"/>
        <v>8000</v>
      </c>
      <c r="I315" s="15">
        <f t="shared" si="125"/>
        <v>0</v>
      </c>
      <c r="J315" s="3">
        <f>SUM(C315:I315)</f>
        <v>24000</v>
      </c>
    </row>
    <row r="316" spans="1:11" x14ac:dyDescent="0.2">
      <c r="A316" s="16"/>
      <c r="B316" s="1"/>
      <c r="C316" s="15"/>
      <c r="D316" s="15"/>
      <c r="E316" s="15"/>
      <c r="F316" s="15"/>
      <c r="G316" s="15"/>
      <c r="H316" s="15"/>
      <c r="I316" s="15"/>
      <c r="J316" s="3"/>
    </row>
    <row r="317" spans="1:11" x14ac:dyDescent="0.2">
      <c r="A317" s="16"/>
    </row>
    <row r="318" spans="1:11" x14ac:dyDescent="0.2">
      <c r="A318" s="16"/>
      <c r="B318" s="1" t="s">
        <v>52</v>
      </c>
      <c r="C318" s="4">
        <f>SUM(C171,C188,C205,C221,C238,C255,C272,C289,C306)</f>
        <v>-100</v>
      </c>
      <c r="D318" s="4">
        <f t="shared" ref="D318:I318" si="126">SUM(D171,D188,D205,D221,D238,D255,D272,D289,D306)</f>
        <v>-1150</v>
      </c>
      <c r="E318" s="4">
        <f t="shared" si="126"/>
        <v>-1150</v>
      </c>
      <c r="F318" s="4">
        <f t="shared" si="126"/>
        <v>-1150</v>
      </c>
      <c r="G318" s="4">
        <f t="shared" si="126"/>
        <v>-100</v>
      </c>
      <c r="H318" s="4">
        <f t="shared" si="126"/>
        <v>-100</v>
      </c>
      <c r="I318" s="4">
        <f t="shared" si="126"/>
        <v>-1150</v>
      </c>
    </row>
    <row r="319" spans="1:11" x14ac:dyDescent="0.2">
      <c r="A319" s="16"/>
    </row>
    <row r="320" spans="1:11" x14ac:dyDescent="0.2">
      <c r="A320" s="16"/>
    </row>
    <row r="321" spans="1:11" s="1" customFormat="1" x14ac:dyDescent="0.2">
      <c r="A321" s="1" t="s">
        <v>1</v>
      </c>
      <c r="B321" s="5" t="s">
        <v>16</v>
      </c>
      <c r="C321" s="28">
        <v>37257</v>
      </c>
      <c r="D321" s="6">
        <v>37258</v>
      </c>
      <c r="E321" s="6">
        <v>37259</v>
      </c>
      <c r="F321" s="6">
        <v>37260</v>
      </c>
      <c r="G321" s="28">
        <v>37261</v>
      </c>
      <c r="H321" s="28">
        <v>37262</v>
      </c>
      <c r="I321" s="6">
        <v>37263</v>
      </c>
      <c r="J321" s="8"/>
      <c r="K321" s="7"/>
    </row>
    <row r="322" spans="1:11" x14ac:dyDescent="0.2">
      <c r="B322" s="1" t="s">
        <v>3</v>
      </c>
      <c r="C322" s="2">
        <v>400</v>
      </c>
      <c r="D322" s="19">
        <v>850</v>
      </c>
      <c r="E322" s="19">
        <v>850</v>
      </c>
      <c r="F322" s="19">
        <v>850</v>
      </c>
      <c r="G322" s="2">
        <v>400</v>
      </c>
      <c r="H322" s="2">
        <v>400</v>
      </c>
      <c r="I322" s="19">
        <v>850</v>
      </c>
      <c r="K322" s="4"/>
    </row>
    <row r="323" spans="1:11" x14ac:dyDescent="0.2">
      <c r="B323" s="8" t="s">
        <v>4</v>
      </c>
      <c r="C323" s="3">
        <v>31.75</v>
      </c>
      <c r="D323" s="10">
        <v>47.64</v>
      </c>
      <c r="E323" s="10">
        <v>47.64</v>
      </c>
      <c r="F323" s="10">
        <v>47.64</v>
      </c>
      <c r="G323" s="3">
        <v>31.75</v>
      </c>
      <c r="H323" s="3">
        <v>31.75</v>
      </c>
      <c r="I323" s="10">
        <v>47.64</v>
      </c>
      <c r="K323" s="4"/>
    </row>
    <row r="324" spans="1:11" x14ac:dyDescent="0.2">
      <c r="B324" s="1" t="s">
        <v>5</v>
      </c>
      <c r="C324" s="2">
        <v>100</v>
      </c>
      <c r="D324" s="19">
        <v>1100</v>
      </c>
      <c r="E324" s="19">
        <v>1100</v>
      </c>
      <c r="F324" s="19">
        <v>1100</v>
      </c>
      <c r="G324" s="2">
        <v>100</v>
      </c>
      <c r="H324" s="2">
        <v>100</v>
      </c>
      <c r="I324" s="19">
        <v>1100</v>
      </c>
      <c r="K324" s="4"/>
    </row>
    <row r="325" spans="1:11" x14ac:dyDescent="0.2">
      <c r="B325" s="8" t="s">
        <v>4</v>
      </c>
      <c r="C325" s="3">
        <v>34</v>
      </c>
      <c r="D325" s="10">
        <v>49.12</v>
      </c>
      <c r="E325" s="10">
        <v>49.12</v>
      </c>
      <c r="F325" s="10">
        <v>49.12</v>
      </c>
      <c r="G325" s="3">
        <v>34</v>
      </c>
      <c r="H325" s="3">
        <v>34</v>
      </c>
      <c r="I325" s="10">
        <v>49.12</v>
      </c>
      <c r="K325" s="4"/>
    </row>
    <row r="326" spans="1:11" x14ac:dyDescent="0.2">
      <c r="B326" s="7" t="s">
        <v>6</v>
      </c>
      <c r="C326" s="4">
        <f>C322-C324</f>
        <v>300</v>
      </c>
      <c r="D326" s="4">
        <f t="shared" ref="D326:I326" si="127">D322-D324</f>
        <v>-250</v>
      </c>
      <c r="E326" s="4">
        <f t="shared" si="127"/>
        <v>-250</v>
      </c>
      <c r="F326" s="4">
        <f t="shared" si="127"/>
        <v>-250</v>
      </c>
      <c r="G326" s="4">
        <f t="shared" si="127"/>
        <v>300</v>
      </c>
      <c r="H326" s="4">
        <f t="shared" si="127"/>
        <v>300</v>
      </c>
      <c r="I326" s="4">
        <f t="shared" si="127"/>
        <v>-250</v>
      </c>
      <c r="K326" s="4"/>
    </row>
    <row r="327" spans="1:11" x14ac:dyDescent="0.2">
      <c r="B327" s="9" t="s">
        <v>7</v>
      </c>
      <c r="C327" s="10">
        <v>30</v>
      </c>
      <c r="D327" s="29">
        <v>40</v>
      </c>
      <c r="E327" s="29">
        <v>40</v>
      </c>
      <c r="F327" s="29">
        <v>40</v>
      </c>
      <c r="G327" s="10">
        <v>30</v>
      </c>
      <c r="H327" s="10">
        <v>30</v>
      </c>
      <c r="I327" s="29">
        <v>40</v>
      </c>
      <c r="K327" s="4"/>
    </row>
    <row r="328" spans="1:11" x14ac:dyDescent="0.2">
      <c r="B328" s="9"/>
      <c r="C328" s="11"/>
      <c r="D328" s="19"/>
      <c r="E328" s="19"/>
      <c r="F328" s="10"/>
      <c r="G328" s="11"/>
      <c r="H328" s="11"/>
      <c r="K328" s="4"/>
    </row>
    <row r="329" spans="1:11" x14ac:dyDescent="0.2">
      <c r="B329" s="9" t="s">
        <v>8</v>
      </c>
      <c r="C329" s="12">
        <f t="shared" ref="C329:I329" si="128">(C322*C323)*(-1)</f>
        <v>-12700</v>
      </c>
      <c r="D329" s="12">
        <f t="shared" si="128"/>
        <v>-40494</v>
      </c>
      <c r="E329" s="12">
        <f t="shared" si="128"/>
        <v>-40494</v>
      </c>
      <c r="F329" s="12">
        <f t="shared" si="128"/>
        <v>-40494</v>
      </c>
      <c r="G329" s="12">
        <f>(G322*G323)*(-1)</f>
        <v>-12700</v>
      </c>
      <c r="H329" s="12">
        <f>(H322*H323)*(-1)</f>
        <v>-12700</v>
      </c>
      <c r="I329" s="12">
        <f t="shared" si="128"/>
        <v>-40494</v>
      </c>
      <c r="K329" s="4"/>
    </row>
    <row r="330" spans="1:11" x14ac:dyDescent="0.2">
      <c r="B330" s="9" t="s">
        <v>9</v>
      </c>
      <c r="C330" s="11">
        <f t="shared" ref="C330:I330" si="129">C324*C325</f>
        <v>3400</v>
      </c>
      <c r="D330" s="11">
        <f t="shared" si="129"/>
        <v>54032</v>
      </c>
      <c r="E330" s="11">
        <f t="shared" si="129"/>
        <v>54032</v>
      </c>
      <c r="F330" s="11">
        <f t="shared" si="129"/>
        <v>54032</v>
      </c>
      <c r="G330" s="11">
        <f>G324*G325</f>
        <v>3400</v>
      </c>
      <c r="H330" s="11">
        <f>H324*H325</f>
        <v>3400</v>
      </c>
      <c r="I330" s="11">
        <f t="shared" si="129"/>
        <v>54032</v>
      </c>
      <c r="K330" s="4"/>
    </row>
    <row r="331" spans="1:11" x14ac:dyDescent="0.2">
      <c r="B331" s="7" t="s">
        <v>10</v>
      </c>
      <c r="C331" s="11">
        <f t="shared" ref="C331:I331" si="130">SUM(C329:C330)</f>
        <v>-9300</v>
      </c>
      <c r="D331" s="11">
        <f t="shared" si="130"/>
        <v>13538</v>
      </c>
      <c r="E331" s="11">
        <f t="shared" si="130"/>
        <v>13538</v>
      </c>
      <c r="F331" s="11">
        <f t="shared" si="130"/>
        <v>13538</v>
      </c>
      <c r="G331" s="11">
        <f>SUM(G329:G330)</f>
        <v>-9300</v>
      </c>
      <c r="H331" s="11">
        <f>SUM(H329:H330)</f>
        <v>-9300</v>
      </c>
      <c r="I331" s="11">
        <f t="shared" si="130"/>
        <v>13538</v>
      </c>
      <c r="K331" s="4"/>
    </row>
    <row r="332" spans="1:11" x14ac:dyDescent="0.2">
      <c r="A332" s="13"/>
      <c r="B332" s="2" t="s">
        <v>11</v>
      </c>
      <c r="C332" s="12">
        <f t="shared" ref="C332:I332" si="131">C326*C327</f>
        <v>9000</v>
      </c>
      <c r="D332" s="12">
        <f t="shared" si="131"/>
        <v>-10000</v>
      </c>
      <c r="E332" s="12">
        <f t="shared" si="131"/>
        <v>-10000</v>
      </c>
      <c r="F332" s="12">
        <f t="shared" si="131"/>
        <v>-10000</v>
      </c>
      <c r="G332" s="12">
        <f>G326*G327</f>
        <v>9000</v>
      </c>
      <c r="H332" s="12">
        <f>H326*H327</f>
        <v>9000</v>
      </c>
      <c r="I332" s="12">
        <f t="shared" si="131"/>
        <v>-10000</v>
      </c>
    </row>
    <row r="333" spans="1:11" x14ac:dyDescent="0.2">
      <c r="A333" s="14"/>
      <c r="E333" s="2"/>
      <c r="G333" s="2"/>
      <c r="H333" s="2"/>
      <c r="I333" s="2"/>
    </row>
    <row r="334" spans="1:11" s="1" customFormat="1" x14ac:dyDescent="0.2">
      <c r="A334" s="13"/>
      <c r="B334" s="1" t="s">
        <v>12</v>
      </c>
      <c r="C334" s="15">
        <f t="shared" ref="C334:I334" si="132">SUM(C331:C332)</f>
        <v>-300</v>
      </c>
      <c r="D334" s="15">
        <f t="shared" si="132"/>
        <v>3538</v>
      </c>
      <c r="E334" s="15">
        <f t="shared" si="132"/>
        <v>3538</v>
      </c>
      <c r="F334" s="15">
        <f t="shared" si="132"/>
        <v>3538</v>
      </c>
      <c r="G334" s="15">
        <f>SUM(G331:G332)</f>
        <v>-300</v>
      </c>
      <c r="H334" s="15">
        <f>SUM(H331:H332)</f>
        <v>-300</v>
      </c>
      <c r="I334" s="15">
        <f t="shared" si="132"/>
        <v>3538</v>
      </c>
      <c r="J334" s="8"/>
    </row>
    <row r="335" spans="1:11" x14ac:dyDescent="0.2">
      <c r="A335" s="16"/>
      <c r="B335" s="1" t="s">
        <v>13</v>
      </c>
      <c r="C335" s="15">
        <f t="shared" ref="C335:I335" si="133">C334*16</f>
        <v>-4800</v>
      </c>
      <c r="D335" s="15">
        <f t="shared" si="133"/>
        <v>56608</v>
      </c>
      <c r="E335" s="15">
        <f t="shared" si="133"/>
        <v>56608</v>
      </c>
      <c r="F335" s="15">
        <f t="shared" si="133"/>
        <v>56608</v>
      </c>
      <c r="G335" s="15">
        <f>G334*16</f>
        <v>-4800</v>
      </c>
      <c r="H335" s="15">
        <f>H334*16</f>
        <v>-4800</v>
      </c>
      <c r="I335" s="15">
        <f t="shared" si="133"/>
        <v>56608</v>
      </c>
      <c r="J335" s="3">
        <f>SUM(C335:I335)</f>
        <v>212032</v>
      </c>
    </row>
    <row r="336" spans="1:11" x14ac:dyDescent="0.2">
      <c r="A336" s="13"/>
    </row>
    <row r="337" spans="1:28" x14ac:dyDescent="0.2">
      <c r="A337" s="20"/>
    </row>
    <row r="338" spans="1:28" s="1" customFormat="1" x14ac:dyDescent="0.2">
      <c r="A338" s="1" t="s">
        <v>17</v>
      </c>
      <c r="B338" s="5" t="s">
        <v>19</v>
      </c>
      <c r="C338" s="28">
        <v>37257</v>
      </c>
      <c r="D338" s="6">
        <v>37258</v>
      </c>
      <c r="E338" s="6">
        <v>37259</v>
      </c>
      <c r="F338" s="6">
        <v>37260</v>
      </c>
      <c r="G338" s="28">
        <v>37261</v>
      </c>
      <c r="H338" s="28">
        <v>37262</v>
      </c>
      <c r="I338" s="6">
        <v>37263</v>
      </c>
      <c r="J338" s="8"/>
      <c r="K338" s="7"/>
    </row>
    <row r="339" spans="1:28" x14ac:dyDescent="0.2">
      <c r="B339" s="1" t="s">
        <v>3</v>
      </c>
      <c r="D339" s="19">
        <v>300</v>
      </c>
      <c r="E339" s="19">
        <v>300</v>
      </c>
      <c r="F339" s="19">
        <v>300</v>
      </c>
      <c r="G339" s="2"/>
      <c r="H339" s="2"/>
      <c r="I339" s="19">
        <v>300</v>
      </c>
      <c r="K339" s="4"/>
    </row>
    <row r="340" spans="1:28" x14ac:dyDescent="0.2">
      <c r="B340" s="8" t="s">
        <v>4</v>
      </c>
      <c r="C340" s="3">
        <v>0</v>
      </c>
      <c r="D340" s="10">
        <v>51.69</v>
      </c>
      <c r="E340" s="10">
        <v>51.69</v>
      </c>
      <c r="F340" s="10">
        <v>51.69</v>
      </c>
      <c r="G340" s="3">
        <v>0</v>
      </c>
      <c r="H340" s="3">
        <v>0</v>
      </c>
      <c r="I340" s="10">
        <v>51.69</v>
      </c>
      <c r="K340" s="4"/>
    </row>
    <row r="341" spans="1:28" x14ac:dyDescent="0.2">
      <c r="B341" s="1" t="s">
        <v>5</v>
      </c>
      <c r="C341" s="2">
        <v>350</v>
      </c>
      <c r="D341" s="19">
        <v>575</v>
      </c>
      <c r="E341" s="19">
        <v>575</v>
      </c>
      <c r="F341" s="19">
        <v>575</v>
      </c>
      <c r="G341" s="2">
        <v>350</v>
      </c>
      <c r="H341" s="2">
        <v>350</v>
      </c>
      <c r="I341" s="19">
        <v>575</v>
      </c>
      <c r="K341" s="4"/>
    </row>
    <row r="342" spans="1:28" x14ac:dyDescent="0.2">
      <c r="B342" s="8" t="s">
        <v>4</v>
      </c>
      <c r="C342" s="3">
        <v>30.49</v>
      </c>
      <c r="D342" s="10">
        <v>49.21</v>
      </c>
      <c r="E342" s="10">
        <v>49.21</v>
      </c>
      <c r="F342" s="10">
        <v>49.21</v>
      </c>
      <c r="G342" s="3">
        <v>30.49</v>
      </c>
      <c r="H342" s="3">
        <v>30.49</v>
      </c>
      <c r="I342" s="10">
        <v>49.21</v>
      </c>
      <c r="K342" s="4"/>
    </row>
    <row r="343" spans="1:28" x14ac:dyDescent="0.2">
      <c r="B343" s="7" t="s">
        <v>6</v>
      </c>
      <c r="C343" s="4">
        <f t="shared" ref="C343:I343" si="134">C339-C341</f>
        <v>-350</v>
      </c>
      <c r="D343" s="4">
        <f t="shared" si="134"/>
        <v>-275</v>
      </c>
      <c r="E343" s="4">
        <f t="shared" si="134"/>
        <v>-275</v>
      </c>
      <c r="F343" s="4">
        <f t="shared" si="134"/>
        <v>-275</v>
      </c>
      <c r="G343" s="4">
        <f t="shared" si="134"/>
        <v>-350</v>
      </c>
      <c r="H343" s="4">
        <f t="shared" si="134"/>
        <v>-350</v>
      </c>
      <c r="I343" s="4">
        <f t="shared" si="134"/>
        <v>-275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">
      <c r="B344" s="9" t="s">
        <v>7</v>
      </c>
      <c r="C344" s="10">
        <v>30</v>
      </c>
      <c r="D344" s="29">
        <v>40</v>
      </c>
      <c r="E344" s="29">
        <v>40</v>
      </c>
      <c r="F344" s="29">
        <v>40</v>
      </c>
      <c r="G344" s="10">
        <v>30</v>
      </c>
      <c r="H344" s="10">
        <v>30</v>
      </c>
      <c r="I344" s="29">
        <v>40</v>
      </c>
      <c r="K344" s="4"/>
    </row>
    <row r="345" spans="1:28" x14ac:dyDescent="0.2">
      <c r="B345" s="9"/>
      <c r="C345" s="11"/>
      <c r="D345" s="19"/>
      <c r="E345" s="19"/>
      <c r="F345" s="10"/>
      <c r="G345" s="11"/>
      <c r="H345" s="11"/>
      <c r="K345" s="4"/>
    </row>
    <row r="346" spans="1:28" x14ac:dyDescent="0.2">
      <c r="B346" s="9" t="s">
        <v>8</v>
      </c>
      <c r="C346" s="12">
        <f t="shared" ref="C346:I346" si="135">(C339*C340)*(-1)</f>
        <v>0</v>
      </c>
      <c r="D346" s="12">
        <f t="shared" si="135"/>
        <v>-15507</v>
      </c>
      <c r="E346" s="12">
        <f t="shared" si="135"/>
        <v>-15507</v>
      </c>
      <c r="F346" s="12">
        <f t="shared" si="135"/>
        <v>-15507</v>
      </c>
      <c r="G346" s="12">
        <f>(G339*G340)*(-1)</f>
        <v>0</v>
      </c>
      <c r="H346" s="12">
        <f>(H339*H340)*(-1)</f>
        <v>0</v>
      </c>
      <c r="I346" s="12">
        <f t="shared" si="135"/>
        <v>-15507</v>
      </c>
      <c r="K346" s="4"/>
    </row>
    <row r="347" spans="1:28" x14ac:dyDescent="0.2">
      <c r="B347" s="9" t="s">
        <v>9</v>
      </c>
      <c r="C347" s="11">
        <f t="shared" ref="C347:I347" si="136">C341*C342</f>
        <v>10671.5</v>
      </c>
      <c r="D347" s="11">
        <f t="shared" si="136"/>
        <v>28295.75</v>
      </c>
      <c r="E347" s="11">
        <f t="shared" si="136"/>
        <v>28295.75</v>
      </c>
      <c r="F347" s="11">
        <f t="shared" si="136"/>
        <v>28295.75</v>
      </c>
      <c r="G347" s="11">
        <f>G341*G342</f>
        <v>10671.5</v>
      </c>
      <c r="H347" s="11">
        <f>H341*H342</f>
        <v>10671.5</v>
      </c>
      <c r="I347" s="11">
        <f t="shared" si="136"/>
        <v>28295.75</v>
      </c>
      <c r="K347" s="4"/>
    </row>
    <row r="348" spans="1:28" x14ac:dyDescent="0.2">
      <c r="B348" s="7" t="s">
        <v>10</v>
      </c>
      <c r="C348" s="11">
        <f t="shared" ref="C348:I348" si="137">SUM(C346:C347)</f>
        <v>10671.5</v>
      </c>
      <c r="D348" s="11">
        <f t="shared" si="137"/>
        <v>12788.75</v>
      </c>
      <c r="E348" s="11">
        <f t="shared" si="137"/>
        <v>12788.75</v>
      </c>
      <c r="F348" s="11">
        <f t="shared" si="137"/>
        <v>12788.75</v>
      </c>
      <c r="G348" s="11">
        <f>SUM(G346:G347)</f>
        <v>10671.5</v>
      </c>
      <c r="H348" s="11">
        <f>SUM(H346:H347)</f>
        <v>10671.5</v>
      </c>
      <c r="I348" s="11">
        <f t="shared" si="137"/>
        <v>12788.75</v>
      </c>
      <c r="K348" s="4"/>
    </row>
    <row r="349" spans="1:28" x14ac:dyDescent="0.2">
      <c r="A349" s="13"/>
      <c r="B349" s="2" t="s">
        <v>11</v>
      </c>
      <c r="C349" s="12">
        <f t="shared" ref="C349:I349" si="138">C343*C344</f>
        <v>-10500</v>
      </c>
      <c r="D349" s="12">
        <f t="shared" si="138"/>
        <v>-11000</v>
      </c>
      <c r="E349" s="12">
        <f t="shared" si="138"/>
        <v>-11000</v>
      </c>
      <c r="F349" s="12">
        <f t="shared" si="138"/>
        <v>-11000</v>
      </c>
      <c r="G349" s="12">
        <f>G343*G344</f>
        <v>-10500</v>
      </c>
      <c r="H349" s="12">
        <f>H343*H344</f>
        <v>-10500</v>
      </c>
      <c r="I349" s="12">
        <f t="shared" si="138"/>
        <v>-11000</v>
      </c>
    </row>
    <row r="350" spans="1:28" x14ac:dyDescent="0.2">
      <c r="A350" s="14"/>
      <c r="E350" s="2"/>
      <c r="G350" s="2"/>
      <c r="H350" s="2"/>
      <c r="I350" s="2"/>
    </row>
    <row r="351" spans="1:28" s="1" customFormat="1" x14ac:dyDescent="0.2">
      <c r="A351" s="13"/>
      <c r="B351" s="1" t="s">
        <v>12</v>
      </c>
      <c r="C351" s="15">
        <f t="shared" ref="C351:I351" si="139">SUM(C348:C349)</f>
        <v>171.5</v>
      </c>
      <c r="D351" s="15">
        <f t="shared" si="139"/>
        <v>1788.75</v>
      </c>
      <c r="E351" s="15">
        <f t="shared" si="139"/>
        <v>1788.75</v>
      </c>
      <c r="F351" s="15">
        <f t="shared" si="139"/>
        <v>1788.75</v>
      </c>
      <c r="G351" s="15">
        <f>SUM(G348:G349)</f>
        <v>171.5</v>
      </c>
      <c r="H351" s="15">
        <f>SUM(H348:H349)</f>
        <v>171.5</v>
      </c>
      <c r="I351" s="15">
        <f t="shared" si="139"/>
        <v>1788.75</v>
      </c>
      <c r="J351" s="8"/>
    </row>
    <row r="352" spans="1:28" x14ac:dyDescent="0.2">
      <c r="A352" s="16"/>
      <c r="B352" s="1" t="s">
        <v>13</v>
      </c>
      <c r="C352" s="15">
        <f t="shared" ref="C352:I352" si="140">C351*16</f>
        <v>2744</v>
      </c>
      <c r="D352" s="15">
        <f t="shared" si="140"/>
        <v>28620</v>
      </c>
      <c r="E352" s="15">
        <f t="shared" si="140"/>
        <v>28620</v>
      </c>
      <c r="F352" s="15">
        <f t="shared" si="140"/>
        <v>28620</v>
      </c>
      <c r="G352" s="15">
        <f>G351*16</f>
        <v>2744</v>
      </c>
      <c r="H352" s="15">
        <f>H351*16</f>
        <v>2744</v>
      </c>
      <c r="I352" s="15">
        <f t="shared" si="140"/>
        <v>28620</v>
      </c>
      <c r="J352" s="3">
        <f>SUM(C352:I352)</f>
        <v>122712</v>
      </c>
    </row>
    <row r="353" spans="1:11" x14ac:dyDescent="0.2">
      <c r="A353" s="20"/>
    </row>
    <row r="354" spans="1:11" x14ac:dyDescent="0.2">
      <c r="A354" s="14"/>
    </row>
    <row r="355" spans="1:11" s="1" customFormat="1" x14ac:dyDescent="0.2">
      <c r="A355" s="1" t="s">
        <v>21</v>
      </c>
      <c r="B355" s="5" t="s">
        <v>19</v>
      </c>
      <c r="C355" s="28">
        <v>37257</v>
      </c>
      <c r="D355" s="6">
        <v>37258</v>
      </c>
      <c r="E355" s="6">
        <v>37259</v>
      </c>
      <c r="F355" s="6">
        <v>37260</v>
      </c>
      <c r="G355" s="28">
        <v>37261</v>
      </c>
      <c r="H355" s="28">
        <v>37262</v>
      </c>
      <c r="I355" s="6">
        <v>37263</v>
      </c>
      <c r="J355" s="8"/>
      <c r="K355" s="7"/>
    </row>
    <row r="356" spans="1:11" x14ac:dyDescent="0.2">
      <c r="B356" s="1" t="s">
        <v>3</v>
      </c>
      <c r="C356" s="2">
        <v>150</v>
      </c>
      <c r="D356" s="19">
        <v>800</v>
      </c>
      <c r="E356" s="19">
        <v>800</v>
      </c>
      <c r="F356" s="19">
        <v>800</v>
      </c>
      <c r="G356" s="2">
        <v>150</v>
      </c>
      <c r="H356" s="2">
        <v>150</v>
      </c>
      <c r="I356" s="19">
        <v>800</v>
      </c>
      <c r="K356" s="4"/>
    </row>
    <row r="357" spans="1:11" x14ac:dyDescent="0.2">
      <c r="B357" s="8" t="s">
        <v>4</v>
      </c>
      <c r="C357" s="3">
        <v>30.82</v>
      </c>
      <c r="D357" s="10">
        <v>45.83</v>
      </c>
      <c r="E357" s="10">
        <v>45.83</v>
      </c>
      <c r="F357" s="10">
        <v>45.83</v>
      </c>
      <c r="G357" s="3">
        <v>30.82</v>
      </c>
      <c r="H357" s="3">
        <v>30.82</v>
      </c>
      <c r="I357" s="10">
        <v>45.83</v>
      </c>
      <c r="K357" s="4"/>
    </row>
    <row r="358" spans="1:11" x14ac:dyDescent="0.2">
      <c r="B358" s="1" t="s">
        <v>5</v>
      </c>
      <c r="C358" s="2">
        <v>150</v>
      </c>
      <c r="D358" s="19">
        <v>600</v>
      </c>
      <c r="E358" s="19">
        <v>600</v>
      </c>
      <c r="F358" s="19">
        <v>600</v>
      </c>
      <c r="G358" s="2">
        <v>150</v>
      </c>
      <c r="H358" s="2">
        <v>150</v>
      </c>
      <c r="I358" s="19">
        <v>600</v>
      </c>
      <c r="K358" s="4"/>
    </row>
    <row r="359" spans="1:11" x14ac:dyDescent="0.2">
      <c r="B359" s="8" t="s">
        <v>4</v>
      </c>
      <c r="C359" s="3">
        <v>40.130000000000003</v>
      </c>
      <c r="D359" s="10">
        <v>46.95</v>
      </c>
      <c r="E359" s="10">
        <v>46.95</v>
      </c>
      <c r="F359" s="10">
        <v>46.95</v>
      </c>
      <c r="G359" s="3">
        <v>40.130000000000003</v>
      </c>
      <c r="H359" s="3">
        <v>40.130000000000003</v>
      </c>
      <c r="I359" s="10">
        <v>46.95</v>
      </c>
      <c r="K359" s="4"/>
    </row>
    <row r="360" spans="1:11" x14ac:dyDescent="0.2">
      <c r="B360" s="7" t="s">
        <v>6</v>
      </c>
      <c r="C360" s="4">
        <f t="shared" ref="C360:I360" si="141">C356-C358</f>
        <v>0</v>
      </c>
      <c r="D360" s="4">
        <f t="shared" si="141"/>
        <v>200</v>
      </c>
      <c r="E360" s="4">
        <f t="shared" si="141"/>
        <v>200</v>
      </c>
      <c r="F360" s="4">
        <f t="shared" si="141"/>
        <v>200</v>
      </c>
      <c r="G360" s="4">
        <f t="shared" si="141"/>
        <v>0</v>
      </c>
      <c r="H360" s="4">
        <f t="shared" si="141"/>
        <v>0</v>
      </c>
      <c r="I360" s="4">
        <f t="shared" si="141"/>
        <v>200</v>
      </c>
      <c r="K360" s="4"/>
    </row>
    <row r="361" spans="1:11" x14ac:dyDescent="0.2">
      <c r="B361" s="9" t="s">
        <v>7</v>
      </c>
      <c r="C361" s="10">
        <v>30</v>
      </c>
      <c r="D361" s="29">
        <v>40</v>
      </c>
      <c r="E361" s="29">
        <v>40</v>
      </c>
      <c r="F361" s="29">
        <v>40</v>
      </c>
      <c r="G361" s="10">
        <v>30</v>
      </c>
      <c r="H361" s="10">
        <v>30</v>
      </c>
      <c r="I361" s="29">
        <v>40</v>
      </c>
      <c r="K361" s="4"/>
    </row>
    <row r="362" spans="1:11" x14ac:dyDescent="0.2">
      <c r="B362" s="9"/>
      <c r="C362" s="11"/>
      <c r="D362" s="19"/>
      <c r="E362" s="19"/>
      <c r="F362" s="10"/>
      <c r="G362" s="11"/>
      <c r="H362" s="11"/>
      <c r="K362" s="4"/>
    </row>
    <row r="363" spans="1:11" x14ac:dyDescent="0.2">
      <c r="B363" s="9" t="s">
        <v>8</v>
      </c>
      <c r="C363" s="12">
        <f t="shared" ref="C363:I363" si="142">(C356*C357)*(-1)</f>
        <v>-4623</v>
      </c>
      <c r="D363" s="12">
        <f t="shared" si="142"/>
        <v>-36664</v>
      </c>
      <c r="E363" s="12">
        <f t="shared" si="142"/>
        <v>-36664</v>
      </c>
      <c r="F363" s="12">
        <f t="shared" si="142"/>
        <v>-36664</v>
      </c>
      <c r="G363" s="12">
        <f>(G356*G357)*(-1)</f>
        <v>-4623</v>
      </c>
      <c r="H363" s="12">
        <f>(H356*H357)*(-1)</f>
        <v>-4623</v>
      </c>
      <c r="I363" s="12">
        <f t="shared" si="142"/>
        <v>-36664</v>
      </c>
      <c r="K363" s="4"/>
    </row>
    <row r="364" spans="1:11" x14ac:dyDescent="0.2">
      <c r="B364" s="9" t="s">
        <v>9</v>
      </c>
      <c r="C364" s="11">
        <f t="shared" ref="C364:I364" si="143">C358*C359</f>
        <v>6019.5</v>
      </c>
      <c r="D364" s="11">
        <f t="shared" si="143"/>
        <v>28170</v>
      </c>
      <c r="E364" s="11">
        <f t="shared" si="143"/>
        <v>28170</v>
      </c>
      <c r="F364" s="11">
        <f t="shared" si="143"/>
        <v>28170</v>
      </c>
      <c r="G364" s="11">
        <f>G358*G359</f>
        <v>6019.5</v>
      </c>
      <c r="H364" s="11">
        <f>H358*H359</f>
        <v>6019.5</v>
      </c>
      <c r="I364" s="11">
        <f t="shared" si="143"/>
        <v>28170</v>
      </c>
      <c r="K364" s="4"/>
    </row>
    <row r="365" spans="1:11" x14ac:dyDescent="0.2">
      <c r="B365" s="7" t="s">
        <v>10</v>
      </c>
      <c r="C365" s="11">
        <f t="shared" ref="C365:I365" si="144">SUM(C363:C364)</f>
        <v>1396.5</v>
      </c>
      <c r="D365" s="11">
        <f t="shared" si="144"/>
        <v>-8494</v>
      </c>
      <c r="E365" s="11">
        <f t="shared" si="144"/>
        <v>-8494</v>
      </c>
      <c r="F365" s="11">
        <f t="shared" si="144"/>
        <v>-8494</v>
      </c>
      <c r="G365" s="11">
        <f>SUM(G363:G364)</f>
        <v>1396.5</v>
      </c>
      <c r="H365" s="11">
        <f>SUM(H363:H364)</f>
        <v>1396.5</v>
      </c>
      <c r="I365" s="11">
        <f t="shared" si="144"/>
        <v>-8494</v>
      </c>
      <c r="K365" s="4"/>
    </row>
    <row r="366" spans="1:11" x14ac:dyDescent="0.2">
      <c r="A366" s="13"/>
      <c r="B366" s="2" t="s">
        <v>11</v>
      </c>
      <c r="C366" s="12">
        <f t="shared" ref="C366:I366" si="145">C360*C361</f>
        <v>0</v>
      </c>
      <c r="D366" s="12">
        <f t="shared" si="145"/>
        <v>8000</v>
      </c>
      <c r="E366" s="12">
        <f t="shared" si="145"/>
        <v>8000</v>
      </c>
      <c r="F366" s="12">
        <f t="shared" si="145"/>
        <v>8000</v>
      </c>
      <c r="G366" s="12">
        <f>G360*G361</f>
        <v>0</v>
      </c>
      <c r="H366" s="12">
        <f>H360*H361</f>
        <v>0</v>
      </c>
      <c r="I366" s="12">
        <f t="shared" si="145"/>
        <v>8000</v>
      </c>
    </row>
    <row r="367" spans="1:11" x14ac:dyDescent="0.2">
      <c r="A367" s="14"/>
      <c r="E367" s="2"/>
      <c r="G367" s="2"/>
      <c r="H367" s="2"/>
      <c r="I367" s="2"/>
    </row>
    <row r="368" spans="1:11" s="1" customFormat="1" x14ac:dyDescent="0.2">
      <c r="A368" s="13"/>
      <c r="B368" s="1" t="s">
        <v>12</v>
      </c>
      <c r="C368" s="15">
        <f t="shared" ref="C368:I368" si="146">SUM(C365:C366)</f>
        <v>1396.5</v>
      </c>
      <c r="D368" s="15">
        <f t="shared" si="146"/>
        <v>-494</v>
      </c>
      <c r="E368" s="15">
        <f t="shared" si="146"/>
        <v>-494</v>
      </c>
      <c r="F368" s="15">
        <f t="shared" si="146"/>
        <v>-494</v>
      </c>
      <c r="G368" s="15">
        <f>SUM(G365:G366)</f>
        <v>1396.5</v>
      </c>
      <c r="H368" s="15">
        <f>SUM(H365:H366)</f>
        <v>1396.5</v>
      </c>
      <c r="I368" s="15">
        <f t="shared" si="146"/>
        <v>-494</v>
      </c>
      <c r="J368" s="8"/>
    </row>
    <row r="369" spans="1:11" x14ac:dyDescent="0.2">
      <c r="A369" s="16"/>
      <c r="B369" s="1" t="s">
        <v>13</v>
      </c>
      <c r="C369" s="15">
        <f t="shared" ref="C369:I369" si="147">C368*16</f>
        <v>22344</v>
      </c>
      <c r="D369" s="15">
        <f t="shared" si="147"/>
        <v>-7904</v>
      </c>
      <c r="E369" s="15">
        <f t="shared" si="147"/>
        <v>-7904</v>
      </c>
      <c r="F369" s="15">
        <f t="shared" si="147"/>
        <v>-7904</v>
      </c>
      <c r="G369" s="15">
        <f>G368*16</f>
        <v>22344</v>
      </c>
      <c r="H369" s="15">
        <f>H368*16</f>
        <v>22344</v>
      </c>
      <c r="I369" s="15">
        <f t="shared" si="147"/>
        <v>-7904</v>
      </c>
      <c r="J369" s="3">
        <f>SUM(C369:I369)</f>
        <v>35416</v>
      </c>
    </row>
    <row r="370" spans="1:11" x14ac:dyDescent="0.2">
      <c r="A370" s="16"/>
      <c r="B370" s="1"/>
      <c r="C370" s="15"/>
      <c r="D370" s="15"/>
      <c r="E370" s="15"/>
      <c r="F370" s="15"/>
      <c r="G370" s="15"/>
      <c r="H370" s="15"/>
      <c r="I370" s="15"/>
      <c r="J370" s="3"/>
    </row>
    <row r="371" spans="1:11" x14ac:dyDescent="0.2">
      <c r="A371" s="16"/>
      <c r="B371" s="1"/>
      <c r="C371" s="15"/>
      <c r="D371" s="15"/>
      <c r="E371" s="15"/>
      <c r="F371" s="15"/>
      <c r="G371" s="15"/>
      <c r="H371" s="15"/>
      <c r="I371" s="15"/>
      <c r="J371" s="3"/>
    </row>
    <row r="372" spans="1:11" s="1" customFormat="1" x14ac:dyDescent="0.2">
      <c r="A372" s="1" t="s">
        <v>45</v>
      </c>
      <c r="B372" s="5" t="s">
        <v>19</v>
      </c>
      <c r="C372" s="28">
        <v>37257</v>
      </c>
      <c r="D372" s="6">
        <v>37258</v>
      </c>
      <c r="E372" s="6">
        <v>37259</v>
      </c>
      <c r="F372" s="6">
        <v>37260</v>
      </c>
      <c r="G372" s="28">
        <v>37261</v>
      </c>
      <c r="H372" s="28">
        <v>37262</v>
      </c>
      <c r="I372" s="6">
        <v>37263</v>
      </c>
      <c r="J372" s="8"/>
      <c r="K372" s="7"/>
    </row>
    <row r="373" spans="1:11" x14ac:dyDescent="0.2">
      <c r="B373" s="1" t="s">
        <v>3</v>
      </c>
      <c r="C373" s="19">
        <v>0</v>
      </c>
      <c r="D373" s="19">
        <v>0</v>
      </c>
      <c r="E373" s="19">
        <v>0</v>
      </c>
      <c r="F373" s="19">
        <v>0</v>
      </c>
      <c r="G373" s="19">
        <v>0</v>
      </c>
      <c r="H373" s="19">
        <v>0</v>
      </c>
      <c r="I373" s="19">
        <v>0</v>
      </c>
      <c r="K373" s="4"/>
    </row>
    <row r="374" spans="1:11" x14ac:dyDescent="0.2">
      <c r="B374" s="8" t="s">
        <v>4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K374" s="4"/>
    </row>
    <row r="375" spans="1:11" x14ac:dyDescent="0.2">
      <c r="B375" s="1" t="s">
        <v>5</v>
      </c>
      <c r="C375" s="19">
        <v>25</v>
      </c>
      <c r="D375" s="19">
        <v>25</v>
      </c>
      <c r="E375" s="19">
        <v>25</v>
      </c>
      <c r="F375" s="19">
        <v>25</v>
      </c>
      <c r="G375" s="19">
        <v>25</v>
      </c>
      <c r="H375" s="19">
        <v>25</v>
      </c>
      <c r="I375" s="19">
        <v>25</v>
      </c>
      <c r="K375" s="4"/>
    </row>
    <row r="376" spans="1:11" x14ac:dyDescent="0.2">
      <c r="B376" s="8" t="s">
        <v>4</v>
      </c>
      <c r="C376" s="10">
        <v>38.450000000000003</v>
      </c>
      <c r="D376" s="10">
        <v>38.450000000000003</v>
      </c>
      <c r="E376" s="10">
        <v>38.450000000000003</v>
      </c>
      <c r="F376" s="10">
        <v>38.450000000000003</v>
      </c>
      <c r="G376" s="10">
        <v>38.450000000000003</v>
      </c>
      <c r="H376" s="10">
        <v>38.450000000000003</v>
      </c>
      <c r="I376" s="10">
        <v>38.450000000000003</v>
      </c>
      <c r="K376" s="4"/>
    </row>
    <row r="377" spans="1:11" x14ac:dyDescent="0.2">
      <c r="B377" s="7" t="s">
        <v>6</v>
      </c>
      <c r="C377" s="4">
        <f t="shared" ref="C377:I377" si="148">C373-C375</f>
        <v>-25</v>
      </c>
      <c r="D377" s="4">
        <f t="shared" si="148"/>
        <v>-25</v>
      </c>
      <c r="E377" s="4">
        <f t="shared" si="148"/>
        <v>-25</v>
      </c>
      <c r="F377" s="4">
        <f t="shared" si="148"/>
        <v>-25</v>
      </c>
      <c r="G377" s="4">
        <f t="shared" si="148"/>
        <v>-25</v>
      </c>
      <c r="H377" s="4">
        <f t="shared" si="148"/>
        <v>-25</v>
      </c>
      <c r="I377" s="4">
        <f t="shared" si="148"/>
        <v>-25</v>
      </c>
      <c r="K377" s="4"/>
    </row>
    <row r="378" spans="1:11" x14ac:dyDescent="0.2">
      <c r="B378" s="9" t="s">
        <v>7</v>
      </c>
      <c r="C378" s="10">
        <v>30</v>
      </c>
      <c r="D378" s="29">
        <v>40</v>
      </c>
      <c r="E378" s="29">
        <v>40</v>
      </c>
      <c r="F378" s="29">
        <v>40</v>
      </c>
      <c r="G378" s="10">
        <v>30</v>
      </c>
      <c r="H378" s="10">
        <v>30</v>
      </c>
      <c r="I378" s="29">
        <v>40</v>
      </c>
      <c r="K378" s="4"/>
    </row>
    <row r="379" spans="1:11" x14ac:dyDescent="0.2">
      <c r="B379" s="9"/>
      <c r="C379" s="19"/>
      <c r="D379" s="19"/>
      <c r="E379" s="19"/>
      <c r="F379" s="10"/>
      <c r="G379" s="19"/>
      <c r="H379" s="19"/>
      <c r="K379" s="4"/>
    </row>
    <row r="380" spans="1:11" x14ac:dyDescent="0.2">
      <c r="B380" s="9" t="s">
        <v>8</v>
      </c>
      <c r="C380" s="12">
        <f>(C373*C374)*(-1)</f>
        <v>0</v>
      </c>
      <c r="D380" s="12">
        <f t="shared" ref="D380:I380" si="149">(D373*D374)*(-1)</f>
        <v>0</v>
      </c>
      <c r="E380" s="12">
        <f t="shared" si="149"/>
        <v>0</v>
      </c>
      <c r="F380" s="12">
        <f t="shared" si="149"/>
        <v>0</v>
      </c>
      <c r="G380" s="12">
        <f t="shared" si="149"/>
        <v>0</v>
      </c>
      <c r="H380" s="12">
        <f t="shared" si="149"/>
        <v>0</v>
      </c>
      <c r="I380" s="12">
        <f t="shared" si="149"/>
        <v>0</v>
      </c>
      <c r="K380" s="4"/>
    </row>
    <row r="381" spans="1:11" x14ac:dyDescent="0.2">
      <c r="B381" s="9" t="s">
        <v>9</v>
      </c>
      <c r="C381" s="11">
        <f>C375*C376</f>
        <v>961.25000000000011</v>
      </c>
      <c r="D381" s="11">
        <f t="shared" ref="D381:I381" si="150">D375*D376</f>
        <v>961.25000000000011</v>
      </c>
      <c r="E381" s="11">
        <f t="shared" si="150"/>
        <v>961.25000000000011</v>
      </c>
      <c r="F381" s="11">
        <f t="shared" si="150"/>
        <v>961.25000000000011</v>
      </c>
      <c r="G381" s="11">
        <f t="shared" si="150"/>
        <v>961.25000000000011</v>
      </c>
      <c r="H381" s="11">
        <f t="shared" si="150"/>
        <v>961.25000000000011</v>
      </c>
      <c r="I381" s="11">
        <f t="shared" si="150"/>
        <v>961.25000000000011</v>
      </c>
      <c r="K381" s="4"/>
    </row>
    <row r="382" spans="1:11" x14ac:dyDescent="0.2">
      <c r="B382" s="7" t="s">
        <v>10</v>
      </c>
      <c r="C382" s="11">
        <f>SUM(C380:C381)</f>
        <v>961.25000000000011</v>
      </c>
      <c r="D382" s="11">
        <f t="shared" ref="D382:I382" si="151">SUM(D380:D381)</f>
        <v>961.25000000000011</v>
      </c>
      <c r="E382" s="11">
        <f t="shared" si="151"/>
        <v>961.25000000000011</v>
      </c>
      <c r="F382" s="11">
        <f t="shared" si="151"/>
        <v>961.25000000000011</v>
      </c>
      <c r="G382" s="11">
        <f>SUM(G380:G381)</f>
        <v>961.25000000000011</v>
      </c>
      <c r="H382" s="11">
        <f>SUM(H380:H381)</f>
        <v>961.25000000000011</v>
      </c>
      <c r="I382" s="11">
        <f t="shared" si="151"/>
        <v>961.25000000000011</v>
      </c>
      <c r="K382" s="4"/>
    </row>
    <row r="383" spans="1:11" x14ac:dyDescent="0.2">
      <c r="A383" s="13"/>
      <c r="B383" s="2" t="s">
        <v>11</v>
      </c>
      <c r="C383" s="12">
        <f>C377*C378</f>
        <v>-750</v>
      </c>
      <c r="D383" s="12">
        <f t="shared" ref="D383:I383" si="152">D377*D378</f>
        <v>-1000</v>
      </c>
      <c r="E383" s="12">
        <f t="shared" si="152"/>
        <v>-1000</v>
      </c>
      <c r="F383" s="12">
        <f t="shared" si="152"/>
        <v>-1000</v>
      </c>
      <c r="G383" s="12">
        <f t="shared" si="152"/>
        <v>-750</v>
      </c>
      <c r="H383" s="12">
        <f t="shared" si="152"/>
        <v>-750</v>
      </c>
      <c r="I383" s="12">
        <f t="shared" si="152"/>
        <v>-1000</v>
      </c>
    </row>
    <row r="384" spans="1:11" x14ac:dyDescent="0.2">
      <c r="A384" s="14"/>
      <c r="E384" s="2"/>
      <c r="G384" s="2"/>
      <c r="H384" s="2"/>
      <c r="I384" s="2"/>
    </row>
    <row r="385" spans="1:11" s="1" customFormat="1" x14ac:dyDescent="0.2">
      <c r="A385" s="13"/>
      <c r="B385" s="1" t="s">
        <v>12</v>
      </c>
      <c r="C385" s="15">
        <f>SUM(C382:C383)</f>
        <v>211.25000000000011</v>
      </c>
      <c r="D385" s="15">
        <f t="shared" ref="D385:I385" si="153">SUM(D382:D383)</f>
        <v>-38.749999999999886</v>
      </c>
      <c r="E385" s="15">
        <f t="shared" si="153"/>
        <v>-38.749999999999886</v>
      </c>
      <c r="F385" s="15">
        <f t="shared" si="153"/>
        <v>-38.749999999999886</v>
      </c>
      <c r="G385" s="15">
        <f t="shared" si="153"/>
        <v>211.25000000000011</v>
      </c>
      <c r="H385" s="15">
        <f t="shared" si="153"/>
        <v>211.25000000000011</v>
      </c>
      <c r="I385" s="15">
        <f t="shared" si="153"/>
        <v>-38.749999999999886</v>
      </c>
      <c r="J385" s="8"/>
    </row>
    <row r="386" spans="1:11" x14ac:dyDescent="0.2">
      <c r="A386" s="16"/>
      <c r="B386" s="1" t="s">
        <v>27</v>
      </c>
      <c r="C386" s="15">
        <f>C385*16</f>
        <v>3380.0000000000018</v>
      </c>
      <c r="D386" s="15">
        <f t="shared" ref="D386:I386" si="154">D385*16</f>
        <v>-619.99999999999818</v>
      </c>
      <c r="E386" s="15">
        <f t="shared" si="154"/>
        <v>-619.99999999999818</v>
      </c>
      <c r="F386" s="15">
        <f t="shared" si="154"/>
        <v>-619.99999999999818</v>
      </c>
      <c r="G386" s="15">
        <f>G385*16</f>
        <v>3380.0000000000018</v>
      </c>
      <c r="H386" s="15">
        <f>H385*16</f>
        <v>3380.0000000000018</v>
      </c>
      <c r="I386" s="15">
        <f t="shared" si="154"/>
        <v>-619.99999999999818</v>
      </c>
      <c r="J386" s="3">
        <f>SUM(C386:I386)</f>
        <v>7660.0000000000127</v>
      </c>
    </row>
    <row r="387" spans="1:11" x14ac:dyDescent="0.2">
      <c r="A387" s="16"/>
      <c r="B387" s="1"/>
      <c r="C387" s="15"/>
      <c r="D387" s="15"/>
      <c r="E387" s="15"/>
      <c r="F387" s="15"/>
      <c r="G387" s="15"/>
      <c r="H387" s="15"/>
      <c r="I387" s="15"/>
      <c r="J387" s="3"/>
    </row>
    <row r="388" spans="1:11" x14ac:dyDescent="0.2">
      <c r="A388" s="16"/>
      <c r="B388" s="1"/>
      <c r="C388" s="15"/>
      <c r="D388" s="15"/>
      <c r="E388" s="15"/>
      <c r="F388" s="15"/>
      <c r="G388" s="15"/>
      <c r="H388" s="15"/>
      <c r="I388" s="15"/>
      <c r="J388" s="3"/>
    </row>
    <row r="389" spans="1:11" s="1" customFormat="1" x14ac:dyDescent="0.2">
      <c r="A389" s="1" t="s">
        <v>43</v>
      </c>
      <c r="B389" s="5" t="s">
        <v>19</v>
      </c>
      <c r="C389" s="28">
        <v>37257</v>
      </c>
      <c r="D389" s="6">
        <v>37258</v>
      </c>
      <c r="E389" s="6">
        <v>37259</v>
      </c>
      <c r="F389" s="6">
        <v>37260</v>
      </c>
      <c r="G389" s="28">
        <v>37261</v>
      </c>
      <c r="H389" s="28">
        <v>37262</v>
      </c>
      <c r="I389" s="6">
        <v>37263</v>
      </c>
      <c r="J389" s="8"/>
      <c r="K389" s="7"/>
    </row>
    <row r="390" spans="1:11" x14ac:dyDescent="0.2">
      <c r="B390" s="1" t="s">
        <v>3</v>
      </c>
      <c r="D390" s="19">
        <v>300</v>
      </c>
      <c r="E390" s="19">
        <v>300</v>
      </c>
      <c r="F390" s="19">
        <v>300</v>
      </c>
      <c r="G390" s="10"/>
      <c r="H390" s="21"/>
      <c r="I390" s="19">
        <v>300</v>
      </c>
      <c r="K390" s="4"/>
    </row>
    <row r="391" spans="1:11" x14ac:dyDescent="0.2">
      <c r="B391" s="8" t="s">
        <v>4</v>
      </c>
      <c r="C391" s="3">
        <v>0</v>
      </c>
      <c r="D391" s="10">
        <v>46.96</v>
      </c>
      <c r="E391" s="10">
        <v>46.96</v>
      </c>
      <c r="F391" s="10">
        <v>46.96</v>
      </c>
      <c r="G391" s="10"/>
      <c r="H391" s="21"/>
      <c r="I391" s="10">
        <v>46.96</v>
      </c>
      <c r="K391" s="4"/>
    </row>
    <row r="392" spans="1:11" x14ac:dyDescent="0.2">
      <c r="B392" s="1" t="s">
        <v>5</v>
      </c>
      <c r="C392" s="2">
        <v>0</v>
      </c>
      <c r="D392" s="19">
        <v>150</v>
      </c>
      <c r="E392" s="19">
        <v>150</v>
      </c>
      <c r="F392" s="19">
        <v>150</v>
      </c>
      <c r="G392" s="19">
        <v>0</v>
      </c>
      <c r="H392" s="19">
        <v>0</v>
      </c>
      <c r="I392" s="19">
        <v>150</v>
      </c>
      <c r="K392" s="4"/>
    </row>
    <row r="393" spans="1:11" x14ac:dyDescent="0.2">
      <c r="B393" s="8" t="s">
        <v>4</v>
      </c>
      <c r="C393" s="3">
        <v>0</v>
      </c>
      <c r="D393" s="10">
        <v>45.08</v>
      </c>
      <c r="E393" s="10">
        <v>45.08</v>
      </c>
      <c r="F393" s="10">
        <v>45.08</v>
      </c>
      <c r="G393" s="10">
        <v>0</v>
      </c>
      <c r="H393" s="10">
        <v>0</v>
      </c>
      <c r="I393" s="10">
        <v>45.08</v>
      </c>
      <c r="K393" s="4"/>
    </row>
    <row r="394" spans="1:11" x14ac:dyDescent="0.2">
      <c r="B394" s="7" t="s">
        <v>6</v>
      </c>
      <c r="C394" s="4">
        <f t="shared" ref="C394:I394" si="155">C390-C392</f>
        <v>0</v>
      </c>
      <c r="D394" s="4">
        <f t="shared" si="155"/>
        <v>150</v>
      </c>
      <c r="E394" s="4">
        <f t="shared" si="155"/>
        <v>150</v>
      </c>
      <c r="F394" s="4">
        <f t="shared" si="155"/>
        <v>150</v>
      </c>
      <c r="G394" s="4">
        <f t="shared" si="155"/>
        <v>0</v>
      </c>
      <c r="H394" s="4">
        <f t="shared" si="155"/>
        <v>0</v>
      </c>
      <c r="I394" s="4">
        <f t="shared" si="155"/>
        <v>150</v>
      </c>
      <c r="K394" s="4"/>
    </row>
    <row r="395" spans="1:11" x14ac:dyDescent="0.2">
      <c r="B395" s="9" t="s">
        <v>7</v>
      </c>
      <c r="C395" s="10">
        <v>30</v>
      </c>
      <c r="D395" s="29">
        <v>40</v>
      </c>
      <c r="E395" s="29">
        <v>40</v>
      </c>
      <c r="F395" s="29">
        <v>40</v>
      </c>
      <c r="G395" s="10">
        <v>30</v>
      </c>
      <c r="H395" s="10">
        <v>30</v>
      </c>
      <c r="I395" s="29">
        <v>40</v>
      </c>
      <c r="K395" s="4"/>
    </row>
    <row r="396" spans="1:11" x14ac:dyDescent="0.2">
      <c r="B396" s="9"/>
      <c r="C396" s="11"/>
      <c r="D396" s="19"/>
      <c r="E396" s="19"/>
      <c r="F396" s="10"/>
      <c r="G396" s="10"/>
      <c r="H396" s="21"/>
      <c r="K396" s="4"/>
    </row>
    <row r="397" spans="1:11" x14ac:dyDescent="0.2">
      <c r="B397" s="9" t="s">
        <v>8</v>
      </c>
      <c r="C397" s="12">
        <f t="shared" ref="C397:I397" si="156">(C390*C391)*(-1)</f>
        <v>0</v>
      </c>
      <c r="D397" s="12">
        <f t="shared" si="156"/>
        <v>-14088</v>
      </c>
      <c r="E397" s="12">
        <f t="shared" si="156"/>
        <v>-14088</v>
      </c>
      <c r="F397" s="12">
        <f t="shared" si="156"/>
        <v>-14088</v>
      </c>
      <c r="G397" s="12">
        <f t="shared" si="156"/>
        <v>0</v>
      </c>
      <c r="H397" s="12">
        <f t="shared" si="156"/>
        <v>0</v>
      </c>
      <c r="I397" s="12">
        <f t="shared" si="156"/>
        <v>-14088</v>
      </c>
      <c r="K397" s="4"/>
    </row>
    <row r="398" spans="1:11" x14ac:dyDescent="0.2">
      <c r="B398" s="9" t="s">
        <v>9</v>
      </c>
      <c r="C398" s="11">
        <f t="shared" ref="C398:I398" si="157">C392*C393</f>
        <v>0</v>
      </c>
      <c r="D398" s="11">
        <f t="shared" si="157"/>
        <v>6762</v>
      </c>
      <c r="E398" s="11">
        <f t="shared" si="157"/>
        <v>6762</v>
      </c>
      <c r="F398" s="11">
        <f t="shared" si="157"/>
        <v>6762</v>
      </c>
      <c r="G398" s="11">
        <f t="shared" si="157"/>
        <v>0</v>
      </c>
      <c r="H398" s="11">
        <f t="shared" si="157"/>
        <v>0</v>
      </c>
      <c r="I398" s="11">
        <f t="shared" si="157"/>
        <v>6762</v>
      </c>
      <c r="K398" s="4"/>
    </row>
    <row r="399" spans="1:11" x14ac:dyDescent="0.2">
      <c r="B399" s="7" t="s">
        <v>10</v>
      </c>
      <c r="C399" s="11">
        <f t="shared" ref="C399:I399" si="158">SUM(C397:C398)</f>
        <v>0</v>
      </c>
      <c r="D399" s="11">
        <f t="shared" si="158"/>
        <v>-7326</v>
      </c>
      <c r="E399" s="11">
        <f t="shared" si="158"/>
        <v>-7326</v>
      </c>
      <c r="F399" s="11">
        <f t="shared" si="158"/>
        <v>-7326</v>
      </c>
      <c r="G399" s="11">
        <f t="shared" si="158"/>
        <v>0</v>
      </c>
      <c r="H399" s="11">
        <f t="shared" si="158"/>
        <v>0</v>
      </c>
      <c r="I399" s="11">
        <f t="shared" si="158"/>
        <v>-7326</v>
      </c>
      <c r="K399" s="4"/>
    </row>
    <row r="400" spans="1:11" x14ac:dyDescent="0.2">
      <c r="A400" s="13"/>
      <c r="B400" s="2" t="s">
        <v>11</v>
      </c>
      <c r="C400" s="12">
        <f t="shared" ref="C400:I400" si="159">C394*C395</f>
        <v>0</v>
      </c>
      <c r="D400" s="12">
        <f t="shared" si="159"/>
        <v>6000</v>
      </c>
      <c r="E400" s="12">
        <f t="shared" si="159"/>
        <v>6000</v>
      </c>
      <c r="F400" s="12">
        <f t="shared" si="159"/>
        <v>6000</v>
      </c>
      <c r="G400" s="12">
        <f t="shared" si="159"/>
        <v>0</v>
      </c>
      <c r="H400" s="12">
        <f t="shared" si="159"/>
        <v>0</v>
      </c>
      <c r="I400" s="12">
        <f t="shared" si="159"/>
        <v>6000</v>
      </c>
    </row>
    <row r="401" spans="1:15" x14ac:dyDescent="0.2">
      <c r="A401" s="14"/>
      <c r="E401" s="2"/>
      <c r="G401" s="2"/>
      <c r="H401" s="2"/>
      <c r="I401" s="2"/>
    </row>
    <row r="402" spans="1:15" s="1" customFormat="1" x14ac:dyDescent="0.2">
      <c r="A402" s="13"/>
      <c r="B402" s="1" t="s">
        <v>12</v>
      </c>
      <c r="C402" s="15">
        <f t="shared" ref="C402:I402" si="160">SUM(C399:C400)</f>
        <v>0</v>
      </c>
      <c r="D402" s="15">
        <f t="shared" si="160"/>
        <v>-1326</v>
      </c>
      <c r="E402" s="15">
        <f t="shared" si="160"/>
        <v>-1326</v>
      </c>
      <c r="F402" s="15">
        <f t="shared" si="160"/>
        <v>-1326</v>
      </c>
      <c r="G402" s="15">
        <f t="shared" si="160"/>
        <v>0</v>
      </c>
      <c r="H402" s="15">
        <f t="shared" si="160"/>
        <v>0</v>
      </c>
      <c r="I402" s="15">
        <f t="shared" si="160"/>
        <v>-1326</v>
      </c>
      <c r="J402" s="8"/>
    </row>
    <row r="403" spans="1:15" x14ac:dyDescent="0.2">
      <c r="A403" s="16"/>
      <c r="B403" s="1" t="s">
        <v>27</v>
      </c>
      <c r="C403" s="15">
        <f t="shared" ref="C403:I403" si="161">C402*16</f>
        <v>0</v>
      </c>
      <c r="D403" s="15">
        <f t="shared" si="161"/>
        <v>-21216</v>
      </c>
      <c r="E403" s="15">
        <f t="shared" si="161"/>
        <v>-21216</v>
      </c>
      <c r="F403" s="15">
        <f t="shared" si="161"/>
        <v>-21216</v>
      </c>
      <c r="G403" s="15">
        <f t="shared" si="161"/>
        <v>0</v>
      </c>
      <c r="H403" s="15">
        <f t="shared" si="161"/>
        <v>0</v>
      </c>
      <c r="I403" s="15">
        <f t="shared" si="161"/>
        <v>-21216</v>
      </c>
      <c r="J403" s="3">
        <f>SUM(C403:I403)</f>
        <v>-84864</v>
      </c>
    </row>
    <row r="404" spans="1:15" x14ac:dyDescent="0.2">
      <c r="A404" s="16"/>
      <c r="B404" s="1"/>
      <c r="C404" s="15"/>
      <c r="D404" s="15"/>
      <c r="E404" s="15"/>
      <c r="F404" s="15"/>
      <c r="G404" s="15"/>
      <c r="H404" s="15"/>
      <c r="I404" s="15"/>
      <c r="J404" s="3"/>
    </row>
    <row r="405" spans="1:15" x14ac:dyDescent="0.2">
      <c r="A405" s="16"/>
      <c r="B405" s="1"/>
      <c r="C405" s="15"/>
      <c r="D405" s="15"/>
      <c r="E405" s="15"/>
      <c r="F405" s="15"/>
      <c r="G405" s="15"/>
      <c r="H405" s="15"/>
      <c r="I405" s="15"/>
      <c r="J405" s="3"/>
    </row>
    <row r="406" spans="1:15" s="1" customFormat="1" x14ac:dyDescent="0.2">
      <c r="A406" s="1" t="s">
        <v>49</v>
      </c>
      <c r="B406" s="5" t="s">
        <v>19</v>
      </c>
      <c r="C406" s="28">
        <v>37257</v>
      </c>
      <c r="D406" s="6">
        <v>37258</v>
      </c>
      <c r="E406" s="6">
        <v>37259</v>
      </c>
      <c r="F406" s="6">
        <v>37260</v>
      </c>
      <c r="G406" s="28">
        <v>37261</v>
      </c>
      <c r="H406" s="28">
        <v>37262</v>
      </c>
      <c r="I406" s="6">
        <v>37263</v>
      </c>
      <c r="J406" s="8"/>
      <c r="K406" s="7"/>
    </row>
    <row r="407" spans="1:15" x14ac:dyDescent="0.2">
      <c r="B407" s="1" t="s">
        <v>3</v>
      </c>
      <c r="E407" s="2"/>
      <c r="G407" s="2"/>
      <c r="H407" s="2"/>
      <c r="I407" s="2"/>
      <c r="K407" s="4"/>
    </row>
    <row r="408" spans="1:15" x14ac:dyDescent="0.2">
      <c r="B408" s="8" t="s">
        <v>4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K408" s="4"/>
    </row>
    <row r="409" spans="1:15" x14ac:dyDescent="0.2">
      <c r="B409" s="1" t="s">
        <v>5</v>
      </c>
      <c r="C409" s="2">
        <v>675</v>
      </c>
      <c r="D409" s="2">
        <v>675</v>
      </c>
      <c r="E409" s="2">
        <v>675</v>
      </c>
      <c r="F409" s="2">
        <v>675</v>
      </c>
      <c r="G409" s="2">
        <v>675</v>
      </c>
      <c r="H409" s="2">
        <v>675</v>
      </c>
      <c r="I409" s="2">
        <v>675</v>
      </c>
      <c r="K409" s="4"/>
      <c r="N409" s="2">
        <v>24776947</v>
      </c>
    </row>
    <row r="410" spans="1:15" x14ac:dyDescent="0.2">
      <c r="B410" s="8" t="s">
        <v>4</v>
      </c>
      <c r="C410" s="3">
        <v>42.25</v>
      </c>
      <c r="D410" s="3">
        <v>42.25</v>
      </c>
      <c r="E410" s="3">
        <v>42.25</v>
      </c>
      <c r="F410" s="3">
        <v>42.25</v>
      </c>
      <c r="G410" s="3">
        <v>42.25</v>
      </c>
      <c r="H410" s="3">
        <v>42.25</v>
      </c>
      <c r="I410" s="3">
        <v>42.25</v>
      </c>
      <c r="K410" s="4"/>
      <c r="N410" s="2">
        <v>12</v>
      </c>
    </row>
    <row r="411" spans="1:15" x14ac:dyDescent="0.2">
      <c r="B411" s="7" t="s">
        <v>6</v>
      </c>
      <c r="C411" s="4">
        <f>C407-C409</f>
        <v>-675</v>
      </c>
      <c r="D411" s="4">
        <f t="shared" ref="D411:I411" si="162">D407-D409</f>
        <v>-675</v>
      </c>
      <c r="E411" s="4">
        <f t="shared" si="162"/>
        <v>-675</v>
      </c>
      <c r="F411" s="4">
        <f t="shared" si="162"/>
        <v>-675</v>
      </c>
      <c r="G411" s="4">
        <f t="shared" si="162"/>
        <v>-675</v>
      </c>
      <c r="H411" s="4">
        <f t="shared" si="162"/>
        <v>-675</v>
      </c>
      <c r="I411" s="4">
        <f t="shared" si="162"/>
        <v>-675</v>
      </c>
      <c r="K411" s="4"/>
      <c r="N411" s="2">
        <f>N409/N410</f>
        <v>2064745.5833333333</v>
      </c>
      <c r="O411" s="25">
        <f>N411/7</f>
        <v>294963.65476190473</v>
      </c>
    </row>
    <row r="412" spans="1:15" x14ac:dyDescent="0.2">
      <c r="B412" s="9" t="s">
        <v>7</v>
      </c>
      <c r="C412" s="10">
        <v>30</v>
      </c>
      <c r="D412" s="29">
        <v>40</v>
      </c>
      <c r="E412" s="29">
        <v>40</v>
      </c>
      <c r="F412" s="29">
        <v>40</v>
      </c>
      <c r="G412" s="10">
        <v>30</v>
      </c>
      <c r="H412" s="10">
        <v>30</v>
      </c>
      <c r="I412" s="29">
        <v>40</v>
      </c>
      <c r="K412" s="4"/>
    </row>
    <row r="413" spans="1:15" x14ac:dyDescent="0.2">
      <c r="B413" s="9"/>
      <c r="C413" s="11"/>
      <c r="D413" s="19"/>
      <c r="E413" s="19"/>
      <c r="F413" s="19"/>
      <c r="G413" s="11"/>
      <c r="H413" s="11"/>
      <c r="I413" s="19"/>
      <c r="K413" s="4"/>
    </row>
    <row r="414" spans="1:15" x14ac:dyDescent="0.2">
      <c r="B414" s="9" t="s">
        <v>8</v>
      </c>
      <c r="C414" s="12">
        <f t="shared" ref="C414:I414" si="163">(C407*C408)*(-1)</f>
        <v>0</v>
      </c>
      <c r="D414" s="12">
        <f t="shared" si="163"/>
        <v>0</v>
      </c>
      <c r="E414" s="12">
        <f t="shared" si="163"/>
        <v>0</v>
      </c>
      <c r="F414" s="12">
        <f t="shared" si="163"/>
        <v>0</v>
      </c>
      <c r="G414" s="12">
        <f t="shared" si="163"/>
        <v>0</v>
      </c>
      <c r="H414" s="12">
        <f t="shared" si="163"/>
        <v>0</v>
      </c>
      <c r="I414" s="12">
        <f t="shared" si="163"/>
        <v>0</v>
      </c>
      <c r="K414" s="4"/>
    </row>
    <row r="415" spans="1:15" x14ac:dyDescent="0.2">
      <c r="B415" s="9" t="s">
        <v>9</v>
      </c>
      <c r="C415" s="11">
        <f t="shared" ref="C415:I415" si="164">C409*C410</f>
        <v>28518.75</v>
      </c>
      <c r="D415" s="11">
        <f t="shared" si="164"/>
        <v>28518.75</v>
      </c>
      <c r="E415" s="11">
        <f t="shared" si="164"/>
        <v>28518.75</v>
      </c>
      <c r="F415" s="11">
        <f t="shared" si="164"/>
        <v>28518.75</v>
      </c>
      <c r="G415" s="11">
        <f t="shared" si="164"/>
        <v>28518.75</v>
      </c>
      <c r="H415" s="11">
        <f t="shared" si="164"/>
        <v>28518.75</v>
      </c>
      <c r="I415" s="11">
        <f t="shared" si="164"/>
        <v>28518.75</v>
      </c>
      <c r="K415" s="4"/>
    </row>
    <row r="416" spans="1:15" x14ac:dyDescent="0.2">
      <c r="B416" s="7" t="s">
        <v>10</v>
      </c>
      <c r="C416" s="11">
        <f t="shared" ref="C416:I416" si="165">SUM(C414:C415)</f>
        <v>28518.75</v>
      </c>
      <c r="D416" s="11">
        <f t="shared" si="165"/>
        <v>28518.75</v>
      </c>
      <c r="E416" s="11">
        <f t="shared" si="165"/>
        <v>28518.75</v>
      </c>
      <c r="F416" s="11">
        <f t="shared" si="165"/>
        <v>28518.75</v>
      </c>
      <c r="G416" s="11">
        <f t="shared" si="165"/>
        <v>28518.75</v>
      </c>
      <c r="H416" s="11">
        <f t="shared" si="165"/>
        <v>28518.75</v>
      </c>
      <c r="I416" s="11">
        <f t="shared" si="165"/>
        <v>28518.75</v>
      </c>
      <c r="K416" s="4"/>
    </row>
    <row r="417" spans="1:11" x14ac:dyDescent="0.2">
      <c r="A417" s="13"/>
      <c r="B417" s="2" t="s">
        <v>11</v>
      </c>
      <c r="C417" s="12">
        <f t="shared" ref="C417:I417" si="166">C411*C412</f>
        <v>-20250</v>
      </c>
      <c r="D417" s="12">
        <f t="shared" si="166"/>
        <v>-27000</v>
      </c>
      <c r="E417" s="12">
        <f t="shared" si="166"/>
        <v>-27000</v>
      </c>
      <c r="F417" s="12">
        <f t="shared" si="166"/>
        <v>-27000</v>
      </c>
      <c r="G417" s="12">
        <f t="shared" si="166"/>
        <v>-20250</v>
      </c>
      <c r="H417" s="12">
        <f t="shared" si="166"/>
        <v>-20250</v>
      </c>
      <c r="I417" s="12">
        <f t="shared" si="166"/>
        <v>-27000</v>
      </c>
    </row>
    <row r="418" spans="1:11" x14ac:dyDescent="0.2">
      <c r="A418" s="14"/>
      <c r="E418" s="2"/>
      <c r="G418" s="2"/>
      <c r="H418" s="2"/>
      <c r="I418" s="2"/>
    </row>
    <row r="419" spans="1:11" s="1" customFormat="1" x14ac:dyDescent="0.2">
      <c r="A419" s="13"/>
      <c r="B419" s="1" t="s">
        <v>12</v>
      </c>
      <c r="C419" s="15">
        <f t="shared" ref="C419:I419" si="167">SUM(C416:C417)</f>
        <v>8268.75</v>
      </c>
      <c r="D419" s="15">
        <f t="shared" si="167"/>
        <v>1518.75</v>
      </c>
      <c r="E419" s="15">
        <f t="shared" si="167"/>
        <v>1518.75</v>
      </c>
      <c r="F419" s="15">
        <f t="shared" si="167"/>
        <v>1518.75</v>
      </c>
      <c r="G419" s="15">
        <f t="shared" si="167"/>
        <v>8268.75</v>
      </c>
      <c r="H419" s="15">
        <f t="shared" si="167"/>
        <v>8268.75</v>
      </c>
      <c r="I419" s="15">
        <f t="shared" si="167"/>
        <v>1518.75</v>
      </c>
      <c r="J419" s="8"/>
    </row>
    <row r="420" spans="1:11" x14ac:dyDescent="0.2">
      <c r="A420" s="16"/>
      <c r="B420" s="1" t="s">
        <v>27</v>
      </c>
      <c r="C420" s="15">
        <f t="shared" ref="C420:I420" si="168">C419*16</f>
        <v>132300</v>
      </c>
      <c r="D420" s="15">
        <f t="shared" si="168"/>
        <v>24300</v>
      </c>
      <c r="E420" s="15">
        <f t="shared" si="168"/>
        <v>24300</v>
      </c>
      <c r="F420" s="15">
        <f t="shared" si="168"/>
        <v>24300</v>
      </c>
      <c r="G420" s="15">
        <f t="shared" si="168"/>
        <v>132300</v>
      </c>
      <c r="H420" s="15">
        <f t="shared" si="168"/>
        <v>132300</v>
      </c>
      <c r="I420" s="15">
        <f t="shared" si="168"/>
        <v>24300</v>
      </c>
      <c r="J420" s="3">
        <f>SUM(C420:I420)</f>
        <v>494100</v>
      </c>
    </row>
    <row r="421" spans="1:11" x14ac:dyDescent="0.2">
      <c r="A421" s="16"/>
      <c r="B421" s="1"/>
      <c r="C421" s="15"/>
      <c r="D421" s="18"/>
      <c r="E421" s="18"/>
      <c r="F421" s="18"/>
      <c r="G421" s="21"/>
      <c r="H421" s="18"/>
      <c r="I421" s="15"/>
      <c r="J421" s="3"/>
    </row>
    <row r="422" spans="1:11" s="1" customFormat="1" x14ac:dyDescent="0.2">
      <c r="A422" s="1" t="s">
        <v>23</v>
      </c>
      <c r="B422" s="5" t="s">
        <v>19</v>
      </c>
      <c r="C422" s="28">
        <v>37257</v>
      </c>
      <c r="D422" s="6">
        <v>37258</v>
      </c>
      <c r="E422" s="6">
        <v>37259</v>
      </c>
      <c r="F422" s="6">
        <v>37260</v>
      </c>
      <c r="G422" s="28">
        <v>37261</v>
      </c>
      <c r="H422" s="28">
        <v>37262</v>
      </c>
      <c r="I422" s="6">
        <v>37263</v>
      </c>
      <c r="J422" s="8"/>
      <c r="K422" s="7"/>
    </row>
    <row r="423" spans="1:11" x14ac:dyDescent="0.2">
      <c r="B423" s="1" t="s">
        <v>3</v>
      </c>
      <c r="D423" s="19">
        <v>0</v>
      </c>
      <c r="E423" s="19">
        <v>0</v>
      </c>
      <c r="F423" s="19">
        <v>0</v>
      </c>
      <c r="G423" s="10"/>
      <c r="H423" s="21"/>
      <c r="I423" s="19">
        <v>0</v>
      </c>
      <c r="K423" s="4"/>
    </row>
    <row r="424" spans="1:11" x14ac:dyDescent="0.2">
      <c r="B424" s="8" t="s">
        <v>4</v>
      </c>
      <c r="C424" s="3">
        <v>0</v>
      </c>
      <c r="D424" s="10">
        <v>0</v>
      </c>
      <c r="E424" s="10">
        <v>0</v>
      </c>
      <c r="F424" s="10">
        <v>0</v>
      </c>
      <c r="G424" s="10"/>
      <c r="H424" s="21"/>
      <c r="I424" s="10">
        <v>0</v>
      </c>
      <c r="K424" s="4"/>
    </row>
    <row r="425" spans="1:11" x14ac:dyDescent="0.2">
      <c r="B425" s="1" t="s">
        <v>5</v>
      </c>
      <c r="C425" s="2">
        <v>275</v>
      </c>
      <c r="D425" s="2">
        <v>275</v>
      </c>
      <c r="E425" s="2">
        <v>275</v>
      </c>
      <c r="F425" s="2">
        <v>275</v>
      </c>
      <c r="G425" s="2">
        <v>275</v>
      </c>
      <c r="H425" s="2">
        <v>275</v>
      </c>
      <c r="I425" s="2">
        <v>275</v>
      </c>
      <c r="K425" s="4"/>
    </row>
    <row r="426" spans="1:11" x14ac:dyDescent="0.2">
      <c r="B426" s="8" t="s">
        <v>4</v>
      </c>
      <c r="C426" s="3">
        <v>77.8</v>
      </c>
      <c r="D426" s="3">
        <v>77.8</v>
      </c>
      <c r="E426" s="3">
        <v>77.8</v>
      </c>
      <c r="F426" s="3">
        <v>77.8</v>
      </c>
      <c r="G426" s="3">
        <v>77.8</v>
      </c>
      <c r="H426" s="3">
        <v>77.8</v>
      </c>
      <c r="I426" s="3">
        <v>77.8</v>
      </c>
      <c r="K426" s="4"/>
    </row>
    <row r="427" spans="1:11" x14ac:dyDescent="0.2">
      <c r="B427" s="7" t="s">
        <v>6</v>
      </c>
      <c r="C427" s="4">
        <f>C423-C425</f>
        <v>-275</v>
      </c>
      <c r="D427" s="4">
        <f t="shared" ref="D427:I427" si="169">D423-D425</f>
        <v>-275</v>
      </c>
      <c r="E427" s="4">
        <f t="shared" si="169"/>
        <v>-275</v>
      </c>
      <c r="F427" s="4">
        <f t="shared" si="169"/>
        <v>-275</v>
      </c>
      <c r="G427" s="4">
        <f t="shared" si="169"/>
        <v>-275</v>
      </c>
      <c r="H427" s="4">
        <f t="shared" si="169"/>
        <v>-275</v>
      </c>
      <c r="I427" s="4">
        <f t="shared" si="169"/>
        <v>-275</v>
      </c>
      <c r="K427" s="4"/>
    </row>
    <row r="428" spans="1:11" x14ac:dyDescent="0.2">
      <c r="B428" s="9" t="s">
        <v>7</v>
      </c>
      <c r="C428" s="10">
        <v>30</v>
      </c>
      <c r="D428" s="29">
        <v>40</v>
      </c>
      <c r="E428" s="29">
        <v>40</v>
      </c>
      <c r="F428" s="29">
        <v>40</v>
      </c>
      <c r="G428" s="10">
        <v>30</v>
      </c>
      <c r="H428" s="10">
        <v>30</v>
      </c>
      <c r="I428" s="29">
        <v>40</v>
      </c>
      <c r="K428" s="4"/>
    </row>
    <row r="429" spans="1:11" x14ac:dyDescent="0.2">
      <c r="B429" s="9"/>
      <c r="C429" s="11"/>
      <c r="D429" s="19"/>
      <c r="E429" s="19"/>
      <c r="F429" s="10"/>
      <c r="G429" s="10"/>
      <c r="H429" s="21"/>
      <c r="K429" s="4"/>
    </row>
    <row r="430" spans="1:11" x14ac:dyDescent="0.2">
      <c r="B430" s="9" t="s">
        <v>8</v>
      </c>
      <c r="C430" s="12">
        <f t="shared" ref="C430:I430" si="170">(C423*C424)*(-1)</f>
        <v>0</v>
      </c>
      <c r="D430" s="12">
        <f t="shared" si="170"/>
        <v>0</v>
      </c>
      <c r="E430" s="12">
        <f t="shared" si="170"/>
        <v>0</v>
      </c>
      <c r="F430" s="12">
        <f t="shared" si="170"/>
        <v>0</v>
      </c>
      <c r="G430" s="12">
        <f t="shared" si="170"/>
        <v>0</v>
      </c>
      <c r="H430" s="12">
        <f t="shared" si="170"/>
        <v>0</v>
      </c>
      <c r="I430" s="12">
        <f t="shared" si="170"/>
        <v>0</v>
      </c>
      <c r="K430" s="4"/>
    </row>
    <row r="431" spans="1:11" x14ac:dyDescent="0.2">
      <c r="B431" s="9" t="s">
        <v>9</v>
      </c>
      <c r="C431" s="11">
        <f t="shared" ref="C431:I431" si="171">C425*C426</f>
        <v>21395</v>
      </c>
      <c r="D431" s="11">
        <f t="shared" si="171"/>
        <v>21395</v>
      </c>
      <c r="E431" s="11">
        <f t="shared" si="171"/>
        <v>21395</v>
      </c>
      <c r="F431" s="11">
        <f t="shared" si="171"/>
        <v>21395</v>
      </c>
      <c r="G431" s="11">
        <f t="shared" si="171"/>
        <v>21395</v>
      </c>
      <c r="H431" s="11">
        <f t="shared" si="171"/>
        <v>21395</v>
      </c>
      <c r="I431" s="11">
        <f t="shared" si="171"/>
        <v>21395</v>
      </c>
      <c r="K431" s="4"/>
    </row>
    <row r="432" spans="1:11" x14ac:dyDescent="0.2">
      <c r="B432" s="7" t="s">
        <v>10</v>
      </c>
      <c r="C432" s="11">
        <f t="shared" ref="C432:I432" si="172">SUM(C430:C431)</f>
        <v>21395</v>
      </c>
      <c r="D432" s="11">
        <f t="shared" si="172"/>
        <v>21395</v>
      </c>
      <c r="E432" s="11">
        <f t="shared" si="172"/>
        <v>21395</v>
      </c>
      <c r="F432" s="11">
        <f t="shared" si="172"/>
        <v>21395</v>
      </c>
      <c r="G432" s="11">
        <f t="shared" si="172"/>
        <v>21395</v>
      </c>
      <c r="H432" s="11">
        <f t="shared" si="172"/>
        <v>21395</v>
      </c>
      <c r="I432" s="11">
        <f t="shared" si="172"/>
        <v>21395</v>
      </c>
      <c r="K432" s="4"/>
    </row>
    <row r="433" spans="1:11" x14ac:dyDescent="0.2">
      <c r="A433" s="13"/>
      <c r="B433" s="2" t="s">
        <v>11</v>
      </c>
      <c r="C433" s="12">
        <f t="shared" ref="C433:I433" si="173">C427*C428</f>
        <v>-8250</v>
      </c>
      <c r="D433" s="12">
        <f t="shared" si="173"/>
        <v>-11000</v>
      </c>
      <c r="E433" s="12">
        <f t="shared" si="173"/>
        <v>-11000</v>
      </c>
      <c r="F433" s="12">
        <f t="shared" si="173"/>
        <v>-11000</v>
      </c>
      <c r="G433" s="12">
        <f t="shared" si="173"/>
        <v>-8250</v>
      </c>
      <c r="H433" s="12">
        <f t="shared" si="173"/>
        <v>-8250</v>
      </c>
      <c r="I433" s="12">
        <f t="shared" si="173"/>
        <v>-11000</v>
      </c>
    </row>
    <row r="434" spans="1:11" x14ac:dyDescent="0.2">
      <c r="A434" s="14"/>
      <c r="E434" s="2"/>
      <c r="G434" s="2"/>
      <c r="H434" s="2"/>
      <c r="I434" s="2"/>
    </row>
    <row r="435" spans="1:11" s="1" customFormat="1" x14ac:dyDescent="0.2">
      <c r="A435" s="13"/>
      <c r="B435" s="1" t="s">
        <v>12</v>
      </c>
      <c r="C435" s="15">
        <f t="shared" ref="C435:I435" si="174">SUM(C432:C433)</f>
        <v>13145</v>
      </c>
      <c r="D435" s="15">
        <f t="shared" si="174"/>
        <v>10395</v>
      </c>
      <c r="E435" s="15">
        <f t="shared" si="174"/>
        <v>10395</v>
      </c>
      <c r="F435" s="15">
        <f t="shared" si="174"/>
        <v>10395</v>
      </c>
      <c r="G435" s="15">
        <f t="shared" si="174"/>
        <v>13145</v>
      </c>
      <c r="H435" s="15">
        <f t="shared" si="174"/>
        <v>13145</v>
      </c>
      <c r="I435" s="15">
        <f t="shared" si="174"/>
        <v>10395</v>
      </c>
      <c r="J435" s="8"/>
    </row>
    <row r="436" spans="1:11" x14ac:dyDescent="0.2">
      <c r="A436" s="16"/>
      <c r="B436" s="1" t="s">
        <v>13</v>
      </c>
      <c r="C436" s="15">
        <f t="shared" ref="C436:I436" si="175">C435*16</f>
        <v>210320</v>
      </c>
      <c r="D436" s="15">
        <f t="shared" si="175"/>
        <v>166320</v>
      </c>
      <c r="E436" s="15">
        <f t="shared" si="175"/>
        <v>166320</v>
      </c>
      <c r="F436" s="15">
        <f t="shared" si="175"/>
        <v>166320</v>
      </c>
      <c r="G436" s="15">
        <f t="shared" si="175"/>
        <v>210320</v>
      </c>
      <c r="H436" s="15">
        <f t="shared" si="175"/>
        <v>210320</v>
      </c>
      <c r="I436" s="15">
        <f t="shared" si="175"/>
        <v>166320</v>
      </c>
      <c r="J436" s="3">
        <f>SUM(C436:I436)</f>
        <v>1296240</v>
      </c>
    </row>
    <row r="437" spans="1:11" x14ac:dyDescent="0.2">
      <c r="A437" s="16"/>
      <c r="B437" s="1"/>
      <c r="C437" s="15"/>
      <c r="D437" s="18"/>
      <c r="E437" s="18"/>
      <c r="F437" s="18"/>
      <c r="G437" s="21"/>
      <c r="H437" s="18"/>
      <c r="I437" s="15"/>
      <c r="J437" s="3"/>
    </row>
    <row r="438" spans="1:11" s="1" customFormat="1" x14ac:dyDescent="0.2">
      <c r="A438" s="1" t="s">
        <v>50</v>
      </c>
      <c r="B438" s="5" t="s">
        <v>19</v>
      </c>
      <c r="C438" s="28">
        <v>37257</v>
      </c>
      <c r="D438" s="6">
        <v>37258</v>
      </c>
      <c r="E438" s="6">
        <v>37259</v>
      </c>
      <c r="F438" s="6">
        <v>37260</v>
      </c>
      <c r="G438" s="28">
        <v>37261</v>
      </c>
      <c r="H438" s="28">
        <v>37262</v>
      </c>
      <c r="I438" s="6">
        <v>37263</v>
      </c>
      <c r="J438" s="8"/>
      <c r="K438" s="7"/>
    </row>
    <row r="439" spans="1:11" x14ac:dyDescent="0.2">
      <c r="B439" s="1" t="s">
        <v>3</v>
      </c>
      <c r="D439" s="19">
        <v>0</v>
      </c>
      <c r="E439" s="19">
        <v>0</v>
      </c>
      <c r="F439" s="19">
        <v>0</v>
      </c>
      <c r="G439" s="10"/>
      <c r="H439" s="21"/>
      <c r="I439" s="19">
        <v>0</v>
      </c>
      <c r="K439" s="4"/>
    </row>
    <row r="440" spans="1:11" x14ac:dyDescent="0.2">
      <c r="B440" s="8" t="s">
        <v>4</v>
      </c>
      <c r="C440" s="3">
        <v>0</v>
      </c>
      <c r="D440" s="10">
        <v>0</v>
      </c>
      <c r="E440" s="10">
        <v>0</v>
      </c>
      <c r="F440" s="10">
        <v>0</v>
      </c>
      <c r="G440" s="10"/>
      <c r="H440" s="21"/>
      <c r="I440" s="10">
        <v>0</v>
      </c>
      <c r="K440" s="4"/>
    </row>
    <row r="441" spans="1:11" x14ac:dyDescent="0.2">
      <c r="B441" s="1" t="s">
        <v>5</v>
      </c>
      <c r="C441" s="2">
        <v>90</v>
      </c>
      <c r="D441" s="2">
        <v>90</v>
      </c>
      <c r="E441" s="2">
        <v>90</v>
      </c>
      <c r="F441" s="2">
        <v>90</v>
      </c>
      <c r="G441" s="2">
        <v>90</v>
      </c>
      <c r="H441" s="2">
        <v>90</v>
      </c>
      <c r="I441" s="2">
        <v>90</v>
      </c>
      <c r="K441" s="4"/>
    </row>
    <row r="442" spans="1:11" x14ac:dyDescent="0.2">
      <c r="B442" s="8" t="s">
        <v>4</v>
      </c>
      <c r="C442" s="3">
        <v>68.62</v>
      </c>
      <c r="D442" s="3">
        <v>68.62</v>
      </c>
      <c r="E442" s="3">
        <v>68.62</v>
      </c>
      <c r="F442" s="3">
        <v>68.62</v>
      </c>
      <c r="G442" s="3">
        <v>68.62</v>
      </c>
      <c r="H442" s="3">
        <v>68.62</v>
      </c>
      <c r="I442" s="3">
        <v>68.62</v>
      </c>
      <c r="K442" s="4"/>
    </row>
    <row r="443" spans="1:11" x14ac:dyDescent="0.2">
      <c r="B443" s="7" t="s">
        <v>6</v>
      </c>
      <c r="C443" s="4">
        <f>C439-C441</f>
        <v>-90</v>
      </c>
      <c r="D443" s="4">
        <f t="shared" ref="D443:I443" si="176">D439-D441</f>
        <v>-90</v>
      </c>
      <c r="E443" s="4">
        <f t="shared" si="176"/>
        <v>-90</v>
      </c>
      <c r="F443" s="4">
        <f t="shared" si="176"/>
        <v>-90</v>
      </c>
      <c r="G443" s="4">
        <f t="shared" si="176"/>
        <v>-90</v>
      </c>
      <c r="H443" s="4">
        <f t="shared" si="176"/>
        <v>-90</v>
      </c>
      <c r="I443" s="4">
        <f t="shared" si="176"/>
        <v>-90</v>
      </c>
      <c r="K443" s="4"/>
    </row>
    <row r="444" spans="1:11" x14ac:dyDescent="0.2">
      <c r="B444" s="9" t="s">
        <v>7</v>
      </c>
      <c r="C444" s="10">
        <v>30</v>
      </c>
      <c r="D444" s="29">
        <v>40</v>
      </c>
      <c r="E444" s="29">
        <v>40</v>
      </c>
      <c r="F444" s="29">
        <v>40</v>
      </c>
      <c r="G444" s="10">
        <v>30</v>
      </c>
      <c r="H444" s="10">
        <v>30</v>
      </c>
      <c r="I444" s="29">
        <v>40</v>
      </c>
      <c r="K444" s="4"/>
    </row>
    <row r="445" spans="1:11" x14ac:dyDescent="0.2">
      <c r="B445" s="9"/>
      <c r="C445" s="11"/>
      <c r="D445" s="19"/>
      <c r="E445" s="19"/>
      <c r="F445" s="10"/>
      <c r="G445" s="10"/>
      <c r="H445" s="21"/>
      <c r="K445" s="4"/>
    </row>
    <row r="446" spans="1:11" x14ac:dyDescent="0.2">
      <c r="B446" s="9" t="s">
        <v>8</v>
      </c>
      <c r="C446" s="12">
        <f t="shared" ref="C446:I446" si="177">(C439*C440)*(-1)</f>
        <v>0</v>
      </c>
      <c r="D446" s="12">
        <f t="shared" si="177"/>
        <v>0</v>
      </c>
      <c r="E446" s="12">
        <f t="shared" si="177"/>
        <v>0</v>
      </c>
      <c r="F446" s="12">
        <f t="shared" si="177"/>
        <v>0</v>
      </c>
      <c r="G446" s="12">
        <f t="shared" si="177"/>
        <v>0</v>
      </c>
      <c r="H446" s="12">
        <f t="shared" si="177"/>
        <v>0</v>
      </c>
      <c r="I446" s="12">
        <f t="shared" si="177"/>
        <v>0</v>
      </c>
      <c r="K446" s="4"/>
    </row>
    <row r="447" spans="1:11" x14ac:dyDescent="0.2">
      <c r="B447" s="9" t="s">
        <v>9</v>
      </c>
      <c r="C447" s="11">
        <f t="shared" ref="C447:I447" si="178">C441*C442</f>
        <v>6175.8</v>
      </c>
      <c r="D447" s="11">
        <f t="shared" si="178"/>
        <v>6175.8</v>
      </c>
      <c r="E447" s="11">
        <f t="shared" si="178"/>
        <v>6175.8</v>
      </c>
      <c r="F447" s="11">
        <f t="shared" si="178"/>
        <v>6175.8</v>
      </c>
      <c r="G447" s="11">
        <f t="shared" si="178"/>
        <v>6175.8</v>
      </c>
      <c r="H447" s="11">
        <f t="shared" si="178"/>
        <v>6175.8</v>
      </c>
      <c r="I447" s="11">
        <f t="shared" si="178"/>
        <v>6175.8</v>
      </c>
      <c r="K447" s="4"/>
    </row>
    <row r="448" spans="1:11" x14ac:dyDescent="0.2">
      <c r="B448" s="7" t="s">
        <v>10</v>
      </c>
      <c r="C448" s="11">
        <f t="shared" ref="C448:I448" si="179">SUM(C446:C447)</f>
        <v>6175.8</v>
      </c>
      <c r="D448" s="11">
        <f t="shared" si="179"/>
        <v>6175.8</v>
      </c>
      <c r="E448" s="11">
        <f t="shared" si="179"/>
        <v>6175.8</v>
      </c>
      <c r="F448" s="11">
        <f t="shared" si="179"/>
        <v>6175.8</v>
      </c>
      <c r="G448" s="11">
        <f t="shared" si="179"/>
        <v>6175.8</v>
      </c>
      <c r="H448" s="11">
        <f t="shared" si="179"/>
        <v>6175.8</v>
      </c>
      <c r="I448" s="11">
        <f t="shared" si="179"/>
        <v>6175.8</v>
      </c>
      <c r="K448" s="4"/>
    </row>
    <row r="449" spans="1:10" x14ac:dyDescent="0.2">
      <c r="A449" s="13"/>
      <c r="B449" s="2" t="s">
        <v>11</v>
      </c>
      <c r="C449" s="12">
        <f t="shared" ref="C449:I449" si="180">C443*C444</f>
        <v>-2700</v>
      </c>
      <c r="D449" s="12">
        <f t="shared" si="180"/>
        <v>-3600</v>
      </c>
      <c r="E449" s="12">
        <f t="shared" si="180"/>
        <v>-3600</v>
      </c>
      <c r="F449" s="12">
        <f t="shared" si="180"/>
        <v>-3600</v>
      </c>
      <c r="G449" s="12">
        <f t="shared" si="180"/>
        <v>-2700</v>
      </c>
      <c r="H449" s="12">
        <f t="shared" si="180"/>
        <v>-2700</v>
      </c>
      <c r="I449" s="12">
        <f t="shared" si="180"/>
        <v>-3600</v>
      </c>
    </row>
    <row r="450" spans="1:10" x14ac:dyDescent="0.2">
      <c r="A450" s="14"/>
      <c r="E450" s="2"/>
      <c r="G450" s="2"/>
      <c r="H450" s="2"/>
      <c r="I450" s="2"/>
    </row>
    <row r="451" spans="1:10" s="1" customFormat="1" x14ac:dyDescent="0.2">
      <c r="A451" s="13"/>
      <c r="B451" s="1" t="s">
        <v>12</v>
      </c>
      <c r="C451" s="15">
        <f t="shared" ref="C451:I451" si="181">SUM(C448:C449)</f>
        <v>3475.8</v>
      </c>
      <c r="D451" s="15">
        <f t="shared" si="181"/>
        <v>2575.8000000000002</v>
      </c>
      <c r="E451" s="15">
        <f t="shared" si="181"/>
        <v>2575.8000000000002</v>
      </c>
      <c r="F451" s="15">
        <f t="shared" si="181"/>
        <v>2575.8000000000002</v>
      </c>
      <c r="G451" s="15">
        <f t="shared" si="181"/>
        <v>3475.8</v>
      </c>
      <c r="H451" s="15">
        <f t="shared" si="181"/>
        <v>3475.8</v>
      </c>
      <c r="I451" s="15">
        <f t="shared" si="181"/>
        <v>2575.8000000000002</v>
      </c>
      <c r="J451" s="8"/>
    </row>
    <row r="452" spans="1:10" x14ac:dyDescent="0.2">
      <c r="A452" s="16"/>
      <c r="B452" s="1" t="s">
        <v>13</v>
      </c>
      <c r="C452" s="15">
        <f t="shared" ref="C452:I452" si="182">C451*16</f>
        <v>55612.800000000003</v>
      </c>
      <c r="D452" s="15">
        <f t="shared" si="182"/>
        <v>41212.800000000003</v>
      </c>
      <c r="E452" s="15">
        <f t="shared" si="182"/>
        <v>41212.800000000003</v>
      </c>
      <c r="F452" s="15">
        <f t="shared" si="182"/>
        <v>41212.800000000003</v>
      </c>
      <c r="G452" s="15">
        <f t="shared" si="182"/>
        <v>55612.800000000003</v>
      </c>
      <c r="H452" s="15">
        <f t="shared" si="182"/>
        <v>55612.800000000003</v>
      </c>
      <c r="I452" s="15">
        <f t="shared" si="182"/>
        <v>41212.800000000003</v>
      </c>
      <c r="J452" s="3">
        <f>SUM(C452:I452)</f>
        <v>331689.59999999998</v>
      </c>
    </row>
    <row r="453" spans="1:10" x14ac:dyDescent="0.2">
      <c r="A453" s="20"/>
    </row>
    <row r="454" spans="1:10" x14ac:dyDescent="0.2">
      <c r="A454" s="16"/>
    </row>
    <row r="455" spans="1:10" x14ac:dyDescent="0.2">
      <c r="A455" s="16"/>
      <c r="B455" s="1" t="s">
        <v>54</v>
      </c>
      <c r="C455" s="4">
        <f>SUM(C326,C343,C360,C377,C394,C411,C427,C443)</f>
        <v>-1115</v>
      </c>
      <c r="D455" s="4">
        <f t="shared" ref="D455:I455" si="183">SUM(D326,D343,D360,D377,D394,D411,D427,D443)</f>
        <v>-1240</v>
      </c>
      <c r="E455" s="4">
        <f t="shared" si="183"/>
        <v>-1240</v>
      </c>
      <c r="F455" s="4">
        <f t="shared" si="183"/>
        <v>-1240</v>
      </c>
      <c r="G455" s="4">
        <f t="shared" si="183"/>
        <v>-1115</v>
      </c>
      <c r="H455" s="4">
        <f t="shared" si="183"/>
        <v>-1115</v>
      </c>
      <c r="I455" s="4">
        <f t="shared" si="183"/>
        <v>-1240</v>
      </c>
    </row>
    <row r="456" spans="1:10" x14ac:dyDescent="0.2">
      <c r="A456" s="16"/>
    </row>
    <row r="457" spans="1:10" x14ac:dyDescent="0.2">
      <c r="A457" s="14"/>
    </row>
    <row r="458" spans="1:10" x14ac:dyDescent="0.2">
      <c r="A458" s="1" t="s">
        <v>22</v>
      </c>
      <c r="B458" s="5" t="s">
        <v>38</v>
      </c>
      <c r="C458" s="28">
        <v>37257</v>
      </c>
      <c r="D458" s="6">
        <v>37258</v>
      </c>
      <c r="E458" s="6">
        <v>37259</v>
      </c>
      <c r="F458" s="6">
        <v>37260</v>
      </c>
      <c r="G458" s="28">
        <v>37261</v>
      </c>
      <c r="H458" s="28">
        <v>37262</v>
      </c>
      <c r="I458" s="6">
        <v>37263</v>
      </c>
      <c r="J458" s="8"/>
    </row>
    <row r="459" spans="1:10" x14ac:dyDescent="0.2">
      <c r="B459" s="1" t="s">
        <v>3</v>
      </c>
      <c r="D459" s="19">
        <v>0</v>
      </c>
      <c r="E459" s="19">
        <v>0</v>
      </c>
      <c r="F459" s="19">
        <v>0</v>
      </c>
      <c r="G459" s="10"/>
      <c r="H459" s="21"/>
      <c r="I459" s="19">
        <v>0</v>
      </c>
    </row>
    <row r="460" spans="1:10" x14ac:dyDescent="0.2">
      <c r="B460" s="8" t="s">
        <v>4</v>
      </c>
      <c r="C460" s="3">
        <v>0</v>
      </c>
      <c r="D460" s="10">
        <v>0</v>
      </c>
      <c r="E460" s="10">
        <v>0</v>
      </c>
      <c r="F460" s="10">
        <v>0</v>
      </c>
      <c r="G460" s="10"/>
      <c r="H460" s="21"/>
      <c r="I460" s="10">
        <v>0</v>
      </c>
    </row>
    <row r="461" spans="1:10" x14ac:dyDescent="0.2">
      <c r="B461" s="1" t="s">
        <v>5</v>
      </c>
      <c r="D461" s="19">
        <v>50</v>
      </c>
      <c r="E461" s="19">
        <v>50</v>
      </c>
      <c r="F461" s="19">
        <v>50</v>
      </c>
      <c r="G461" s="10"/>
      <c r="H461" s="21"/>
      <c r="I461" s="19">
        <v>50</v>
      </c>
    </row>
    <row r="462" spans="1:10" x14ac:dyDescent="0.2">
      <c r="B462" s="8" t="s">
        <v>4</v>
      </c>
      <c r="C462" s="3">
        <v>0</v>
      </c>
      <c r="D462" s="10">
        <v>32</v>
      </c>
      <c r="E462" s="10">
        <v>32</v>
      </c>
      <c r="F462" s="10">
        <v>32</v>
      </c>
      <c r="G462" s="10"/>
      <c r="H462" s="21"/>
      <c r="I462" s="10">
        <v>32</v>
      </c>
    </row>
    <row r="463" spans="1:10" x14ac:dyDescent="0.2">
      <c r="B463" s="7" t="s">
        <v>6</v>
      </c>
      <c r="C463" s="4">
        <f t="shared" ref="C463:I463" si="184">C459-C461</f>
        <v>0</v>
      </c>
      <c r="D463" s="4">
        <f t="shared" si="184"/>
        <v>-50</v>
      </c>
      <c r="E463" s="4">
        <f t="shared" si="184"/>
        <v>-50</v>
      </c>
      <c r="F463" s="4">
        <f t="shared" si="184"/>
        <v>-50</v>
      </c>
      <c r="G463" s="4">
        <f t="shared" si="184"/>
        <v>0</v>
      </c>
      <c r="H463" s="4">
        <f t="shared" si="184"/>
        <v>0</v>
      </c>
      <c r="I463" s="4">
        <f t="shared" si="184"/>
        <v>-50</v>
      </c>
    </row>
    <row r="464" spans="1:10" x14ac:dyDescent="0.2">
      <c r="B464" s="9" t="s">
        <v>7</v>
      </c>
      <c r="C464" s="10">
        <v>22</v>
      </c>
      <c r="D464" s="29">
        <v>28</v>
      </c>
      <c r="E464" s="29">
        <v>28</v>
      </c>
      <c r="F464" s="29">
        <v>28</v>
      </c>
      <c r="G464" s="10">
        <v>22</v>
      </c>
      <c r="H464" s="10">
        <v>22</v>
      </c>
      <c r="I464" s="29">
        <v>28</v>
      </c>
    </row>
    <row r="465" spans="1:11" x14ac:dyDescent="0.2">
      <c r="B465" s="9"/>
      <c r="C465" s="11"/>
      <c r="D465" s="19"/>
      <c r="E465" s="19"/>
      <c r="F465" s="10"/>
      <c r="G465" s="10"/>
      <c r="H465" s="21"/>
    </row>
    <row r="466" spans="1:11" x14ac:dyDescent="0.2">
      <c r="B466" s="9" t="s">
        <v>8</v>
      </c>
      <c r="C466" s="12">
        <f t="shared" ref="C466:I466" si="185">(C459*C460)*(-1)</f>
        <v>0</v>
      </c>
      <c r="D466" s="12">
        <f t="shared" si="185"/>
        <v>0</v>
      </c>
      <c r="E466" s="12">
        <f t="shared" si="185"/>
        <v>0</v>
      </c>
      <c r="F466" s="12">
        <f t="shared" si="185"/>
        <v>0</v>
      </c>
      <c r="G466" s="12">
        <f t="shared" si="185"/>
        <v>0</v>
      </c>
      <c r="H466" s="12">
        <f t="shared" si="185"/>
        <v>0</v>
      </c>
      <c r="I466" s="12">
        <f t="shared" si="185"/>
        <v>0</v>
      </c>
    </row>
    <row r="467" spans="1:11" x14ac:dyDescent="0.2">
      <c r="B467" s="9" t="s">
        <v>9</v>
      </c>
      <c r="C467" s="11">
        <f t="shared" ref="C467:I467" si="186">C461*C462</f>
        <v>0</v>
      </c>
      <c r="D467" s="11">
        <f t="shared" si="186"/>
        <v>1600</v>
      </c>
      <c r="E467" s="11">
        <f t="shared" si="186"/>
        <v>1600</v>
      </c>
      <c r="F467" s="11">
        <f t="shared" si="186"/>
        <v>1600</v>
      </c>
      <c r="G467" s="11">
        <f t="shared" si="186"/>
        <v>0</v>
      </c>
      <c r="H467" s="11">
        <f t="shared" si="186"/>
        <v>0</v>
      </c>
      <c r="I467" s="11">
        <f t="shared" si="186"/>
        <v>1600</v>
      </c>
    </row>
    <row r="468" spans="1:11" x14ac:dyDescent="0.2">
      <c r="B468" s="7" t="s">
        <v>10</v>
      </c>
      <c r="C468" s="11">
        <f t="shared" ref="C468:I468" si="187">SUM(C466:C467)</f>
        <v>0</v>
      </c>
      <c r="D468" s="11">
        <f t="shared" si="187"/>
        <v>1600</v>
      </c>
      <c r="E468" s="11">
        <f t="shared" si="187"/>
        <v>1600</v>
      </c>
      <c r="F468" s="11">
        <f t="shared" si="187"/>
        <v>1600</v>
      </c>
      <c r="G468" s="11">
        <f t="shared" si="187"/>
        <v>0</v>
      </c>
      <c r="H468" s="11">
        <f t="shared" si="187"/>
        <v>0</v>
      </c>
      <c r="I468" s="11">
        <f t="shared" si="187"/>
        <v>1600</v>
      </c>
    </row>
    <row r="469" spans="1:11" x14ac:dyDescent="0.2">
      <c r="A469" s="13"/>
      <c r="B469" s="2" t="s">
        <v>11</v>
      </c>
      <c r="C469" s="12">
        <f t="shared" ref="C469:I469" si="188">C463*C464</f>
        <v>0</v>
      </c>
      <c r="D469" s="12">
        <f t="shared" si="188"/>
        <v>-1400</v>
      </c>
      <c r="E469" s="12">
        <f t="shared" si="188"/>
        <v>-1400</v>
      </c>
      <c r="F469" s="12">
        <f t="shared" si="188"/>
        <v>-1400</v>
      </c>
      <c r="G469" s="12">
        <f t="shared" si="188"/>
        <v>0</v>
      </c>
      <c r="H469" s="12">
        <f t="shared" si="188"/>
        <v>0</v>
      </c>
      <c r="I469" s="12">
        <f t="shared" si="188"/>
        <v>-1400</v>
      </c>
    </row>
    <row r="470" spans="1:11" x14ac:dyDescent="0.2">
      <c r="A470" s="14"/>
      <c r="E470" s="2"/>
      <c r="G470" s="2"/>
      <c r="H470" s="2"/>
      <c r="I470" s="2"/>
    </row>
    <row r="471" spans="1:11" x14ac:dyDescent="0.2">
      <c r="A471" s="13"/>
      <c r="B471" s="1" t="s">
        <v>12</v>
      </c>
      <c r="C471" s="15">
        <f t="shared" ref="C471:I471" si="189">SUM(C468:C469)</f>
        <v>0</v>
      </c>
      <c r="D471" s="15">
        <f t="shared" si="189"/>
        <v>200</v>
      </c>
      <c r="E471" s="15">
        <f t="shared" si="189"/>
        <v>200</v>
      </c>
      <c r="F471" s="15">
        <f t="shared" si="189"/>
        <v>200</v>
      </c>
      <c r="G471" s="15">
        <f t="shared" si="189"/>
        <v>0</v>
      </c>
      <c r="H471" s="15">
        <f t="shared" si="189"/>
        <v>0</v>
      </c>
      <c r="I471" s="15">
        <f t="shared" si="189"/>
        <v>200</v>
      </c>
      <c r="J471" s="8"/>
    </row>
    <row r="472" spans="1:11" x14ac:dyDescent="0.2">
      <c r="A472" s="16"/>
      <c r="B472" s="1" t="s">
        <v>13</v>
      </c>
      <c r="C472" s="15">
        <f t="shared" ref="C472:I472" si="190">C471*16</f>
        <v>0</v>
      </c>
      <c r="D472" s="15">
        <f t="shared" si="190"/>
        <v>3200</v>
      </c>
      <c r="E472" s="15">
        <f t="shared" si="190"/>
        <v>3200</v>
      </c>
      <c r="F472" s="15">
        <f t="shared" si="190"/>
        <v>3200</v>
      </c>
      <c r="G472" s="15">
        <f t="shared" si="190"/>
        <v>0</v>
      </c>
      <c r="H472" s="15">
        <f t="shared" si="190"/>
        <v>0</v>
      </c>
      <c r="I472" s="15">
        <f t="shared" si="190"/>
        <v>3200</v>
      </c>
      <c r="J472" s="3">
        <f>SUM(C472:I472)</f>
        <v>12800</v>
      </c>
    </row>
    <row r="475" spans="1:11" s="1" customFormat="1" x14ac:dyDescent="0.2">
      <c r="A475" s="1" t="s">
        <v>24</v>
      </c>
      <c r="B475" s="5" t="s">
        <v>26</v>
      </c>
      <c r="C475" s="28">
        <v>37257</v>
      </c>
      <c r="D475" s="6">
        <v>37258</v>
      </c>
      <c r="E475" s="6">
        <v>37259</v>
      </c>
      <c r="F475" s="6">
        <v>37260</v>
      </c>
      <c r="G475" s="28">
        <v>37261</v>
      </c>
      <c r="H475" s="28">
        <v>37262</v>
      </c>
      <c r="I475" s="6">
        <v>37263</v>
      </c>
      <c r="J475" s="8"/>
      <c r="K475" s="7"/>
    </row>
    <row r="476" spans="1:11" x14ac:dyDescent="0.2">
      <c r="A476" s="17"/>
      <c r="B476" s="17" t="s">
        <v>3</v>
      </c>
      <c r="D476" s="19">
        <v>50</v>
      </c>
      <c r="E476" s="19">
        <v>50</v>
      </c>
      <c r="F476" s="19">
        <v>50</v>
      </c>
      <c r="G476" s="10"/>
      <c r="H476" s="21"/>
      <c r="I476" s="19">
        <v>50</v>
      </c>
      <c r="K476" s="4"/>
    </row>
    <row r="477" spans="1:11" x14ac:dyDescent="0.2">
      <c r="A477" s="17"/>
      <c r="B477" s="22" t="s">
        <v>4</v>
      </c>
      <c r="C477" s="3">
        <v>0</v>
      </c>
      <c r="D477" s="10">
        <v>34</v>
      </c>
      <c r="E477" s="10">
        <v>34</v>
      </c>
      <c r="F477" s="10">
        <v>34</v>
      </c>
      <c r="G477" s="10"/>
      <c r="H477" s="21"/>
      <c r="I477" s="10">
        <v>34</v>
      </c>
      <c r="K477" s="4"/>
    </row>
    <row r="478" spans="1:11" x14ac:dyDescent="0.2">
      <c r="A478" s="17"/>
      <c r="B478" s="17" t="s">
        <v>5</v>
      </c>
      <c r="D478" s="19">
        <v>0</v>
      </c>
      <c r="E478" s="19">
        <v>0</v>
      </c>
      <c r="F478" s="19">
        <v>0</v>
      </c>
      <c r="G478" s="10"/>
      <c r="H478" s="21"/>
      <c r="I478" s="19">
        <v>0</v>
      </c>
      <c r="K478" s="4"/>
    </row>
    <row r="479" spans="1:11" x14ac:dyDescent="0.2">
      <c r="A479" s="17"/>
      <c r="B479" s="22" t="s">
        <v>4</v>
      </c>
      <c r="C479" s="3">
        <v>0</v>
      </c>
      <c r="D479" s="10">
        <v>0</v>
      </c>
      <c r="E479" s="10">
        <v>0</v>
      </c>
      <c r="F479" s="10">
        <v>0</v>
      </c>
      <c r="G479" s="10"/>
      <c r="H479" s="21"/>
      <c r="I479" s="10">
        <v>0</v>
      </c>
      <c r="K479" s="4"/>
    </row>
    <row r="480" spans="1:11" x14ac:dyDescent="0.2">
      <c r="A480" s="17"/>
      <c r="B480" s="23" t="s">
        <v>6</v>
      </c>
      <c r="C480" s="4">
        <f>C476-C478</f>
        <v>0</v>
      </c>
      <c r="D480" s="4">
        <f>D476-D478</f>
        <v>50</v>
      </c>
      <c r="E480" s="4">
        <f>E476-E478</f>
        <v>50</v>
      </c>
      <c r="F480" s="4">
        <f>F476-F478</f>
        <v>50</v>
      </c>
      <c r="G480" s="10"/>
      <c r="H480" s="21"/>
      <c r="I480" s="4">
        <f>I476-I478</f>
        <v>50</v>
      </c>
      <c r="K480" s="4"/>
    </row>
    <row r="481" spans="1:11" x14ac:dyDescent="0.2">
      <c r="A481" s="17"/>
      <c r="B481" s="24" t="s">
        <v>7</v>
      </c>
      <c r="C481" s="10">
        <v>22</v>
      </c>
      <c r="D481" s="29">
        <v>28</v>
      </c>
      <c r="E481" s="29">
        <v>28</v>
      </c>
      <c r="F481" s="29">
        <v>28</v>
      </c>
      <c r="G481" s="10">
        <v>22</v>
      </c>
      <c r="H481" s="10">
        <v>22</v>
      </c>
      <c r="I481" s="29">
        <v>28</v>
      </c>
      <c r="K481" s="4"/>
    </row>
    <row r="482" spans="1:11" x14ac:dyDescent="0.2">
      <c r="A482" s="17"/>
      <c r="B482" s="24"/>
      <c r="C482" s="11"/>
      <c r="D482" s="19"/>
      <c r="E482" s="19"/>
      <c r="F482" s="10"/>
      <c r="G482" s="10"/>
      <c r="H482" s="21"/>
      <c r="K482" s="4"/>
    </row>
    <row r="483" spans="1:11" x14ac:dyDescent="0.2">
      <c r="A483" s="17"/>
      <c r="B483" s="24" t="s">
        <v>8</v>
      </c>
      <c r="C483" s="12">
        <f t="shared" ref="C483:I483" si="191">(C476*C477)*(-1)</f>
        <v>0</v>
      </c>
      <c r="D483" s="12">
        <f t="shared" si="191"/>
        <v>-1700</v>
      </c>
      <c r="E483" s="12">
        <f t="shared" si="191"/>
        <v>-1700</v>
      </c>
      <c r="F483" s="12">
        <f t="shared" si="191"/>
        <v>-1700</v>
      </c>
      <c r="G483" s="12">
        <f t="shared" si="191"/>
        <v>0</v>
      </c>
      <c r="H483" s="12">
        <f t="shared" si="191"/>
        <v>0</v>
      </c>
      <c r="I483" s="12">
        <f t="shared" si="191"/>
        <v>-1700</v>
      </c>
      <c r="K483" s="4"/>
    </row>
    <row r="484" spans="1:11" x14ac:dyDescent="0.2">
      <c r="A484" s="17"/>
      <c r="B484" s="24" t="s">
        <v>9</v>
      </c>
      <c r="C484" s="11">
        <f t="shared" ref="C484:I484" si="192">C478*C479</f>
        <v>0</v>
      </c>
      <c r="D484" s="11">
        <f t="shared" si="192"/>
        <v>0</v>
      </c>
      <c r="E484" s="11">
        <f t="shared" si="192"/>
        <v>0</v>
      </c>
      <c r="F484" s="11">
        <f t="shared" si="192"/>
        <v>0</v>
      </c>
      <c r="G484" s="11">
        <f t="shared" si="192"/>
        <v>0</v>
      </c>
      <c r="H484" s="11">
        <f t="shared" si="192"/>
        <v>0</v>
      </c>
      <c r="I484" s="11">
        <f t="shared" si="192"/>
        <v>0</v>
      </c>
      <c r="K484" s="4"/>
    </row>
    <row r="485" spans="1:11" x14ac:dyDescent="0.2">
      <c r="A485" s="17"/>
      <c r="B485" s="23" t="s">
        <v>10</v>
      </c>
      <c r="C485" s="11">
        <f t="shared" ref="C485:I485" si="193">SUM(C483:C484)</f>
        <v>0</v>
      </c>
      <c r="D485" s="11">
        <f t="shared" si="193"/>
        <v>-1700</v>
      </c>
      <c r="E485" s="11">
        <f t="shared" si="193"/>
        <v>-1700</v>
      </c>
      <c r="F485" s="11">
        <f t="shared" si="193"/>
        <v>-1700</v>
      </c>
      <c r="G485" s="11">
        <f t="shared" si="193"/>
        <v>0</v>
      </c>
      <c r="H485" s="11">
        <f t="shared" si="193"/>
        <v>0</v>
      </c>
      <c r="I485" s="11">
        <f t="shared" si="193"/>
        <v>-1700</v>
      </c>
      <c r="K485" s="4"/>
    </row>
    <row r="486" spans="1:11" x14ac:dyDescent="0.2">
      <c r="A486" s="13"/>
      <c r="B486" s="19" t="s">
        <v>11</v>
      </c>
      <c r="C486" s="12">
        <f t="shared" ref="C486:I486" si="194">C480*C481</f>
        <v>0</v>
      </c>
      <c r="D486" s="12">
        <f t="shared" si="194"/>
        <v>1400</v>
      </c>
      <c r="E486" s="12">
        <f t="shared" si="194"/>
        <v>1400</v>
      </c>
      <c r="F486" s="12">
        <f t="shared" si="194"/>
        <v>1400</v>
      </c>
      <c r="G486" s="12">
        <f t="shared" si="194"/>
        <v>0</v>
      </c>
      <c r="H486" s="12">
        <f t="shared" si="194"/>
        <v>0</v>
      </c>
      <c r="I486" s="12">
        <f t="shared" si="194"/>
        <v>1400</v>
      </c>
    </row>
    <row r="487" spans="1:11" x14ac:dyDescent="0.2">
      <c r="A487" s="14"/>
      <c r="B487" s="19"/>
      <c r="E487" s="2"/>
      <c r="G487" s="2"/>
      <c r="H487" s="2"/>
      <c r="I487" s="2"/>
    </row>
    <row r="488" spans="1:11" s="1" customFormat="1" x14ac:dyDescent="0.2">
      <c r="A488" s="13"/>
      <c r="B488" s="17" t="s">
        <v>12</v>
      </c>
      <c r="C488" s="15">
        <f t="shared" ref="C488:I488" si="195">SUM(C485:C486)</f>
        <v>0</v>
      </c>
      <c r="D488" s="15">
        <f t="shared" si="195"/>
        <v>-300</v>
      </c>
      <c r="E488" s="15">
        <f t="shared" si="195"/>
        <v>-300</v>
      </c>
      <c r="F488" s="15">
        <f t="shared" si="195"/>
        <v>-300</v>
      </c>
      <c r="G488" s="15">
        <f t="shared" si="195"/>
        <v>0</v>
      </c>
      <c r="H488" s="15">
        <f t="shared" si="195"/>
        <v>0</v>
      </c>
      <c r="I488" s="15">
        <f t="shared" si="195"/>
        <v>-300</v>
      </c>
      <c r="J488" s="8"/>
    </row>
    <row r="489" spans="1:11" x14ac:dyDescent="0.2">
      <c r="A489" s="16"/>
      <c r="B489" s="17" t="s">
        <v>13</v>
      </c>
      <c r="C489" s="15">
        <f t="shared" ref="C489:I489" si="196">C488*16</f>
        <v>0</v>
      </c>
      <c r="D489" s="15">
        <f t="shared" si="196"/>
        <v>-4800</v>
      </c>
      <c r="E489" s="15">
        <f t="shared" si="196"/>
        <v>-4800</v>
      </c>
      <c r="F489" s="15">
        <f t="shared" si="196"/>
        <v>-4800</v>
      </c>
      <c r="G489" s="15">
        <f t="shared" si="196"/>
        <v>0</v>
      </c>
      <c r="H489" s="15">
        <f t="shared" si="196"/>
        <v>0</v>
      </c>
      <c r="I489" s="15">
        <f t="shared" si="196"/>
        <v>-4800</v>
      </c>
      <c r="J489" s="3">
        <f>SUM(C489:I489)</f>
        <v>-19200</v>
      </c>
    </row>
    <row r="490" spans="1:11" x14ac:dyDescent="0.2">
      <c r="A490" s="16"/>
      <c r="B490" s="17"/>
      <c r="C490" s="18"/>
      <c r="D490" s="18"/>
      <c r="E490" s="18"/>
      <c r="F490" s="18"/>
      <c r="G490" s="18"/>
      <c r="H490" s="18"/>
      <c r="I490" s="18"/>
      <c r="J490" s="10"/>
    </row>
    <row r="491" spans="1:11" x14ac:dyDescent="0.2">
      <c r="A491" s="16"/>
    </row>
    <row r="492" spans="1:11" x14ac:dyDescent="0.2">
      <c r="A492" s="16"/>
      <c r="B492" s="1" t="s">
        <v>55</v>
      </c>
      <c r="C492" s="4">
        <f>SUM(C463,C480)</f>
        <v>0</v>
      </c>
      <c r="D492" s="4">
        <f t="shared" ref="D492:I492" si="197">SUM(D463,D480)</f>
        <v>0</v>
      </c>
      <c r="E492" s="4">
        <f t="shared" si="197"/>
        <v>0</v>
      </c>
      <c r="F492" s="4">
        <f t="shared" si="197"/>
        <v>0</v>
      </c>
      <c r="G492" s="4">
        <f t="shared" si="197"/>
        <v>0</v>
      </c>
      <c r="H492" s="4">
        <f t="shared" si="197"/>
        <v>0</v>
      </c>
      <c r="I492" s="4">
        <f t="shared" si="197"/>
        <v>0</v>
      </c>
    </row>
    <row r="493" spans="1:11" x14ac:dyDescent="0.2">
      <c r="A493" s="16"/>
    </row>
    <row r="494" spans="1:11" x14ac:dyDescent="0.2">
      <c r="A494" s="16"/>
      <c r="B494" s="1"/>
      <c r="C494" s="15"/>
      <c r="E494" s="25"/>
    </row>
    <row r="495" spans="1:11" s="1" customFormat="1" x14ac:dyDescent="0.2">
      <c r="A495" s="1" t="s">
        <v>28</v>
      </c>
      <c r="B495" s="5" t="s">
        <v>25</v>
      </c>
      <c r="C495" s="28">
        <v>37257</v>
      </c>
      <c r="D495" s="6">
        <v>37258</v>
      </c>
      <c r="E495" s="6">
        <v>37259</v>
      </c>
      <c r="F495" s="6">
        <v>37260</v>
      </c>
      <c r="G495" s="28">
        <v>37261</v>
      </c>
      <c r="H495" s="28">
        <v>37262</v>
      </c>
      <c r="I495" s="6">
        <v>37263</v>
      </c>
      <c r="J495" s="8"/>
      <c r="K495" s="7"/>
    </row>
    <row r="496" spans="1:11" x14ac:dyDescent="0.2">
      <c r="B496" s="1" t="s">
        <v>3</v>
      </c>
      <c r="D496" s="19">
        <v>200</v>
      </c>
      <c r="E496" s="19">
        <v>200</v>
      </c>
      <c r="F496" s="19">
        <v>200</v>
      </c>
      <c r="G496" s="10"/>
      <c r="H496" s="21"/>
      <c r="I496" s="19">
        <v>200</v>
      </c>
      <c r="K496" s="4"/>
    </row>
    <row r="497" spans="1:11" x14ac:dyDescent="0.2">
      <c r="B497" s="8" t="s">
        <v>4</v>
      </c>
      <c r="C497" s="3">
        <v>0</v>
      </c>
      <c r="D497" s="10">
        <v>33.75</v>
      </c>
      <c r="E497" s="10">
        <v>33.75</v>
      </c>
      <c r="F497" s="10">
        <v>33.75</v>
      </c>
      <c r="G497" s="10"/>
      <c r="H497" s="21"/>
      <c r="I497" s="10">
        <v>33.75</v>
      </c>
      <c r="K497" s="4"/>
    </row>
    <row r="498" spans="1:11" x14ac:dyDescent="0.2">
      <c r="B498" s="1" t="s">
        <v>5</v>
      </c>
      <c r="D498" s="19">
        <v>200</v>
      </c>
      <c r="E498" s="19">
        <v>200</v>
      </c>
      <c r="F498" s="19">
        <v>200</v>
      </c>
      <c r="G498" s="10"/>
      <c r="H498" s="21"/>
      <c r="I498" s="19">
        <v>200</v>
      </c>
      <c r="K498" s="4"/>
    </row>
    <row r="499" spans="1:11" x14ac:dyDescent="0.2">
      <c r="B499" s="8" t="s">
        <v>4</v>
      </c>
      <c r="C499" s="3">
        <v>0</v>
      </c>
      <c r="D499" s="10">
        <v>23.3</v>
      </c>
      <c r="E499" s="10">
        <v>23.3</v>
      </c>
      <c r="F499" s="10">
        <v>23.3</v>
      </c>
      <c r="G499" s="10"/>
      <c r="H499" s="21"/>
      <c r="I499" s="10">
        <v>23.3</v>
      </c>
      <c r="K499" s="4"/>
    </row>
    <row r="500" spans="1:11" x14ac:dyDescent="0.2">
      <c r="B500" s="7" t="s">
        <v>6</v>
      </c>
      <c r="C500" s="4">
        <f t="shared" ref="C500:I500" si="198">C496-C498</f>
        <v>0</v>
      </c>
      <c r="D500" s="4">
        <f t="shared" si="198"/>
        <v>0</v>
      </c>
      <c r="E500" s="4">
        <f t="shared" si="198"/>
        <v>0</v>
      </c>
      <c r="F500" s="4">
        <f t="shared" si="198"/>
        <v>0</v>
      </c>
      <c r="G500" s="4">
        <f t="shared" si="198"/>
        <v>0</v>
      </c>
      <c r="H500" s="4">
        <f t="shared" si="198"/>
        <v>0</v>
      </c>
      <c r="I500" s="4">
        <f t="shared" si="198"/>
        <v>0</v>
      </c>
      <c r="K500" s="4"/>
    </row>
    <row r="501" spans="1:11" x14ac:dyDescent="0.2">
      <c r="B501" s="9" t="s">
        <v>7</v>
      </c>
      <c r="C501" s="10">
        <v>20</v>
      </c>
      <c r="D501" s="29">
        <v>27</v>
      </c>
      <c r="E501" s="29">
        <v>27</v>
      </c>
      <c r="F501" s="29">
        <v>27</v>
      </c>
      <c r="G501" s="10">
        <v>20</v>
      </c>
      <c r="H501" s="10">
        <v>20</v>
      </c>
      <c r="I501" s="29">
        <v>27</v>
      </c>
      <c r="K501" s="4"/>
    </row>
    <row r="502" spans="1:11" x14ac:dyDescent="0.2">
      <c r="B502" s="9"/>
      <c r="C502" s="11"/>
      <c r="D502" s="19"/>
      <c r="E502" s="19"/>
      <c r="F502" s="10"/>
      <c r="G502" s="10"/>
      <c r="H502" s="21"/>
      <c r="K502" s="4"/>
    </row>
    <row r="503" spans="1:11" x14ac:dyDescent="0.2">
      <c r="B503" s="9" t="s">
        <v>8</v>
      </c>
      <c r="C503" s="12">
        <f t="shared" ref="C503:I503" si="199">(C496*C497)*(-1)</f>
        <v>0</v>
      </c>
      <c r="D503" s="12">
        <f t="shared" si="199"/>
        <v>-6750</v>
      </c>
      <c r="E503" s="12">
        <f t="shared" si="199"/>
        <v>-6750</v>
      </c>
      <c r="F503" s="12">
        <f t="shared" si="199"/>
        <v>-6750</v>
      </c>
      <c r="G503" s="12">
        <f t="shared" si="199"/>
        <v>0</v>
      </c>
      <c r="H503" s="12">
        <f t="shared" si="199"/>
        <v>0</v>
      </c>
      <c r="I503" s="12">
        <f t="shared" si="199"/>
        <v>-6750</v>
      </c>
      <c r="K503" s="4"/>
    </row>
    <row r="504" spans="1:11" x14ac:dyDescent="0.2">
      <c r="B504" s="9" t="s">
        <v>9</v>
      </c>
      <c r="C504" s="11">
        <f t="shared" ref="C504:I504" si="200">C498*C499</f>
        <v>0</v>
      </c>
      <c r="D504" s="11">
        <f t="shared" si="200"/>
        <v>4660</v>
      </c>
      <c r="E504" s="11">
        <f t="shared" si="200"/>
        <v>4660</v>
      </c>
      <c r="F504" s="11">
        <f t="shared" si="200"/>
        <v>4660</v>
      </c>
      <c r="G504" s="11">
        <f t="shared" si="200"/>
        <v>0</v>
      </c>
      <c r="H504" s="11">
        <f t="shared" si="200"/>
        <v>0</v>
      </c>
      <c r="I504" s="11">
        <f t="shared" si="200"/>
        <v>4660</v>
      </c>
      <c r="K504" s="4"/>
    </row>
    <row r="505" spans="1:11" x14ac:dyDescent="0.2">
      <c r="B505" s="7" t="s">
        <v>10</v>
      </c>
      <c r="C505" s="11">
        <f t="shared" ref="C505:I505" si="201">SUM(C503:C504)</f>
        <v>0</v>
      </c>
      <c r="D505" s="11">
        <f t="shared" si="201"/>
        <v>-2090</v>
      </c>
      <c r="E505" s="11">
        <f t="shared" si="201"/>
        <v>-2090</v>
      </c>
      <c r="F505" s="11">
        <f t="shared" si="201"/>
        <v>-2090</v>
      </c>
      <c r="G505" s="11">
        <f t="shared" si="201"/>
        <v>0</v>
      </c>
      <c r="H505" s="11">
        <f t="shared" si="201"/>
        <v>0</v>
      </c>
      <c r="I505" s="11">
        <f t="shared" si="201"/>
        <v>-2090</v>
      </c>
      <c r="K505" s="4"/>
    </row>
    <row r="506" spans="1:11" x14ac:dyDescent="0.2">
      <c r="A506" s="13"/>
      <c r="B506" s="2" t="s">
        <v>11</v>
      </c>
      <c r="C506" s="12">
        <f t="shared" ref="C506:I506" si="202">C500*C501</f>
        <v>0</v>
      </c>
      <c r="D506" s="12">
        <f t="shared" si="202"/>
        <v>0</v>
      </c>
      <c r="E506" s="12">
        <f t="shared" si="202"/>
        <v>0</v>
      </c>
      <c r="F506" s="12">
        <f t="shared" si="202"/>
        <v>0</v>
      </c>
      <c r="G506" s="12">
        <f t="shared" si="202"/>
        <v>0</v>
      </c>
      <c r="H506" s="12">
        <f t="shared" si="202"/>
        <v>0</v>
      </c>
      <c r="I506" s="12">
        <f t="shared" si="202"/>
        <v>0</v>
      </c>
    </row>
    <row r="507" spans="1:11" x14ac:dyDescent="0.2">
      <c r="A507" s="14"/>
      <c r="E507" s="2"/>
      <c r="G507" s="2"/>
      <c r="H507" s="2"/>
      <c r="I507" s="2"/>
    </row>
    <row r="508" spans="1:11" s="1" customFormat="1" x14ac:dyDescent="0.2">
      <c r="A508" s="13"/>
      <c r="B508" s="1" t="s">
        <v>12</v>
      </c>
      <c r="C508" s="15">
        <f t="shared" ref="C508:I508" si="203">SUM(C505:C506)</f>
        <v>0</v>
      </c>
      <c r="D508" s="15">
        <f t="shared" si="203"/>
        <v>-2090</v>
      </c>
      <c r="E508" s="15">
        <f t="shared" si="203"/>
        <v>-2090</v>
      </c>
      <c r="F508" s="15">
        <f t="shared" si="203"/>
        <v>-2090</v>
      </c>
      <c r="G508" s="15">
        <f t="shared" si="203"/>
        <v>0</v>
      </c>
      <c r="H508" s="15">
        <f t="shared" si="203"/>
        <v>0</v>
      </c>
      <c r="I508" s="15">
        <f t="shared" si="203"/>
        <v>-2090</v>
      </c>
      <c r="J508" s="8"/>
    </row>
    <row r="509" spans="1:11" x14ac:dyDescent="0.2">
      <c r="A509" s="16"/>
      <c r="B509" s="1" t="s">
        <v>13</v>
      </c>
      <c r="C509" s="15">
        <f t="shared" ref="C509:I509" si="204">C508*16</f>
        <v>0</v>
      </c>
      <c r="D509" s="15">
        <f t="shared" si="204"/>
        <v>-33440</v>
      </c>
      <c r="E509" s="15">
        <f t="shared" si="204"/>
        <v>-33440</v>
      </c>
      <c r="F509" s="15">
        <f t="shared" si="204"/>
        <v>-33440</v>
      </c>
      <c r="G509" s="15">
        <f t="shared" si="204"/>
        <v>0</v>
      </c>
      <c r="H509" s="15">
        <f t="shared" si="204"/>
        <v>0</v>
      </c>
      <c r="I509" s="15">
        <f t="shared" si="204"/>
        <v>-33440</v>
      </c>
      <c r="J509" s="3">
        <f>SUM(C509:I509)</f>
        <v>-133760</v>
      </c>
    </row>
    <row r="510" spans="1:11" x14ac:dyDescent="0.2">
      <c r="A510" s="16"/>
      <c r="B510" s="1"/>
      <c r="C510" s="15"/>
      <c r="D510" s="18"/>
      <c r="E510" s="18"/>
      <c r="F510" s="18"/>
      <c r="G510" s="18"/>
      <c r="H510" s="18"/>
      <c r="I510" s="15"/>
      <c r="J510" s="3"/>
    </row>
    <row r="511" spans="1:11" x14ac:dyDescent="0.2">
      <c r="A511" s="16"/>
      <c r="B511" s="1"/>
      <c r="C511" s="15"/>
      <c r="D511" s="18"/>
      <c r="E511" s="18"/>
      <c r="F511" s="18"/>
      <c r="G511" s="21"/>
      <c r="H511" s="18"/>
      <c r="I511" s="15"/>
      <c r="J511" s="3"/>
    </row>
    <row r="512" spans="1:11" s="1" customFormat="1" x14ac:dyDescent="0.2">
      <c r="A512" s="1" t="s">
        <v>41</v>
      </c>
      <c r="B512" s="5" t="s">
        <v>25</v>
      </c>
      <c r="C512" s="28">
        <v>37257</v>
      </c>
      <c r="D512" s="6">
        <v>37258</v>
      </c>
      <c r="E512" s="6">
        <v>37259</v>
      </c>
      <c r="F512" s="6">
        <v>37260</v>
      </c>
      <c r="G512" s="28">
        <v>37261</v>
      </c>
      <c r="H512" s="28">
        <v>37262</v>
      </c>
      <c r="I512" s="6">
        <v>37263</v>
      </c>
      <c r="J512" s="8"/>
      <c r="K512" s="7"/>
    </row>
    <row r="513" spans="1:11" x14ac:dyDescent="0.2">
      <c r="B513" s="1" t="s">
        <v>3</v>
      </c>
      <c r="D513" s="19">
        <v>0</v>
      </c>
      <c r="E513" s="19">
        <v>0</v>
      </c>
      <c r="F513" s="19">
        <v>0</v>
      </c>
      <c r="G513" s="10"/>
      <c r="H513" s="21"/>
      <c r="I513" s="19">
        <v>0</v>
      </c>
      <c r="K513" s="4"/>
    </row>
    <row r="514" spans="1:11" x14ac:dyDescent="0.2">
      <c r="B514" s="8" t="s">
        <v>4</v>
      </c>
      <c r="C514" s="3">
        <v>0</v>
      </c>
      <c r="D514" s="10">
        <v>0</v>
      </c>
      <c r="E514" s="10">
        <v>0</v>
      </c>
      <c r="F514" s="10">
        <v>0</v>
      </c>
      <c r="G514" s="10"/>
      <c r="H514" s="21"/>
      <c r="I514" s="10">
        <v>0</v>
      </c>
      <c r="K514" s="4"/>
    </row>
    <row r="515" spans="1:11" x14ac:dyDescent="0.2">
      <c r="B515" s="1" t="s">
        <v>5</v>
      </c>
      <c r="C515" s="2">
        <v>0</v>
      </c>
      <c r="D515" s="19">
        <v>50</v>
      </c>
      <c r="E515" s="19">
        <v>50</v>
      </c>
      <c r="F515" s="19">
        <v>50</v>
      </c>
      <c r="G515" s="19">
        <v>0</v>
      </c>
      <c r="H515" s="19">
        <v>0</v>
      </c>
      <c r="I515" s="19">
        <v>50</v>
      </c>
      <c r="K515" s="4"/>
    </row>
    <row r="516" spans="1:11" x14ac:dyDescent="0.2">
      <c r="B516" s="8" t="s">
        <v>4</v>
      </c>
      <c r="C516" s="3">
        <v>0</v>
      </c>
      <c r="D516" s="10">
        <v>38.25</v>
      </c>
      <c r="E516" s="10">
        <v>38.25</v>
      </c>
      <c r="F516" s="10">
        <v>38.25</v>
      </c>
      <c r="G516" s="10">
        <v>0</v>
      </c>
      <c r="H516" s="10">
        <v>0</v>
      </c>
      <c r="I516" s="10">
        <v>38.25</v>
      </c>
      <c r="K516" s="4"/>
    </row>
    <row r="517" spans="1:11" x14ac:dyDescent="0.2">
      <c r="B517" s="7" t="s">
        <v>6</v>
      </c>
      <c r="C517" s="4">
        <f t="shared" ref="C517:I517" si="205">C513-C515</f>
        <v>0</v>
      </c>
      <c r="D517" s="4">
        <f t="shared" si="205"/>
        <v>-50</v>
      </c>
      <c r="E517" s="4">
        <f t="shared" si="205"/>
        <v>-50</v>
      </c>
      <c r="F517" s="4">
        <f t="shared" si="205"/>
        <v>-50</v>
      </c>
      <c r="G517" s="4">
        <f t="shared" si="205"/>
        <v>0</v>
      </c>
      <c r="H517" s="4">
        <f t="shared" si="205"/>
        <v>0</v>
      </c>
      <c r="I517" s="4">
        <f t="shared" si="205"/>
        <v>-50</v>
      </c>
      <c r="K517" s="4"/>
    </row>
    <row r="518" spans="1:11" x14ac:dyDescent="0.2">
      <c r="B518" s="9" t="s">
        <v>7</v>
      </c>
      <c r="C518" s="10">
        <v>20</v>
      </c>
      <c r="D518" s="29">
        <v>27</v>
      </c>
      <c r="E518" s="29">
        <v>27</v>
      </c>
      <c r="F518" s="29">
        <v>27</v>
      </c>
      <c r="G518" s="10">
        <v>20</v>
      </c>
      <c r="H518" s="10">
        <v>20</v>
      </c>
      <c r="I518" s="29">
        <v>27</v>
      </c>
      <c r="K518" s="4"/>
    </row>
    <row r="519" spans="1:11" x14ac:dyDescent="0.2">
      <c r="B519" s="9"/>
      <c r="C519" s="11"/>
      <c r="D519" s="19"/>
      <c r="E519" s="19"/>
      <c r="F519" s="10"/>
      <c r="G519" s="10"/>
      <c r="H519" s="21"/>
      <c r="K519" s="4"/>
    </row>
    <row r="520" spans="1:11" x14ac:dyDescent="0.2">
      <c r="B520" s="9" t="s">
        <v>8</v>
      </c>
      <c r="C520" s="12">
        <f t="shared" ref="C520:I520" si="206">(C513*C514)*(-1)</f>
        <v>0</v>
      </c>
      <c r="D520" s="12">
        <f t="shared" si="206"/>
        <v>0</v>
      </c>
      <c r="E520" s="12">
        <f t="shared" si="206"/>
        <v>0</v>
      </c>
      <c r="F520" s="12">
        <f t="shared" si="206"/>
        <v>0</v>
      </c>
      <c r="G520" s="12">
        <f t="shared" si="206"/>
        <v>0</v>
      </c>
      <c r="H520" s="12">
        <f t="shared" si="206"/>
        <v>0</v>
      </c>
      <c r="I520" s="12">
        <f t="shared" si="206"/>
        <v>0</v>
      </c>
      <c r="K520" s="4"/>
    </row>
    <row r="521" spans="1:11" x14ac:dyDescent="0.2">
      <c r="B521" s="9" t="s">
        <v>9</v>
      </c>
      <c r="C521" s="11">
        <f t="shared" ref="C521:I521" si="207">C515*C516</f>
        <v>0</v>
      </c>
      <c r="D521" s="11">
        <f t="shared" si="207"/>
        <v>1912.5</v>
      </c>
      <c r="E521" s="11">
        <f t="shared" si="207"/>
        <v>1912.5</v>
      </c>
      <c r="F521" s="11">
        <f t="shared" si="207"/>
        <v>1912.5</v>
      </c>
      <c r="G521" s="11">
        <f t="shared" si="207"/>
        <v>0</v>
      </c>
      <c r="H521" s="11">
        <f t="shared" si="207"/>
        <v>0</v>
      </c>
      <c r="I521" s="11">
        <f t="shared" si="207"/>
        <v>1912.5</v>
      </c>
      <c r="K521" s="4"/>
    </row>
    <row r="522" spans="1:11" x14ac:dyDescent="0.2">
      <c r="B522" s="7" t="s">
        <v>10</v>
      </c>
      <c r="C522" s="11">
        <f t="shared" ref="C522:I522" si="208">SUM(C520:C521)</f>
        <v>0</v>
      </c>
      <c r="D522" s="11">
        <f t="shared" si="208"/>
        <v>1912.5</v>
      </c>
      <c r="E522" s="11">
        <f t="shared" si="208"/>
        <v>1912.5</v>
      </c>
      <c r="F522" s="11">
        <f t="shared" si="208"/>
        <v>1912.5</v>
      </c>
      <c r="G522" s="11">
        <f t="shared" si="208"/>
        <v>0</v>
      </c>
      <c r="H522" s="11">
        <f t="shared" si="208"/>
        <v>0</v>
      </c>
      <c r="I522" s="11">
        <f t="shared" si="208"/>
        <v>1912.5</v>
      </c>
      <c r="K522" s="4"/>
    </row>
    <row r="523" spans="1:11" x14ac:dyDescent="0.2">
      <c r="A523" s="13"/>
      <c r="B523" s="2" t="s">
        <v>11</v>
      </c>
      <c r="C523" s="12">
        <f t="shared" ref="C523:I523" si="209">C517*C518</f>
        <v>0</v>
      </c>
      <c r="D523" s="12">
        <f t="shared" si="209"/>
        <v>-1350</v>
      </c>
      <c r="E523" s="12">
        <f t="shared" si="209"/>
        <v>-1350</v>
      </c>
      <c r="F523" s="12">
        <f t="shared" si="209"/>
        <v>-1350</v>
      </c>
      <c r="G523" s="12">
        <f t="shared" si="209"/>
        <v>0</v>
      </c>
      <c r="H523" s="12">
        <f t="shared" si="209"/>
        <v>0</v>
      </c>
      <c r="I523" s="12">
        <f t="shared" si="209"/>
        <v>-1350</v>
      </c>
    </row>
    <row r="524" spans="1:11" x14ac:dyDescent="0.2">
      <c r="A524" s="14"/>
      <c r="E524" s="2"/>
      <c r="G524" s="2"/>
      <c r="H524" s="2"/>
      <c r="I524" s="2"/>
    </row>
    <row r="525" spans="1:11" s="1" customFormat="1" x14ac:dyDescent="0.2">
      <c r="A525" s="13"/>
      <c r="B525" s="1" t="s">
        <v>12</v>
      </c>
      <c r="C525" s="15">
        <f t="shared" ref="C525:I525" si="210">SUM(C522:C523)</f>
        <v>0</v>
      </c>
      <c r="D525" s="15">
        <f t="shared" si="210"/>
        <v>562.5</v>
      </c>
      <c r="E525" s="15">
        <f t="shared" si="210"/>
        <v>562.5</v>
      </c>
      <c r="F525" s="15">
        <f t="shared" si="210"/>
        <v>562.5</v>
      </c>
      <c r="G525" s="15">
        <f t="shared" si="210"/>
        <v>0</v>
      </c>
      <c r="H525" s="15">
        <f t="shared" si="210"/>
        <v>0</v>
      </c>
      <c r="I525" s="15">
        <f t="shared" si="210"/>
        <v>562.5</v>
      </c>
      <c r="J525" s="8"/>
    </row>
    <row r="526" spans="1:11" x14ac:dyDescent="0.2">
      <c r="A526" s="16"/>
      <c r="B526" s="1" t="s">
        <v>27</v>
      </c>
      <c r="C526" s="15">
        <f t="shared" ref="C526:I526" si="211">C525*16</f>
        <v>0</v>
      </c>
      <c r="D526" s="15">
        <f t="shared" si="211"/>
        <v>9000</v>
      </c>
      <c r="E526" s="15">
        <f t="shared" si="211"/>
        <v>9000</v>
      </c>
      <c r="F526" s="15">
        <f t="shared" si="211"/>
        <v>9000</v>
      </c>
      <c r="G526" s="15">
        <f t="shared" si="211"/>
        <v>0</v>
      </c>
      <c r="H526" s="15">
        <f t="shared" si="211"/>
        <v>0</v>
      </c>
      <c r="I526" s="15">
        <f t="shared" si="211"/>
        <v>9000</v>
      </c>
      <c r="J526" s="3">
        <f>SUM(C526:I526)</f>
        <v>36000</v>
      </c>
    </row>
    <row r="527" spans="1:11" x14ac:dyDescent="0.2">
      <c r="A527" s="16"/>
      <c r="B527" s="1"/>
      <c r="C527" s="15"/>
      <c r="D527" s="18"/>
      <c r="E527" s="18"/>
      <c r="F527" s="18"/>
      <c r="G527" s="21"/>
      <c r="H527" s="18"/>
      <c r="I527" s="15"/>
      <c r="J527" s="3"/>
    </row>
    <row r="528" spans="1:11" s="1" customFormat="1" x14ac:dyDescent="0.2">
      <c r="A528" s="1" t="s">
        <v>42</v>
      </c>
      <c r="B528" s="5" t="s">
        <v>25</v>
      </c>
      <c r="C528" s="28">
        <v>37257</v>
      </c>
      <c r="D528" s="6">
        <v>37258</v>
      </c>
      <c r="E528" s="6">
        <v>37259</v>
      </c>
      <c r="F528" s="6">
        <v>37260</v>
      </c>
      <c r="G528" s="28">
        <v>37261</v>
      </c>
      <c r="H528" s="28">
        <v>37262</v>
      </c>
      <c r="I528" s="6">
        <v>37263</v>
      </c>
      <c r="J528" s="8"/>
      <c r="K528" s="7"/>
    </row>
    <row r="529" spans="1:11" x14ac:dyDescent="0.2">
      <c r="B529" s="1" t="s">
        <v>3</v>
      </c>
      <c r="D529" s="19">
        <v>0</v>
      </c>
      <c r="E529" s="19">
        <v>0</v>
      </c>
      <c r="F529" s="19">
        <v>0</v>
      </c>
      <c r="G529" s="10"/>
      <c r="H529" s="21"/>
      <c r="I529" s="19">
        <v>0</v>
      </c>
      <c r="K529" s="4"/>
    </row>
    <row r="530" spans="1:11" x14ac:dyDescent="0.2">
      <c r="B530" s="8" t="s">
        <v>4</v>
      </c>
      <c r="C530" s="3">
        <v>0</v>
      </c>
      <c r="D530" s="10">
        <v>0</v>
      </c>
      <c r="E530" s="10">
        <v>0</v>
      </c>
      <c r="F530" s="10">
        <v>0</v>
      </c>
      <c r="G530" s="10"/>
      <c r="H530" s="21"/>
      <c r="I530" s="10">
        <v>0</v>
      </c>
      <c r="K530" s="4"/>
    </row>
    <row r="531" spans="1:11" x14ac:dyDescent="0.2">
      <c r="B531" s="1" t="s">
        <v>5</v>
      </c>
      <c r="C531" s="2">
        <v>0</v>
      </c>
      <c r="D531" s="19">
        <v>50</v>
      </c>
      <c r="E531" s="19">
        <v>50</v>
      </c>
      <c r="F531" s="19">
        <v>50</v>
      </c>
      <c r="G531" s="19">
        <v>0</v>
      </c>
      <c r="H531" s="19">
        <v>0</v>
      </c>
      <c r="I531" s="19">
        <v>50</v>
      </c>
      <c r="K531" s="4"/>
    </row>
    <row r="532" spans="1:11" x14ac:dyDescent="0.2">
      <c r="B532" s="8" t="s">
        <v>4</v>
      </c>
      <c r="C532" s="3">
        <v>0</v>
      </c>
      <c r="D532" s="10">
        <v>34.75</v>
      </c>
      <c r="E532" s="10">
        <v>34.75</v>
      </c>
      <c r="F532" s="10">
        <v>34.75</v>
      </c>
      <c r="G532" s="10">
        <v>0</v>
      </c>
      <c r="H532" s="10">
        <v>0</v>
      </c>
      <c r="I532" s="10">
        <v>34.75</v>
      </c>
      <c r="K532" s="4"/>
    </row>
    <row r="533" spans="1:11" x14ac:dyDescent="0.2">
      <c r="B533" s="7" t="s">
        <v>6</v>
      </c>
      <c r="C533" s="4">
        <f t="shared" ref="C533:I533" si="212">C529-C531</f>
        <v>0</v>
      </c>
      <c r="D533" s="4">
        <f t="shared" si="212"/>
        <v>-50</v>
      </c>
      <c r="E533" s="4">
        <f t="shared" si="212"/>
        <v>-50</v>
      </c>
      <c r="F533" s="4">
        <f t="shared" si="212"/>
        <v>-50</v>
      </c>
      <c r="G533" s="4">
        <f t="shared" si="212"/>
        <v>0</v>
      </c>
      <c r="H533" s="4">
        <f t="shared" si="212"/>
        <v>0</v>
      </c>
      <c r="I533" s="4">
        <f t="shared" si="212"/>
        <v>-50</v>
      </c>
      <c r="K533" s="4"/>
    </row>
    <row r="534" spans="1:11" x14ac:dyDescent="0.2">
      <c r="B534" s="9" t="s">
        <v>7</v>
      </c>
      <c r="C534" s="10">
        <v>20</v>
      </c>
      <c r="D534" s="29">
        <v>27</v>
      </c>
      <c r="E534" s="29">
        <v>27</v>
      </c>
      <c r="F534" s="29">
        <v>27</v>
      </c>
      <c r="G534" s="10">
        <v>20</v>
      </c>
      <c r="H534" s="10">
        <v>20</v>
      </c>
      <c r="I534" s="29">
        <v>27</v>
      </c>
      <c r="K534" s="4"/>
    </row>
    <row r="535" spans="1:11" x14ac:dyDescent="0.2">
      <c r="B535" s="9"/>
      <c r="C535" s="11"/>
      <c r="D535" s="19"/>
      <c r="E535" s="19"/>
      <c r="F535" s="10"/>
      <c r="G535" s="10"/>
      <c r="H535" s="21"/>
      <c r="K535" s="4"/>
    </row>
    <row r="536" spans="1:11" x14ac:dyDescent="0.2">
      <c r="B536" s="9" t="s">
        <v>8</v>
      </c>
      <c r="C536" s="12">
        <f t="shared" ref="C536:I536" si="213">(C529*C530)*(-1)</f>
        <v>0</v>
      </c>
      <c r="D536" s="12">
        <f t="shared" si="213"/>
        <v>0</v>
      </c>
      <c r="E536" s="12">
        <f t="shared" si="213"/>
        <v>0</v>
      </c>
      <c r="F536" s="12">
        <f t="shared" si="213"/>
        <v>0</v>
      </c>
      <c r="G536" s="12">
        <f t="shared" si="213"/>
        <v>0</v>
      </c>
      <c r="H536" s="12">
        <f t="shared" si="213"/>
        <v>0</v>
      </c>
      <c r="I536" s="12">
        <f t="shared" si="213"/>
        <v>0</v>
      </c>
      <c r="K536" s="4"/>
    </row>
    <row r="537" spans="1:11" x14ac:dyDescent="0.2">
      <c r="B537" s="9" t="s">
        <v>9</v>
      </c>
      <c r="C537" s="11">
        <f t="shared" ref="C537:I537" si="214">C531*C532</f>
        <v>0</v>
      </c>
      <c r="D537" s="11">
        <f t="shared" si="214"/>
        <v>1737.5</v>
      </c>
      <c r="E537" s="11">
        <f t="shared" si="214"/>
        <v>1737.5</v>
      </c>
      <c r="F537" s="11">
        <f t="shared" si="214"/>
        <v>1737.5</v>
      </c>
      <c r="G537" s="11">
        <f t="shared" si="214"/>
        <v>0</v>
      </c>
      <c r="H537" s="11">
        <f t="shared" si="214"/>
        <v>0</v>
      </c>
      <c r="I537" s="11">
        <f t="shared" si="214"/>
        <v>1737.5</v>
      </c>
      <c r="K537" s="4"/>
    </row>
    <row r="538" spans="1:11" x14ac:dyDescent="0.2">
      <c r="B538" s="7" t="s">
        <v>10</v>
      </c>
      <c r="C538" s="11">
        <f t="shared" ref="C538:I538" si="215">SUM(C536:C537)</f>
        <v>0</v>
      </c>
      <c r="D538" s="11">
        <f t="shared" si="215"/>
        <v>1737.5</v>
      </c>
      <c r="E538" s="11">
        <f t="shared" si="215"/>
        <v>1737.5</v>
      </c>
      <c r="F538" s="11">
        <f t="shared" si="215"/>
        <v>1737.5</v>
      </c>
      <c r="G538" s="11">
        <f t="shared" si="215"/>
        <v>0</v>
      </c>
      <c r="H538" s="11">
        <f t="shared" si="215"/>
        <v>0</v>
      </c>
      <c r="I538" s="11">
        <f t="shared" si="215"/>
        <v>1737.5</v>
      </c>
      <c r="K538" s="4"/>
    </row>
    <row r="539" spans="1:11" x14ac:dyDescent="0.2">
      <c r="A539" s="13"/>
      <c r="B539" s="2" t="s">
        <v>11</v>
      </c>
      <c r="C539" s="12">
        <f t="shared" ref="C539:I539" si="216">C533*C534</f>
        <v>0</v>
      </c>
      <c r="D539" s="12">
        <f t="shared" si="216"/>
        <v>-1350</v>
      </c>
      <c r="E539" s="12">
        <f t="shared" si="216"/>
        <v>-1350</v>
      </c>
      <c r="F539" s="12">
        <f t="shared" si="216"/>
        <v>-1350</v>
      </c>
      <c r="G539" s="12">
        <f t="shared" si="216"/>
        <v>0</v>
      </c>
      <c r="H539" s="12">
        <f t="shared" si="216"/>
        <v>0</v>
      </c>
      <c r="I539" s="12">
        <f t="shared" si="216"/>
        <v>-1350</v>
      </c>
    </row>
    <row r="540" spans="1:11" x14ac:dyDescent="0.2">
      <c r="A540" s="14"/>
      <c r="E540" s="2"/>
      <c r="G540" s="2"/>
      <c r="H540" s="2"/>
      <c r="I540" s="2"/>
    </row>
    <row r="541" spans="1:11" s="1" customFormat="1" x14ac:dyDescent="0.2">
      <c r="A541" s="13"/>
      <c r="B541" s="1" t="s">
        <v>12</v>
      </c>
      <c r="C541" s="15">
        <f t="shared" ref="C541:I541" si="217">SUM(C538:C539)</f>
        <v>0</v>
      </c>
      <c r="D541" s="15">
        <f t="shared" si="217"/>
        <v>387.5</v>
      </c>
      <c r="E541" s="15">
        <f t="shared" si="217"/>
        <v>387.5</v>
      </c>
      <c r="F541" s="15">
        <f t="shared" si="217"/>
        <v>387.5</v>
      </c>
      <c r="G541" s="15">
        <f t="shared" si="217"/>
        <v>0</v>
      </c>
      <c r="H541" s="15">
        <f t="shared" si="217"/>
        <v>0</v>
      </c>
      <c r="I541" s="15">
        <f t="shared" si="217"/>
        <v>387.5</v>
      </c>
      <c r="J541" s="8"/>
    </row>
    <row r="542" spans="1:11" x14ac:dyDescent="0.2">
      <c r="A542" s="16"/>
      <c r="B542" s="1" t="s">
        <v>27</v>
      </c>
      <c r="C542" s="15">
        <f t="shared" ref="C542:I542" si="218">C541*16</f>
        <v>0</v>
      </c>
      <c r="D542" s="15">
        <f t="shared" si="218"/>
        <v>6200</v>
      </c>
      <c r="E542" s="15">
        <f t="shared" si="218"/>
        <v>6200</v>
      </c>
      <c r="F542" s="15">
        <f t="shared" si="218"/>
        <v>6200</v>
      </c>
      <c r="G542" s="15">
        <f t="shared" si="218"/>
        <v>0</v>
      </c>
      <c r="H542" s="15">
        <f t="shared" si="218"/>
        <v>0</v>
      </c>
      <c r="I542" s="15">
        <f t="shared" si="218"/>
        <v>6200</v>
      </c>
      <c r="J542" s="3">
        <f>SUM(C542:I542)</f>
        <v>24800</v>
      </c>
    </row>
    <row r="543" spans="1:11" x14ac:dyDescent="0.2">
      <c r="A543" s="16"/>
      <c r="B543" s="1"/>
      <c r="C543" s="15"/>
      <c r="D543" s="18"/>
      <c r="E543" s="18"/>
      <c r="F543" s="18"/>
      <c r="G543" s="21"/>
      <c r="H543" s="18"/>
      <c r="I543" s="15"/>
      <c r="J543" s="3"/>
    </row>
    <row r="544" spans="1:11" x14ac:dyDescent="0.2">
      <c r="A544" s="16"/>
    </row>
    <row r="545" spans="1:11" x14ac:dyDescent="0.2">
      <c r="A545" s="16"/>
      <c r="B545" s="1" t="s">
        <v>56</v>
      </c>
      <c r="C545" s="4">
        <f>SUM(C500,C517,C533)</f>
        <v>0</v>
      </c>
      <c r="D545" s="4">
        <f t="shared" ref="D545:I545" si="219">SUM(D500,D517,D533)</f>
        <v>-100</v>
      </c>
      <c r="E545" s="4">
        <f t="shared" si="219"/>
        <v>-100</v>
      </c>
      <c r="F545" s="4">
        <f t="shared" si="219"/>
        <v>-100</v>
      </c>
      <c r="G545" s="4">
        <f t="shared" si="219"/>
        <v>0</v>
      </c>
      <c r="H545" s="4">
        <f t="shared" si="219"/>
        <v>0</v>
      </c>
      <c r="I545" s="4">
        <f t="shared" si="219"/>
        <v>-100</v>
      </c>
    </row>
    <row r="546" spans="1:11" x14ac:dyDescent="0.2">
      <c r="A546" s="16"/>
    </row>
    <row r="547" spans="1:11" x14ac:dyDescent="0.2">
      <c r="A547" s="16"/>
      <c r="B547" s="1"/>
      <c r="C547" s="15"/>
      <c r="D547" s="18"/>
      <c r="E547" s="18"/>
      <c r="F547" s="18"/>
      <c r="G547" s="21"/>
      <c r="H547" s="18"/>
      <c r="I547" s="15"/>
      <c r="J547" s="3"/>
    </row>
    <row r="548" spans="1:11" s="1" customFormat="1" x14ac:dyDescent="0.2">
      <c r="A548" s="1" t="s">
        <v>46</v>
      </c>
      <c r="B548" s="5" t="s">
        <v>47</v>
      </c>
      <c r="C548" s="28">
        <v>37257</v>
      </c>
      <c r="D548" s="6">
        <v>37258</v>
      </c>
      <c r="E548" s="6">
        <v>37259</v>
      </c>
      <c r="F548" s="6">
        <v>37260</v>
      </c>
      <c r="G548" s="28">
        <v>37261</v>
      </c>
      <c r="H548" s="28">
        <v>37262</v>
      </c>
      <c r="I548" s="6">
        <v>37263</v>
      </c>
      <c r="J548" s="8"/>
      <c r="K548" s="7"/>
    </row>
    <row r="549" spans="1:11" x14ac:dyDescent="0.2">
      <c r="B549" s="1" t="s">
        <v>3</v>
      </c>
      <c r="E549" s="2"/>
      <c r="G549" s="2"/>
      <c r="H549" s="2"/>
      <c r="I549" s="2"/>
      <c r="K549" s="4"/>
    </row>
    <row r="550" spans="1:11" x14ac:dyDescent="0.2">
      <c r="B550" s="8" t="s">
        <v>4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K550" s="4"/>
    </row>
    <row r="551" spans="1:11" x14ac:dyDescent="0.2">
      <c r="B551" s="1" t="s">
        <v>5</v>
      </c>
      <c r="C551" s="2">
        <v>60</v>
      </c>
      <c r="D551" s="2">
        <v>0</v>
      </c>
      <c r="E551" s="2">
        <v>0</v>
      </c>
      <c r="F551" s="2">
        <v>0</v>
      </c>
      <c r="G551" s="2">
        <v>60</v>
      </c>
      <c r="H551" s="2">
        <v>60</v>
      </c>
      <c r="I551" s="2">
        <v>0</v>
      </c>
      <c r="K551" s="4"/>
    </row>
    <row r="552" spans="1:11" x14ac:dyDescent="0.2">
      <c r="B552" s="8" t="s">
        <v>4</v>
      </c>
      <c r="C552" s="3">
        <v>31.75</v>
      </c>
      <c r="D552" s="3">
        <v>0</v>
      </c>
      <c r="E552" s="3">
        <v>0</v>
      </c>
      <c r="F552" s="3">
        <v>0</v>
      </c>
      <c r="G552" s="3">
        <v>31.75</v>
      </c>
      <c r="H552" s="3">
        <v>31.75</v>
      </c>
      <c r="I552" s="3">
        <v>0</v>
      </c>
      <c r="K552" s="4"/>
    </row>
    <row r="553" spans="1:11" x14ac:dyDescent="0.2">
      <c r="B553" s="7" t="s">
        <v>6</v>
      </c>
      <c r="C553" s="4">
        <f>C549-C551</f>
        <v>-60</v>
      </c>
      <c r="D553" s="4">
        <f t="shared" ref="D553:I553" si="220">D549-D551</f>
        <v>0</v>
      </c>
      <c r="E553" s="4">
        <f t="shared" si="220"/>
        <v>0</v>
      </c>
      <c r="F553" s="4">
        <f t="shared" si="220"/>
        <v>0</v>
      </c>
      <c r="G553" s="4">
        <f t="shared" si="220"/>
        <v>-60</v>
      </c>
      <c r="H553" s="4">
        <f t="shared" si="220"/>
        <v>-60</v>
      </c>
      <c r="I553" s="4">
        <f t="shared" si="220"/>
        <v>0</v>
      </c>
      <c r="K553" s="4"/>
    </row>
    <row r="554" spans="1:11" x14ac:dyDescent="0.2">
      <c r="B554" s="9" t="s">
        <v>7</v>
      </c>
      <c r="C554" s="10">
        <v>25</v>
      </c>
      <c r="D554" s="19"/>
      <c r="E554" s="19"/>
      <c r="F554" s="19"/>
      <c r="G554" s="10">
        <v>25</v>
      </c>
      <c r="H554" s="10">
        <v>25</v>
      </c>
      <c r="I554" s="19"/>
      <c r="K554" s="4"/>
    </row>
    <row r="555" spans="1:11" x14ac:dyDescent="0.2">
      <c r="B555" s="9"/>
      <c r="C555" s="11"/>
      <c r="D555" s="19"/>
      <c r="E555" s="19"/>
      <c r="F555" s="19"/>
      <c r="G555" s="11"/>
      <c r="H555" s="11"/>
      <c r="I555" s="19"/>
      <c r="K555" s="4"/>
    </row>
    <row r="556" spans="1:11" x14ac:dyDescent="0.2">
      <c r="B556" s="9" t="s">
        <v>8</v>
      </c>
      <c r="C556" s="12">
        <f t="shared" ref="C556:I556" si="221">(C549*C550)*(-1)</f>
        <v>0</v>
      </c>
      <c r="D556" s="12">
        <f t="shared" si="221"/>
        <v>0</v>
      </c>
      <c r="E556" s="12">
        <f t="shared" si="221"/>
        <v>0</v>
      </c>
      <c r="F556" s="12">
        <f t="shared" si="221"/>
        <v>0</v>
      </c>
      <c r="G556" s="12">
        <f>(G549*G550)*(-1)</f>
        <v>0</v>
      </c>
      <c r="H556" s="12">
        <f>(H549*H550)*(-1)</f>
        <v>0</v>
      </c>
      <c r="I556" s="12">
        <f t="shared" si="221"/>
        <v>0</v>
      </c>
      <c r="K556" s="4"/>
    </row>
    <row r="557" spans="1:11" x14ac:dyDescent="0.2">
      <c r="B557" s="9" t="s">
        <v>9</v>
      </c>
      <c r="C557" s="11">
        <f t="shared" ref="C557:I557" si="222">C551*C552</f>
        <v>1905</v>
      </c>
      <c r="D557" s="11">
        <f t="shared" si="222"/>
        <v>0</v>
      </c>
      <c r="E557" s="11">
        <f t="shared" si="222"/>
        <v>0</v>
      </c>
      <c r="F557" s="11">
        <f t="shared" si="222"/>
        <v>0</v>
      </c>
      <c r="G557" s="11">
        <f>G551*G552</f>
        <v>1905</v>
      </c>
      <c r="H557" s="11">
        <f>H551*H552</f>
        <v>1905</v>
      </c>
      <c r="I557" s="11">
        <f t="shared" si="222"/>
        <v>0</v>
      </c>
      <c r="K557" s="4"/>
    </row>
    <row r="558" spans="1:11" x14ac:dyDescent="0.2">
      <c r="B558" s="7" t="s">
        <v>10</v>
      </c>
      <c r="C558" s="11">
        <f t="shared" ref="C558:I558" si="223">SUM(C556:C557)</f>
        <v>1905</v>
      </c>
      <c r="D558" s="11">
        <f t="shared" si="223"/>
        <v>0</v>
      </c>
      <c r="E558" s="11">
        <f t="shared" si="223"/>
        <v>0</v>
      </c>
      <c r="F558" s="11">
        <f t="shared" si="223"/>
        <v>0</v>
      </c>
      <c r="G558" s="11">
        <f t="shared" si="223"/>
        <v>1905</v>
      </c>
      <c r="H558" s="11">
        <f t="shared" si="223"/>
        <v>1905</v>
      </c>
      <c r="I558" s="11">
        <f t="shared" si="223"/>
        <v>0</v>
      </c>
      <c r="K558" s="4"/>
    </row>
    <row r="559" spans="1:11" x14ac:dyDescent="0.2">
      <c r="A559" s="13"/>
      <c r="B559" s="2" t="s">
        <v>11</v>
      </c>
      <c r="C559" s="12">
        <f t="shared" ref="C559:I559" si="224">C553*C554</f>
        <v>-1500</v>
      </c>
      <c r="D559" s="12">
        <f t="shared" si="224"/>
        <v>0</v>
      </c>
      <c r="E559" s="12">
        <f t="shared" si="224"/>
        <v>0</v>
      </c>
      <c r="F559" s="12">
        <f t="shared" si="224"/>
        <v>0</v>
      </c>
      <c r="G559" s="12">
        <f>G553*G554</f>
        <v>-1500</v>
      </c>
      <c r="H559" s="12">
        <f>H553*H554</f>
        <v>-1500</v>
      </c>
      <c r="I559" s="12">
        <f t="shared" si="224"/>
        <v>0</v>
      </c>
    </row>
    <row r="560" spans="1:11" x14ac:dyDescent="0.2">
      <c r="A560" s="14"/>
      <c r="E560" s="2"/>
      <c r="G560" s="2"/>
      <c r="H560" s="2"/>
      <c r="I560" s="2"/>
    </row>
    <row r="561" spans="1:10" s="1" customFormat="1" x14ac:dyDescent="0.2">
      <c r="A561" s="13"/>
      <c r="B561" s="1" t="s">
        <v>12</v>
      </c>
      <c r="C561" s="15">
        <f t="shared" ref="C561:I561" si="225">SUM(C558:C559)</f>
        <v>405</v>
      </c>
      <c r="D561" s="15">
        <f t="shared" si="225"/>
        <v>0</v>
      </c>
      <c r="E561" s="15">
        <f t="shared" si="225"/>
        <v>0</v>
      </c>
      <c r="F561" s="15">
        <f t="shared" si="225"/>
        <v>0</v>
      </c>
      <c r="G561" s="15">
        <f>SUM(G558:G559)</f>
        <v>405</v>
      </c>
      <c r="H561" s="15">
        <f>SUM(H558:H559)</f>
        <v>405</v>
      </c>
      <c r="I561" s="15">
        <f t="shared" si="225"/>
        <v>0</v>
      </c>
      <c r="J561" s="8"/>
    </row>
    <row r="562" spans="1:10" x14ac:dyDescent="0.2">
      <c r="A562" s="16"/>
      <c r="B562" s="1" t="s">
        <v>27</v>
      </c>
      <c r="C562" s="15">
        <f t="shared" ref="C562:I562" si="226">C561*16</f>
        <v>6480</v>
      </c>
      <c r="D562" s="15">
        <f t="shared" si="226"/>
        <v>0</v>
      </c>
      <c r="E562" s="15">
        <f t="shared" si="226"/>
        <v>0</v>
      </c>
      <c r="F562" s="15">
        <f t="shared" si="226"/>
        <v>0</v>
      </c>
      <c r="G562" s="15">
        <f t="shared" si="226"/>
        <v>6480</v>
      </c>
      <c r="H562" s="15">
        <f t="shared" si="226"/>
        <v>6480</v>
      </c>
      <c r="I562" s="15">
        <f t="shared" si="226"/>
        <v>0</v>
      </c>
      <c r="J562" s="3">
        <f>SUM(C562:I562)</f>
        <v>19440</v>
      </c>
    </row>
    <row r="563" spans="1:10" x14ac:dyDescent="0.2">
      <c r="A563" s="16"/>
      <c r="B563" s="1"/>
      <c r="C563" s="15"/>
      <c r="D563" s="18"/>
      <c r="E563" s="18"/>
      <c r="F563" s="18"/>
      <c r="G563" s="21"/>
      <c r="H563" s="18"/>
      <c r="I563" s="15"/>
      <c r="J563" s="3"/>
    </row>
    <row r="564" spans="1:10" x14ac:dyDescent="0.2">
      <c r="A564" s="16"/>
      <c r="B564" s="1"/>
      <c r="C564" s="15"/>
      <c r="D564" s="18"/>
      <c r="E564" s="18"/>
      <c r="F564" s="18"/>
      <c r="G564" s="21"/>
      <c r="H564" s="18"/>
      <c r="I564" s="15"/>
      <c r="J564" s="3"/>
    </row>
    <row r="565" spans="1:10" x14ac:dyDescent="0.2">
      <c r="A565" s="16"/>
      <c r="B565" s="1" t="s">
        <v>57</v>
      </c>
      <c r="C565" s="4">
        <f>SUM(C553)</f>
        <v>-60</v>
      </c>
      <c r="D565" s="4">
        <f t="shared" ref="D565:I565" si="227">SUM(D553)</f>
        <v>0</v>
      </c>
      <c r="E565" s="4">
        <f t="shared" si="227"/>
        <v>0</v>
      </c>
      <c r="F565" s="4">
        <f t="shared" si="227"/>
        <v>0</v>
      </c>
      <c r="G565" s="4">
        <f t="shared" si="227"/>
        <v>-60</v>
      </c>
      <c r="H565" s="4">
        <f t="shared" si="227"/>
        <v>-60</v>
      </c>
      <c r="I565" s="4">
        <f t="shared" si="227"/>
        <v>0</v>
      </c>
    </row>
    <row r="566" spans="1:10" ht="13.5" thickBot="1" x14ac:dyDescent="0.25">
      <c r="A566" s="16"/>
      <c r="B566" s="1"/>
      <c r="C566" s="15"/>
      <c r="E566" s="25"/>
    </row>
    <row r="567" spans="1:10" ht="20.25" thickBot="1" x14ac:dyDescent="0.35">
      <c r="A567" s="114" t="s">
        <v>33</v>
      </c>
      <c r="B567" s="115"/>
      <c r="C567" s="115"/>
      <c r="D567" s="115"/>
      <c r="E567" s="115"/>
      <c r="F567" s="115"/>
      <c r="G567" s="115"/>
      <c r="H567" s="115"/>
      <c r="I567" s="115"/>
      <c r="J567" s="116"/>
    </row>
    <row r="568" spans="1:10" x14ac:dyDescent="0.2">
      <c r="A568" s="20"/>
    </row>
    <row r="569" spans="1:10" x14ac:dyDescent="0.2">
      <c r="A569" s="1" t="s">
        <v>43</v>
      </c>
      <c r="B569" s="26" t="s">
        <v>44</v>
      </c>
      <c r="C569" s="28">
        <v>37257</v>
      </c>
      <c r="D569" s="6">
        <v>37258</v>
      </c>
      <c r="E569" s="6">
        <v>37259</v>
      </c>
      <c r="F569" s="6">
        <v>37260</v>
      </c>
      <c r="G569" s="28">
        <v>37261</v>
      </c>
      <c r="H569" s="28">
        <v>37262</v>
      </c>
      <c r="I569" s="6">
        <v>37263</v>
      </c>
      <c r="J569" s="8"/>
    </row>
    <row r="570" spans="1:10" x14ac:dyDescent="0.2">
      <c r="B570" s="1" t="s">
        <v>3</v>
      </c>
      <c r="C570" s="2">
        <v>50</v>
      </c>
      <c r="D570" s="2">
        <v>50</v>
      </c>
      <c r="E570" s="2">
        <v>50</v>
      </c>
      <c r="F570" s="2">
        <v>50</v>
      </c>
      <c r="G570" s="2">
        <v>50</v>
      </c>
      <c r="H570" s="2">
        <v>50</v>
      </c>
      <c r="I570" s="2">
        <v>50</v>
      </c>
    </row>
    <row r="571" spans="1:10" x14ac:dyDescent="0.2">
      <c r="B571" s="8" t="s">
        <v>4</v>
      </c>
      <c r="C571" s="3">
        <v>24</v>
      </c>
      <c r="D571" s="3">
        <v>24</v>
      </c>
      <c r="E571" s="3">
        <v>24</v>
      </c>
      <c r="F571" s="3">
        <v>24</v>
      </c>
      <c r="G571" s="3">
        <v>24</v>
      </c>
      <c r="H571" s="3">
        <v>24</v>
      </c>
      <c r="I571" s="3">
        <v>24</v>
      </c>
    </row>
    <row r="572" spans="1:10" x14ac:dyDescent="0.2">
      <c r="B572" s="1" t="s">
        <v>5</v>
      </c>
      <c r="D572" s="19">
        <v>0</v>
      </c>
      <c r="E572" s="19">
        <v>0</v>
      </c>
      <c r="F572" s="19">
        <v>0</v>
      </c>
      <c r="G572" s="10"/>
      <c r="H572" s="21"/>
      <c r="I572" s="19">
        <v>0</v>
      </c>
    </row>
    <row r="573" spans="1:10" x14ac:dyDescent="0.2">
      <c r="B573" s="8" t="s">
        <v>4</v>
      </c>
      <c r="C573" s="3">
        <v>0</v>
      </c>
      <c r="D573" s="10">
        <v>0</v>
      </c>
      <c r="E573" s="10">
        <v>0</v>
      </c>
      <c r="F573" s="10">
        <v>0</v>
      </c>
      <c r="G573" s="10"/>
      <c r="H573" s="21"/>
      <c r="I573" s="10">
        <v>0</v>
      </c>
    </row>
    <row r="574" spans="1:10" x14ac:dyDescent="0.2">
      <c r="B574" s="7" t="s">
        <v>6</v>
      </c>
      <c r="C574" s="4">
        <f t="shared" ref="C574:I574" si="228">C570-C572</f>
        <v>50</v>
      </c>
      <c r="D574" s="4">
        <f t="shared" si="228"/>
        <v>50</v>
      </c>
      <c r="E574" s="4">
        <f t="shared" si="228"/>
        <v>50</v>
      </c>
      <c r="F574" s="4">
        <f t="shared" si="228"/>
        <v>50</v>
      </c>
      <c r="G574" s="4">
        <f t="shared" si="228"/>
        <v>50</v>
      </c>
      <c r="H574" s="4">
        <f t="shared" si="228"/>
        <v>50</v>
      </c>
      <c r="I574" s="4">
        <f t="shared" si="228"/>
        <v>50</v>
      </c>
    </row>
    <row r="575" spans="1:10" x14ac:dyDescent="0.2">
      <c r="B575" s="9" t="s">
        <v>7</v>
      </c>
      <c r="C575" s="10">
        <v>22</v>
      </c>
      <c r="D575" s="29">
        <v>22</v>
      </c>
      <c r="E575" s="29">
        <v>22</v>
      </c>
      <c r="F575" s="29">
        <v>22</v>
      </c>
      <c r="G575" s="10">
        <v>22</v>
      </c>
      <c r="H575" s="10">
        <v>22</v>
      </c>
      <c r="I575" s="29">
        <v>22</v>
      </c>
    </row>
    <row r="576" spans="1:10" x14ac:dyDescent="0.2">
      <c r="B576" s="9"/>
      <c r="C576" s="11"/>
      <c r="D576" s="19"/>
      <c r="E576" s="19"/>
      <c r="F576" s="10"/>
      <c r="G576" s="10"/>
      <c r="H576" s="21"/>
    </row>
    <row r="577" spans="1:11" x14ac:dyDescent="0.2">
      <c r="B577" s="9" t="s">
        <v>8</v>
      </c>
      <c r="C577" s="12">
        <f t="shared" ref="C577:I577" si="229">(C570*C571)*(-1)</f>
        <v>-1200</v>
      </c>
      <c r="D577" s="12">
        <f t="shared" si="229"/>
        <v>-1200</v>
      </c>
      <c r="E577" s="12">
        <f t="shared" si="229"/>
        <v>-1200</v>
      </c>
      <c r="F577" s="12">
        <f t="shared" si="229"/>
        <v>-1200</v>
      </c>
      <c r="G577" s="12">
        <f t="shared" si="229"/>
        <v>-1200</v>
      </c>
      <c r="H577" s="12">
        <f t="shared" si="229"/>
        <v>-1200</v>
      </c>
      <c r="I577" s="12">
        <f t="shared" si="229"/>
        <v>-1200</v>
      </c>
    </row>
    <row r="578" spans="1:11" x14ac:dyDescent="0.2">
      <c r="B578" s="9" t="s">
        <v>9</v>
      </c>
      <c r="C578" s="11">
        <f t="shared" ref="C578:I578" si="230">C572*C573</f>
        <v>0</v>
      </c>
      <c r="D578" s="11">
        <f t="shared" si="230"/>
        <v>0</v>
      </c>
      <c r="E578" s="11">
        <f t="shared" si="230"/>
        <v>0</v>
      </c>
      <c r="F578" s="11">
        <f t="shared" si="230"/>
        <v>0</v>
      </c>
      <c r="G578" s="11">
        <f t="shared" si="230"/>
        <v>0</v>
      </c>
      <c r="H578" s="11">
        <f t="shared" si="230"/>
        <v>0</v>
      </c>
      <c r="I578" s="11">
        <f t="shared" si="230"/>
        <v>0</v>
      </c>
    </row>
    <row r="579" spans="1:11" x14ac:dyDescent="0.2">
      <c r="B579" s="7" t="s">
        <v>10</v>
      </c>
      <c r="C579" s="11">
        <f t="shared" ref="C579:I579" si="231">SUM(C577:C578)</f>
        <v>-1200</v>
      </c>
      <c r="D579" s="11">
        <f t="shared" si="231"/>
        <v>-1200</v>
      </c>
      <c r="E579" s="11">
        <f t="shared" si="231"/>
        <v>-1200</v>
      </c>
      <c r="F579" s="11">
        <f t="shared" si="231"/>
        <v>-1200</v>
      </c>
      <c r="G579" s="11">
        <f t="shared" si="231"/>
        <v>-1200</v>
      </c>
      <c r="H579" s="11">
        <f t="shared" si="231"/>
        <v>-1200</v>
      </c>
      <c r="I579" s="11">
        <f t="shared" si="231"/>
        <v>-1200</v>
      </c>
    </row>
    <row r="580" spans="1:11" x14ac:dyDescent="0.2">
      <c r="A580" s="13"/>
      <c r="B580" s="2" t="s">
        <v>11</v>
      </c>
      <c r="C580" s="12">
        <f t="shared" ref="C580:I580" si="232">C574*C575</f>
        <v>1100</v>
      </c>
      <c r="D580" s="12">
        <f t="shared" si="232"/>
        <v>1100</v>
      </c>
      <c r="E580" s="12">
        <f t="shared" si="232"/>
        <v>1100</v>
      </c>
      <c r="F580" s="12">
        <f t="shared" si="232"/>
        <v>1100</v>
      </c>
      <c r="G580" s="12">
        <f t="shared" si="232"/>
        <v>1100</v>
      </c>
      <c r="H580" s="12">
        <f t="shared" si="232"/>
        <v>1100</v>
      </c>
      <c r="I580" s="12">
        <f t="shared" si="232"/>
        <v>1100</v>
      </c>
    </row>
    <row r="581" spans="1:11" x14ac:dyDescent="0.2">
      <c r="A581" s="14"/>
      <c r="E581" s="2"/>
      <c r="G581" s="2"/>
      <c r="H581" s="2"/>
      <c r="I581" s="2"/>
    </row>
    <row r="582" spans="1:11" x14ac:dyDescent="0.2">
      <c r="A582" s="13"/>
      <c r="B582" s="1" t="s">
        <v>12</v>
      </c>
      <c r="C582" s="15">
        <f t="shared" ref="C582:I582" si="233">SUM(C579:C580)</f>
        <v>-100</v>
      </c>
      <c r="D582" s="15">
        <f t="shared" si="233"/>
        <v>-100</v>
      </c>
      <c r="E582" s="15">
        <f t="shared" si="233"/>
        <v>-100</v>
      </c>
      <c r="F582" s="15">
        <f t="shared" si="233"/>
        <v>-100</v>
      </c>
      <c r="G582" s="15">
        <f t="shared" si="233"/>
        <v>-100</v>
      </c>
      <c r="H582" s="15">
        <f t="shared" si="233"/>
        <v>-100</v>
      </c>
      <c r="I582" s="15">
        <f t="shared" si="233"/>
        <v>-100</v>
      </c>
      <c r="J582" s="8"/>
    </row>
    <row r="583" spans="1:11" x14ac:dyDescent="0.2">
      <c r="A583" s="16"/>
      <c r="B583" s="27" t="s">
        <v>35</v>
      </c>
      <c r="C583" s="15">
        <f t="shared" ref="C583:I583" si="234">C582*16</f>
        <v>-1600</v>
      </c>
      <c r="D583" s="15">
        <f t="shared" si="234"/>
        <v>-1600</v>
      </c>
      <c r="E583" s="15">
        <f t="shared" si="234"/>
        <v>-1600</v>
      </c>
      <c r="F583" s="15">
        <f t="shared" si="234"/>
        <v>-1600</v>
      </c>
      <c r="G583" s="15">
        <f t="shared" si="234"/>
        <v>-1600</v>
      </c>
      <c r="H583" s="15">
        <f t="shared" si="234"/>
        <v>-1600</v>
      </c>
      <c r="I583" s="15">
        <f t="shared" si="234"/>
        <v>-1600</v>
      </c>
      <c r="J583" s="3">
        <f>SUM(C583:I583)</f>
        <v>-11200</v>
      </c>
    </row>
    <row r="584" spans="1:11" x14ac:dyDescent="0.2">
      <c r="A584" s="16"/>
      <c r="B584" s="27"/>
      <c r="C584" s="15"/>
      <c r="D584" s="15"/>
      <c r="E584" s="15"/>
      <c r="F584" s="15"/>
      <c r="G584" s="15"/>
      <c r="H584" s="15"/>
      <c r="I584" s="15"/>
      <c r="J584" s="3"/>
    </row>
    <row r="585" spans="1:11" x14ac:dyDescent="0.2">
      <c r="A585" s="16"/>
      <c r="B585" s="27"/>
      <c r="C585" s="15"/>
      <c r="D585" s="15"/>
      <c r="E585" s="15"/>
      <c r="F585" s="15"/>
      <c r="G585" s="15"/>
      <c r="H585" s="15"/>
      <c r="I585" s="15"/>
      <c r="J585" s="3"/>
    </row>
    <row r="586" spans="1:11" s="1" customFormat="1" x14ac:dyDescent="0.2">
      <c r="A586" s="1" t="s">
        <v>1</v>
      </c>
      <c r="B586" s="26" t="s">
        <v>34</v>
      </c>
      <c r="C586" s="28">
        <v>37257</v>
      </c>
      <c r="D586" s="6">
        <v>37258</v>
      </c>
      <c r="E586" s="6">
        <v>37259</v>
      </c>
      <c r="F586" s="6">
        <v>37260</v>
      </c>
      <c r="G586" s="28">
        <v>37261</v>
      </c>
      <c r="H586" s="28">
        <v>37262</v>
      </c>
      <c r="I586" s="6">
        <v>37263</v>
      </c>
      <c r="J586" s="8"/>
      <c r="K586" s="7"/>
    </row>
    <row r="587" spans="1:11" x14ac:dyDescent="0.2">
      <c r="B587" s="1" t="s">
        <v>3</v>
      </c>
      <c r="C587" s="2">
        <v>50</v>
      </c>
      <c r="D587" s="19">
        <v>50</v>
      </c>
      <c r="E587" s="19">
        <v>50</v>
      </c>
      <c r="F587" s="19">
        <v>50</v>
      </c>
      <c r="G587" s="10">
        <v>50</v>
      </c>
      <c r="H587" s="21">
        <v>50</v>
      </c>
      <c r="I587" s="19">
        <v>50</v>
      </c>
      <c r="K587" s="4"/>
    </row>
    <row r="588" spans="1:11" x14ac:dyDescent="0.2">
      <c r="B588" s="8" t="s">
        <v>4</v>
      </c>
      <c r="C588" s="3">
        <v>23.75</v>
      </c>
      <c r="D588" s="3">
        <v>23.75</v>
      </c>
      <c r="E588" s="3">
        <v>23.75</v>
      </c>
      <c r="F588" s="3">
        <v>23.75</v>
      </c>
      <c r="G588" s="3">
        <v>23.75</v>
      </c>
      <c r="H588" s="3">
        <v>23.75</v>
      </c>
      <c r="I588" s="3">
        <v>23.75</v>
      </c>
      <c r="K588" s="4"/>
    </row>
    <row r="589" spans="1:11" x14ac:dyDescent="0.2">
      <c r="B589" s="1" t="s">
        <v>5</v>
      </c>
      <c r="C589" s="2">
        <v>50</v>
      </c>
      <c r="D589" s="19">
        <v>50</v>
      </c>
      <c r="E589" s="19">
        <v>50</v>
      </c>
      <c r="F589" s="19">
        <v>50</v>
      </c>
      <c r="G589" s="19">
        <v>50</v>
      </c>
      <c r="H589" s="19">
        <v>50</v>
      </c>
      <c r="I589" s="19">
        <v>50</v>
      </c>
      <c r="K589" s="4"/>
    </row>
    <row r="590" spans="1:11" x14ac:dyDescent="0.2">
      <c r="B590" s="8" t="s">
        <v>4</v>
      </c>
      <c r="C590" s="3">
        <v>23.85</v>
      </c>
      <c r="D590" s="3">
        <v>23.85</v>
      </c>
      <c r="E590" s="3">
        <v>23.85</v>
      </c>
      <c r="F590" s="3">
        <v>23.85</v>
      </c>
      <c r="G590" s="3">
        <v>23.85</v>
      </c>
      <c r="H590" s="3">
        <v>23.85</v>
      </c>
      <c r="I590" s="3">
        <v>23.85</v>
      </c>
      <c r="K590" s="4"/>
    </row>
    <row r="591" spans="1:11" x14ac:dyDescent="0.2">
      <c r="B591" s="7" t="s">
        <v>6</v>
      </c>
      <c r="C591" s="4">
        <f t="shared" ref="C591:I591" si="235">C587-C589</f>
        <v>0</v>
      </c>
      <c r="D591" s="4">
        <f t="shared" si="235"/>
        <v>0</v>
      </c>
      <c r="E591" s="4">
        <f t="shared" si="235"/>
        <v>0</v>
      </c>
      <c r="F591" s="4">
        <f t="shared" si="235"/>
        <v>0</v>
      </c>
      <c r="G591" s="4">
        <f t="shared" si="235"/>
        <v>0</v>
      </c>
      <c r="H591" s="4">
        <f t="shared" si="235"/>
        <v>0</v>
      </c>
      <c r="I591" s="4">
        <f t="shared" si="235"/>
        <v>0</v>
      </c>
      <c r="K591" s="4"/>
    </row>
    <row r="592" spans="1:11" x14ac:dyDescent="0.2">
      <c r="B592" s="9" t="s">
        <v>7</v>
      </c>
      <c r="C592" s="10">
        <v>22</v>
      </c>
      <c r="D592" s="29">
        <v>22</v>
      </c>
      <c r="E592" s="29">
        <v>22</v>
      </c>
      <c r="F592" s="29">
        <v>22</v>
      </c>
      <c r="G592" s="10">
        <v>22</v>
      </c>
      <c r="H592" s="10">
        <v>22</v>
      </c>
      <c r="I592" s="29">
        <v>22</v>
      </c>
      <c r="K592" s="4"/>
    </row>
    <row r="593" spans="1:11" x14ac:dyDescent="0.2">
      <c r="B593" s="9"/>
      <c r="C593" s="11"/>
      <c r="D593" s="19"/>
      <c r="E593" s="19"/>
      <c r="F593" s="10"/>
      <c r="G593" s="10"/>
      <c r="H593" s="21"/>
      <c r="K593" s="4"/>
    </row>
    <row r="594" spans="1:11" x14ac:dyDescent="0.2">
      <c r="B594" s="9" t="s">
        <v>8</v>
      </c>
      <c r="C594" s="12">
        <f t="shared" ref="C594:I594" si="236">(C587*C588)*(-1)</f>
        <v>-1187.5</v>
      </c>
      <c r="D594" s="12">
        <f t="shared" si="236"/>
        <v>-1187.5</v>
      </c>
      <c r="E594" s="12">
        <f t="shared" si="236"/>
        <v>-1187.5</v>
      </c>
      <c r="F594" s="12">
        <f t="shared" si="236"/>
        <v>-1187.5</v>
      </c>
      <c r="G594" s="12">
        <f t="shared" si="236"/>
        <v>-1187.5</v>
      </c>
      <c r="H594" s="12">
        <f t="shared" si="236"/>
        <v>-1187.5</v>
      </c>
      <c r="I594" s="12">
        <f t="shared" si="236"/>
        <v>-1187.5</v>
      </c>
      <c r="K594" s="4"/>
    </row>
    <row r="595" spans="1:11" x14ac:dyDescent="0.2">
      <c r="B595" s="9" t="s">
        <v>9</v>
      </c>
      <c r="C595" s="11">
        <f t="shared" ref="C595:I595" si="237">C589*C590</f>
        <v>1192.5</v>
      </c>
      <c r="D595" s="11">
        <f t="shared" si="237"/>
        <v>1192.5</v>
      </c>
      <c r="E595" s="11">
        <f t="shared" si="237"/>
        <v>1192.5</v>
      </c>
      <c r="F595" s="11">
        <f t="shared" si="237"/>
        <v>1192.5</v>
      </c>
      <c r="G595" s="11">
        <f t="shared" si="237"/>
        <v>1192.5</v>
      </c>
      <c r="H595" s="11">
        <f t="shared" si="237"/>
        <v>1192.5</v>
      </c>
      <c r="I595" s="11">
        <f t="shared" si="237"/>
        <v>1192.5</v>
      </c>
      <c r="K595" s="4"/>
    </row>
    <row r="596" spans="1:11" x14ac:dyDescent="0.2">
      <c r="B596" s="7" t="s">
        <v>10</v>
      </c>
      <c r="C596" s="11">
        <f t="shared" ref="C596:I596" si="238">SUM(C594:C595)</f>
        <v>5</v>
      </c>
      <c r="D596" s="11">
        <f t="shared" si="238"/>
        <v>5</v>
      </c>
      <c r="E596" s="11">
        <f t="shared" si="238"/>
        <v>5</v>
      </c>
      <c r="F596" s="11">
        <f t="shared" si="238"/>
        <v>5</v>
      </c>
      <c r="G596" s="11">
        <f t="shared" si="238"/>
        <v>5</v>
      </c>
      <c r="H596" s="11">
        <f t="shared" si="238"/>
        <v>5</v>
      </c>
      <c r="I596" s="11">
        <f t="shared" si="238"/>
        <v>5</v>
      </c>
      <c r="K596" s="4"/>
    </row>
    <row r="597" spans="1:11" x14ac:dyDescent="0.2">
      <c r="A597" s="13"/>
      <c r="B597" s="2" t="s">
        <v>11</v>
      </c>
      <c r="C597" s="12">
        <f t="shared" ref="C597:I597" si="239">C591*C592</f>
        <v>0</v>
      </c>
      <c r="D597" s="12">
        <f t="shared" si="239"/>
        <v>0</v>
      </c>
      <c r="E597" s="12">
        <f t="shared" si="239"/>
        <v>0</v>
      </c>
      <c r="F597" s="12">
        <f t="shared" si="239"/>
        <v>0</v>
      </c>
      <c r="G597" s="12">
        <f t="shared" si="239"/>
        <v>0</v>
      </c>
      <c r="H597" s="12">
        <f t="shared" si="239"/>
        <v>0</v>
      </c>
      <c r="I597" s="12">
        <f t="shared" si="239"/>
        <v>0</v>
      </c>
    </row>
    <row r="598" spans="1:11" x14ac:dyDescent="0.2">
      <c r="A598" s="14"/>
      <c r="E598" s="2"/>
      <c r="G598" s="2"/>
      <c r="H598" s="2"/>
      <c r="I598" s="2"/>
    </row>
    <row r="599" spans="1:11" s="1" customFormat="1" x14ac:dyDescent="0.2">
      <c r="A599" s="13"/>
      <c r="B599" s="1" t="s">
        <v>12</v>
      </c>
      <c r="C599" s="15">
        <f t="shared" ref="C599:I599" si="240">SUM(C596:C597)</f>
        <v>5</v>
      </c>
      <c r="D599" s="15">
        <f t="shared" si="240"/>
        <v>5</v>
      </c>
      <c r="E599" s="15">
        <f t="shared" si="240"/>
        <v>5</v>
      </c>
      <c r="F599" s="15">
        <f t="shared" si="240"/>
        <v>5</v>
      </c>
      <c r="G599" s="15">
        <f t="shared" si="240"/>
        <v>5</v>
      </c>
      <c r="H599" s="15">
        <f t="shared" si="240"/>
        <v>5</v>
      </c>
      <c r="I599" s="15">
        <f t="shared" si="240"/>
        <v>5</v>
      </c>
      <c r="J599" s="8"/>
    </row>
    <row r="600" spans="1:11" x14ac:dyDescent="0.2">
      <c r="A600" s="16"/>
      <c r="B600" s="27" t="s">
        <v>35</v>
      </c>
      <c r="C600" s="15">
        <f t="shared" ref="C600:I600" si="241">C599*16</f>
        <v>80</v>
      </c>
      <c r="D600" s="15">
        <f t="shared" si="241"/>
        <v>80</v>
      </c>
      <c r="E600" s="15">
        <f t="shared" si="241"/>
        <v>80</v>
      </c>
      <c r="F600" s="15">
        <f t="shared" si="241"/>
        <v>80</v>
      </c>
      <c r="G600" s="15">
        <f t="shared" si="241"/>
        <v>80</v>
      </c>
      <c r="H600" s="15">
        <f t="shared" si="241"/>
        <v>80</v>
      </c>
      <c r="I600" s="15">
        <f t="shared" si="241"/>
        <v>80</v>
      </c>
      <c r="J600" s="3">
        <f>SUM(C600:I600)</f>
        <v>560</v>
      </c>
    </row>
    <row r="601" spans="1:11" x14ac:dyDescent="0.2">
      <c r="A601" s="16"/>
      <c r="B601" s="27"/>
      <c r="C601" s="15"/>
      <c r="D601" s="15"/>
      <c r="E601" s="15"/>
      <c r="F601" s="15"/>
      <c r="G601" s="15"/>
      <c r="H601" s="15"/>
      <c r="I601" s="15"/>
      <c r="J601" s="3"/>
    </row>
    <row r="602" spans="1:11" x14ac:dyDescent="0.2">
      <c r="A602" s="16"/>
      <c r="B602" s="27"/>
      <c r="C602" s="15"/>
      <c r="D602" s="15"/>
      <c r="E602" s="15"/>
      <c r="F602" s="15"/>
      <c r="G602" s="15"/>
      <c r="H602" s="15"/>
      <c r="I602" s="15"/>
      <c r="J602" s="3"/>
    </row>
    <row r="603" spans="1:11" x14ac:dyDescent="0.2">
      <c r="A603" s="16"/>
      <c r="B603" s="1" t="s">
        <v>58</v>
      </c>
      <c r="C603" s="4">
        <f>SUM(C574,C591)</f>
        <v>50</v>
      </c>
      <c r="D603" s="4">
        <f t="shared" ref="D603:I603" si="242">SUM(D574,D591)</f>
        <v>50</v>
      </c>
      <c r="E603" s="4">
        <f t="shared" si="242"/>
        <v>50</v>
      </c>
      <c r="F603" s="4">
        <f t="shared" si="242"/>
        <v>50</v>
      </c>
      <c r="G603" s="4">
        <f t="shared" si="242"/>
        <v>50</v>
      </c>
      <c r="H603" s="4">
        <f t="shared" si="242"/>
        <v>50</v>
      </c>
      <c r="I603" s="4">
        <f t="shared" si="242"/>
        <v>50</v>
      </c>
    </row>
    <row r="604" spans="1:11" x14ac:dyDescent="0.2">
      <c r="A604" s="16"/>
      <c r="B604" s="1"/>
      <c r="C604" s="4"/>
      <c r="D604" s="4"/>
      <c r="E604" s="4"/>
      <c r="F604" s="4"/>
    </row>
    <row r="605" spans="1:11" x14ac:dyDescent="0.2">
      <c r="A605" s="16"/>
      <c r="B605" s="1"/>
      <c r="C605" s="4"/>
      <c r="D605" s="4"/>
      <c r="E605" s="4"/>
      <c r="F605" s="4"/>
    </row>
    <row r="606" spans="1:11" s="1" customFormat="1" x14ac:dyDescent="0.2">
      <c r="A606" s="1" t="s">
        <v>32</v>
      </c>
      <c r="B606" s="26" t="s">
        <v>40</v>
      </c>
      <c r="C606" s="28">
        <v>37257</v>
      </c>
      <c r="D606" s="6">
        <v>37258</v>
      </c>
      <c r="E606" s="6">
        <v>37259</v>
      </c>
      <c r="F606" s="6">
        <v>37260</v>
      </c>
      <c r="G606" s="28">
        <v>37261</v>
      </c>
      <c r="H606" s="28">
        <v>37262</v>
      </c>
      <c r="I606" s="6">
        <v>37263</v>
      </c>
      <c r="J606" s="8"/>
      <c r="K606" s="7"/>
    </row>
    <row r="607" spans="1:11" x14ac:dyDescent="0.2">
      <c r="B607" s="1" t="s">
        <v>3</v>
      </c>
      <c r="D607" s="19">
        <v>0</v>
      </c>
      <c r="E607" s="19">
        <v>0</v>
      </c>
      <c r="F607" s="19">
        <v>0</v>
      </c>
      <c r="G607" s="10"/>
      <c r="H607" s="21"/>
      <c r="I607" s="19">
        <v>0</v>
      </c>
      <c r="K607" s="4"/>
    </row>
    <row r="608" spans="1:11" x14ac:dyDescent="0.2">
      <c r="B608" s="8" t="s">
        <v>4</v>
      </c>
      <c r="C608" s="3">
        <v>0</v>
      </c>
      <c r="D608" s="10">
        <v>0</v>
      </c>
      <c r="E608" s="10">
        <v>0</v>
      </c>
      <c r="F608" s="10">
        <v>0</v>
      </c>
      <c r="G608" s="10"/>
      <c r="H608" s="21"/>
      <c r="I608" s="10">
        <v>0</v>
      </c>
      <c r="K608" s="4"/>
    </row>
    <row r="609" spans="1:11" x14ac:dyDescent="0.2">
      <c r="B609" s="1" t="s">
        <v>5</v>
      </c>
      <c r="C609" s="2">
        <v>50</v>
      </c>
      <c r="D609" s="19">
        <v>50</v>
      </c>
      <c r="E609" s="19">
        <v>50</v>
      </c>
      <c r="F609" s="19">
        <v>50</v>
      </c>
      <c r="G609" s="19">
        <v>50</v>
      </c>
      <c r="H609" s="19">
        <v>50</v>
      </c>
      <c r="I609" s="19">
        <v>50</v>
      </c>
      <c r="K609" s="4"/>
    </row>
    <row r="610" spans="1:11" x14ac:dyDescent="0.2">
      <c r="B610" s="8" t="s">
        <v>4</v>
      </c>
      <c r="C610" s="3">
        <v>32</v>
      </c>
      <c r="D610" s="10">
        <v>32</v>
      </c>
      <c r="E610" s="10">
        <v>32</v>
      </c>
      <c r="F610" s="10">
        <v>32</v>
      </c>
      <c r="G610" s="10">
        <v>32</v>
      </c>
      <c r="H610" s="10">
        <v>32</v>
      </c>
      <c r="I610" s="10">
        <v>32</v>
      </c>
      <c r="K610" s="4"/>
    </row>
    <row r="611" spans="1:11" x14ac:dyDescent="0.2">
      <c r="B611" s="7" t="s">
        <v>6</v>
      </c>
      <c r="C611" s="4">
        <f>C607-C609</f>
        <v>-50</v>
      </c>
      <c r="D611" s="4">
        <f t="shared" ref="D611:I611" si="243">D607-D609</f>
        <v>-50</v>
      </c>
      <c r="E611" s="4">
        <f t="shared" si="243"/>
        <v>-50</v>
      </c>
      <c r="F611" s="4">
        <f t="shared" si="243"/>
        <v>-50</v>
      </c>
      <c r="G611" s="4">
        <f t="shared" si="243"/>
        <v>-50</v>
      </c>
      <c r="H611" s="4">
        <f t="shared" si="243"/>
        <v>-50</v>
      </c>
      <c r="I611" s="4">
        <f t="shared" si="243"/>
        <v>-50</v>
      </c>
      <c r="K611" s="4"/>
    </row>
    <row r="612" spans="1:11" x14ac:dyDescent="0.2">
      <c r="B612" s="9" t="s">
        <v>7</v>
      </c>
      <c r="C612" s="10">
        <v>22</v>
      </c>
      <c r="D612" s="29">
        <v>22</v>
      </c>
      <c r="E612" s="29">
        <v>22</v>
      </c>
      <c r="F612" s="29">
        <v>22</v>
      </c>
      <c r="G612" s="10">
        <v>22</v>
      </c>
      <c r="H612" s="10">
        <v>22</v>
      </c>
      <c r="I612" s="29">
        <v>22</v>
      </c>
      <c r="K612" s="4"/>
    </row>
    <row r="613" spans="1:11" x14ac:dyDescent="0.2">
      <c r="B613" s="9"/>
      <c r="C613" s="11"/>
      <c r="D613" s="19"/>
      <c r="E613" s="19"/>
      <c r="F613" s="10"/>
      <c r="G613" s="10"/>
      <c r="H613" s="21"/>
      <c r="K613" s="4"/>
    </row>
    <row r="614" spans="1:11" x14ac:dyDescent="0.2">
      <c r="B614" s="9" t="s">
        <v>8</v>
      </c>
      <c r="C614" s="12">
        <f t="shared" ref="C614:I614" si="244">(C607*C608)*(-1)</f>
        <v>0</v>
      </c>
      <c r="D614" s="12">
        <f t="shared" si="244"/>
        <v>0</v>
      </c>
      <c r="E614" s="12">
        <f t="shared" si="244"/>
        <v>0</v>
      </c>
      <c r="F614" s="12">
        <f t="shared" si="244"/>
        <v>0</v>
      </c>
      <c r="G614" s="12">
        <f t="shared" si="244"/>
        <v>0</v>
      </c>
      <c r="H614" s="12">
        <f t="shared" si="244"/>
        <v>0</v>
      </c>
      <c r="I614" s="12">
        <f t="shared" si="244"/>
        <v>0</v>
      </c>
      <c r="K614" s="4"/>
    </row>
    <row r="615" spans="1:11" x14ac:dyDescent="0.2">
      <c r="B615" s="9" t="s">
        <v>9</v>
      </c>
      <c r="C615" s="11">
        <f t="shared" ref="C615:I615" si="245">C609*C610</f>
        <v>1600</v>
      </c>
      <c r="D615" s="11">
        <f t="shared" si="245"/>
        <v>1600</v>
      </c>
      <c r="E615" s="11">
        <f t="shared" si="245"/>
        <v>1600</v>
      </c>
      <c r="F615" s="11">
        <f t="shared" si="245"/>
        <v>1600</v>
      </c>
      <c r="G615" s="11">
        <f t="shared" si="245"/>
        <v>1600</v>
      </c>
      <c r="H615" s="11">
        <f t="shared" si="245"/>
        <v>1600</v>
      </c>
      <c r="I615" s="11">
        <f t="shared" si="245"/>
        <v>1600</v>
      </c>
      <c r="K615" s="4"/>
    </row>
    <row r="616" spans="1:11" x14ac:dyDescent="0.2">
      <c r="B616" s="7" t="s">
        <v>10</v>
      </c>
      <c r="C616" s="11">
        <f t="shared" ref="C616:I616" si="246">SUM(C614:C615)</f>
        <v>1600</v>
      </c>
      <c r="D616" s="11">
        <f t="shared" si="246"/>
        <v>1600</v>
      </c>
      <c r="E616" s="11">
        <f t="shared" si="246"/>
        <v>1600</v>
      </c>
      <c r="F616" s="11">
        <f t="shared" si="246"/>
        <v>1600</v>
      </c>
      <c r="G616" s="11">
        <f t="shared" si="246"/>
        <v>1600</v>
      </c>
      <c r="H616" s="11">
        <f t="shared" si="246"/>
        <v>1600</v>
      </c>
      <c r="I616" s="11">
        <f t="shared" si="246"/>
        <v>1600</v>
      </c>
      <c r="K616" s="4"/>
    </row>
    <row r="617" spans="1:11" x14ac:dyDescent="0.2">
      <c r="A617" s="13"/>
      <c r="B617" s="2" t="s">
        <v>11</v>
      </c>
      <c r="C617" s="12">
        <f t="shared" ref="C617:I617" si="247">C611*C612</f>
        <v>-1100</v>
      </c>
      <c r="D617" s="12">
        <f t="shared" si="247"/>
        <v>-1100</v>
      </c>
      <c r="E617" s="12">
        <f t="shared" si="247"/>
        <v>-1100</v>
      </c>
      <c r="F617" s="12">
        <f t="shared" si="247"/>
        <v>-1100</v>
      </c>
      <c r="G617" s="12">
        <f t="shared" si="247"/>
        <v>-1100</v>
      </c>
      <c r="H617" s="12">
        <f t="shared" si="247"/>
        <v>-1100</v>
      </c>
      <c r="I617" s="12">
        <f t="shared" si="247"/>
        <v>-1100</v>
      </c>
    </row>
    <row r="618" spans="1:11" x14ac:dyDescent="0.2">
      <c r="A618" s="14"/>
      <c r="E618" s="2"/>
      <c r="G618" s="2"/>
      <c r="H618" s="2"/>
      <c r="I618" s="2"/>
    </row>
    <row r="619" spans="1:11" s="1" customFormat="1" x14ac:dyDescent="0.2">
      <c r="A619" s="13"/>
      <c r="B619" s="1" t="s">
        <v>12</v>
      </c>
      <c r="C619" s="15">
        <f t="shared" ref="C619:I619" si="248">SUM(C616:C617)</f>
        <v>500</v>
      </c>
      <c r="D619" s="15">
        <f t="shared" si="248"/>
        <v>500</v>
      </c>
      <c r="E619" s="15">
        <f t="shared" si="248"/>
        <v>500</v>
      </c>
      <c r="F619" s="15">
        <f t="shared" si="248"/>
        <v>500</v>
      </c>
      <c r="G619" s="15">
        <f t="shared" si="248"/>
        <v>500</v>
      </c>
      <c r="H619" s="15">
        <f t="shared" si="248"/>
        <v>500</v>
      </c>
      <c r="I619" s="15">
        <f t="shared" si="248"/>
        <v>500</v>
      </c>
      <c r="J619" s="8"/>
    </row>
    <row r="620" spans="1:11" x14ac:dyDescent="0.2">
      <c r="A620" s="16"/>
      <c r="B620" s="27" t="s">
        <v>35</v>
      </c>
      <c r="C620" s="15">
        <f t="shared" ref="C620:I620" si="249">C619*16</f>
        <v>8000</v>
      </c>
      <c r="D620" s="15">
        <f t="shared" si="249"/>
        <v>8000</v>
      </c>
      <c r="E620" s="15">
        <f t="shared" si="249"/>
        <v>8000</v>
      </c>
      <c r="F620" s="15">
        <f t="shared" si="249"/>
        <v>8000</v>
      </c>
      <c r="G620" s="15">
        <f t="shared" si="249"/>
        <v>8000</v>
      </c>
      <c r="H620" s="15">
        <f t="shared" si="249"/>
        <v>8000</v>
      </c>
      <c r="I620" s="15">
        <f t="shared" si="249"/>
        <v>8000</v>
      </c>
      <c r="J620" s="3">
        <f>SUM(C620:I620)</f>
        <v>56000</v>
      </c>
    </row>
    <row r="621" spans="1:11" x14ac:dyDescent="0.2">
      <c r="A621" s="14"/>
      <c r="G621" s="21"/>
      <c r="H621" s="21"/>
    </row>
    <row r="622" spans="1:11" s="1" customFormat="1" x14ac:dyDescent="0.2">
      <c r="A622" s="1" t="s">
        <v>1</v>
      </c>
      <c r="B622" s="26" t="s">
        <v>40</v>
      </c>
      <c r="C622" s="28">
        <v>37257</v>
      </c>
      <c r="D622" s="6">
        <v>37258</v>
      </c>
      <c r="E622" s="6">
        <v>37259</v>
      </c>
      <c r="F622" s="6">
        <v>37260</v>
      </c>
      <c r="G622" s="28">
        <v>37261</v>
      </c>
      <c r="H622" s="28">
        <v>37262</v>
      </c>
      <c r="I622" s="6">
        <v>37263</v>
      </c>
      <c r="J622" s="8"/>
      <c r="K622" s="7"/>
    </row>
    <row r="623" spans="1:11" x14ac:dyDescent="0.2">
      <c r="B623" s="1" t="s">
        <v>3</v>
      </c>
      <c r="C623" s="19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0</v>
      </c>
      <c r="I623" s="19">
        <v>0</v>
      </c>
      <c r="K623" s="4"/>
    </row>
    <row r="624" spans="1:11" x14ac:dyDescent="0.2">
      <c r="B624" s="8" t="s">
        <v>4</v>
      </c>
      <c r="C624" s="10">
        <v>0</v>
      </c>
      <c r="D624" s="10">
        <v>0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K624" s="4"/>
    </row>
    <row r="625" spans="1:11" x14ac:dyDescent="0.2">
      <c r="B625" s="1" t="s">
        <v>5</v>
      </c>
      <c r="C625" s="19">
        <v>50</v>
      </c>
      <c r="D625" s="19">
        <v>50</v>
      </c>
      <c r="E625" s="19">
        <v>50</v>
      </c>
      <c r="F625" s="19">
        <v>50</v>
      </c>
      <c r="G625" s="19">
        <v>50</v>
      </c>
      <c r="H625" s="19">
        <v>50</v>
      </c>
      <c r="I625" s="19">
        <v>50</v>
      </c>
      <c r="K625" s="4"/>
    </row>
    <row r="626" spans="1:11" x14ac:dyDescent="0.2">
      <c r="B626" s="8" t="s">
        <v>4</v>
      </c>
      <c r="C626" s="10">
        <v>18.25</v>
      </c>
      <c r="D626" s="10">
        <v>18.25</v>
      </c>
      <c r="E626" s="10">
        <v>18.25</v>
      </c>
      <c r="F626" s="10">
        <v>18.25</v>
      </c>
      <c r="G626" s="10">
        <v>18.25</v>
      </c>
      <c r="H626" s="10">
        <v>18.25</v>
      </c>
      <c r="I626" s="10">
        <v>18.25</v>
      </c>
      <c r="K626" s="4"/>
    </row>
    <row r="627" spans="1:11" x14ac:dyDescent="0.2">
      <c r="B627" s="7" t="s">
        <v>6</v>
      </c>
      <c r="C627" s="4">
        <f t="shared" ref="C627:I627" si="250">C623-C625</f>
        <v>-50</v>
      </c>
      <c r="D627" s="4">
        <f t="shared" si="250"/>
        <v>-50</v>
      </c>
      <c r="E627" s="4">
        <f t="shared" si="250"/>
        <v>-50</v>
      </c>
      <c r="F627" s="4">
        <f t="shared" si="250"/>
        <v>-50</v>
      </c>
      <c r="G627" s="4">
        <f t="shared" si="250"/>
        <v>-50</v>
      </c>
      <c r="H627" s="4">
        <f t="shared" si="250"/>
        <v>-50</v>
      </c>
      <c r="I627" s="4">
        <f t="shared" si="250"/>
        <v>-50</v>
      </c>
      <c r="K627" s="4"/>
    </row>
    <row r="628" spans="1:11" x14ac:dyDescent="0.2">
      <c r="B628" s="9" t="s">
        <v>7</v>
      </c>
      <c r="C628" s="10">
        <v>22</v>
      </c>
      <c r="D628" s="29">
        <v>22</v>
      </c>
      <c r="E628" s="29">
        <v>22</v>
      </c>
      <c r="F628" s="29">
        <v>22</v>
      </c>
      <c r="G628" s="10">
        <v>22</v>
      </c>
      <c r="H628" s="10">
        <v>22</v>
      </c>
      <c r="I628" s="29">
        <v>22</v>
      </c>
      <c r="K628" s="4"/>
    </row>
    <row r="629" spans="1:11" x14ac:dyDescent="0.2">
      <c r="B629" s="9"/>
      <c r="C629" s="19"/>
      <c r="D629" s="19"/>
      <c r="E629" s="19"/>
      <c r="F629" s="10"/>
      <c r="G629" s="19"/>
      <c r="H629" s="19"/>
      <c r="K629" s="4"/>
    </row>
    <row r="630" spans="1:11" x14ac:dyDescent="0.2">
      <c r="B630" s="9" t="s">
        <v>8</v>
      </c>
      <c r="C630" s="12">
        <f>(C623*C624)*(-1)</f>
        <v>0</v>
      </c>
      <c r="D630" s="12">
        <f t="shared" ref="D630:I630" si="251">(D623*D624)*(-1)</f>
        <v>0</v>
      </c>
      <c r="E630" s="12">
        <f t="shared" si="251"/>
        <v>0</v>
      </c>
      <c r="F630" s="12">
        <f t="shared" si="251"/>
        <v>0</v>
      </c>
      <c r="G630" s="12">
        <f>(G623*G624)*(-1)</f>
        <v>0</v>
      </c>
      <c r="H630" s="12">
        <f>(H623*H624)*(-1)</f>
        <v>0</v>
      </c>
      <c r="I630" s="12">
        <f t="shared" si="251"/>
        <v>0</v>
      </c>
      <c r="K630" s="4"/>
    </row>
    <row r="631" spans="1:11" x14ac:dyDescent="0.2">
      <c r="B631" s="9" t="s">
        <v>9</v>
      </c>
      <c r="C631" s="11">
        <f>C625*C626</f>
        <v>912.5</v>
      </c>
      <c r="D631" s="11">
        <f t="shared" ref="D631:I631" si="252">D625*D626</f>
        <v>912.5</v>
      </c>
      <c r="E631" s="11">
        <f t="shared" si="252"/>
        <v>912.5</v>
      </c>
      <c r="F631" s="11">
        <f t="shared" si="252"/>
        <v>912.5</v>
      </c>
      <c r="G631" s="11">
        <f>G625*G626</f>
        <v>912.5</v>
      </c>
      <c r="H631" s="11">
        <f>H625*H626</f>
        <v>912.5</v>
      </c>
      <c r="I631" s="11">
        <f t="shared" si="252"/>
        <v>912.5</v>
      </c>
      <c r="K631" s="4"/>
    </row>
    <row r="632" spans="1:11" x14ac:dyDescent="0.2">
      <c r="B632" s="7" t="s">
        <v>10</v>
      </c>
      <c r="C632" s="11">
        <f t="shared" ref="C632:I632" si="253">SUM(C630:C631)</f>
        <v>912.5</v>
      </c>
      <c r="D632" s="11">
        <f t="shared" si="253"/>
        <v>912.5</v>
      </c>
      <c r="E632" s="11">
        <f t="shared" si="253"/>
        <v>912.5</v>
      </c>
      <c r="F632" s="11">
        <f t="shared" si="253"/>
        <v>912.5</v>
      </c>
      <c r="G632" s="11">
        <f>SUM(G630:G631)</f>
        <v>912.5</v>
      </c>
      <c r="H632" s="11">
        <f>SUM(H630:H631)</f>
        <v>912.5</v>
      </c>
      <c r="I632" s="11">
        <f t="shared" si="253"/>
        <v>912.5</v>
      </c>
      <c r="K632" s="4"/>
    </row>
    <row r="633" spans="1:11" x14ac:dyDescent="0.2">
      <c r="A633" s="13"/>
      <c r="B633" s="2" t="s">
        <v>11</v>
      </c>
      <c r="C633" s="12">
        <f>C627*C628</f>
        <v>-1100</v>
      </c>
      <c r="D633" s="12">
        <f t="shared" ref="D633:I633" si="254">D627*D628</f>
        <v>-1100</v>
      </c>
      <c r="E633" s="12">
        <f t="shared" si="254"/>
        <v>-1100</v>
      </c>
      <c r="F633" s="12">
        <f t="shared" si="254"/>
        <v>-1100</v>
      </c>
      <c r="G633" s="12">
        <f>G627*G628</f>
        <v>-1100</v>
      </c>
      <c r="H633" s="12">
        <f>H627*H628</f>
        <v>-1100</v>
      </c>
      <c r="I633" s="12">
        <f t="shared" si="254"/>
        <v>-1100</v>
      </c>
    </row>
    <row r="634" spans="1:11" x14ac:dyDescent="0.2">
      <c r="A634" s="14"/>
      <c r="E634" s="2"/>
      <c r="G634" s="2"/>
      <c r="H634" s="2"/>
      <c r="I634" s="2"/>
    </row>
    <row r="635" spans="1:11" s="1" customFormat="1" x14ac:dyDescent="0.2">
      <c r="A635" s="13"/>
      <c r="B635" s="1" t="s">
        <v>12</v>
      </c>
      <c r="C635" s="15">
        <f>SUM(C632:C633)</f>
        <v>-187.5</v>
      </c>
      <c r="D635" s="15">
        <f t="shared" ref="D635:I635" si="255">SUM(D632:D633)</f>
        <v>-187.5</v>
      </c>
      <c r="E635" s="15">
        <f t="shared" si="255"/>
        <v>-187.5</v>
      </c>
      <c r="F635" s="15">
        <f t="shared" si="255"/>
        <v>-187.5</v>
      </c>
      <c r="G635" s="15">
        <f>SUM(G632:G633)</f>
        <v>-187.5</v>
      </c>
      <c r="H635" s="15">
        <f>SUM(H632:H633)</f>
        <v>-187.5</v>
      </c>
      <c r="I635" s="15">
        <f t="shared" si="255"/>
        <v>-187.5</v>
      </c>
      <c r="J635" s="8"/>
    </row>
    <row r="636" spans="1:11" x14ac:dyDescent="0.2">
      <c r="A636" s="16"/>
      <c r="B636" s="27" t="s">
        <v>35</v>
      </c>
      <c r="C636" s="15">
        <f t="shared" ref="C636:I636" si="256">C635*16</f>
        <v>-3000</v>
      </c>
      <c r="D636" s="15">
        <f t="shared" si="256"/>
        <v>-3000</v>
      </c>
      <c r="E636" s="15">
        <f t="shared" si="256"/>
        <v>-3000</v>
      </c>
      <c r="F636" s="15">
        <f t="shared" si="256"/>
        <v>-3000</v>
      </c>
      <c r="G636" s="15">
        <f>G635*16</f>
        <v>-3000</v>
      </c>
      <c r="H636" s="15">
        <f>H635*16</f>
        <v>-3000</v>
      </c>
      <c r="I636" s="15">
        <f t="shared" si="256"/>
        <v>-3000</v>
      </c>
      <c r="J636" s="3">
        <f>SUM(C636:I636)</f>
        <v>-21000</v>
      </c>
    </row>
    <row r="637" spans="1:11" x14ac:dyDescent="0.2">
      <c r="A637" s="16"/>
      <c r="B637" s="27"/>
      <c r="C637" s="15"/>
      <c r="D637" s="18"/>
      <c r="E637" s="18"/>
      <c r="F637" s="18"/>
      <c r="G637" s="21"/>
      <c r="H637" s="18"/>
      <c r="I637" s="15"/>
      <c r="J637" s="3"/>
    </row>
    <row r="638" spans="1:11" x14ac:dyDescent="0.2">
      <c r="A638" s="16"/>
      <c r="B638" s="27"/>
      <c r="C638" s="15"/>
      <c r="D638" s="15"/>
      <c r="E638" s="15"/>
      <c r="F638" s="15"/>
      <c r="G638" s="15"/>
      <c r="H638" s="15"/>
      <c r="I638" s="15"/>
      <c r="J638" s="3"/>
    </row>
    <row r="639" spans="1:11" x14ac:dyDescent="0.2">
      <c r="A639" s="16"/>
      <c r="B639" s="27" t="s">
        <v>59</v>
      </c>
      <c r="C639" s="4">
        <f>SUM(C611,C627)</f>
        <v>-100</v>
      </c>
      <c r="D639" s="4">
        <f t="shared" ref="D639:I639" si="257">SUM(D611,D627)</f>
        <v>-100</v>
      </c>
      <c r="E639" s="4">
        <f t="shared" si="257"/>
        <v>-100</v>
      </c>
      <c r="F639" s="4">
        <f t="shared" si="257"/>
        <v>-100</v>
      </c>
      <c r="G639" s="4">
        <f t="shared" si="257"/>
        <v>-100</v>
      </c>
      <c r="H639" s="4">
        <f t="shared" si="257"/>
        <v>-100</v>
      </c>
      <c r="I639" s="4">
        <f t="shared" si="257"/>
        <v>-100</v>
      </c>
    </row>
    <row r="640" spans="1:11" x14ac:dyDescent="0.2">
      <c r="A640" s="16"/>
      <c r="B640" s="1"/>
      <c r="C640" s="4"/>
      <c r="D640" s="4"/>
      <c r="E640" s="4"/>
      <c r="F640" s="4"/>
    </row>
    <row r="641" spans="1:11" x14ac:dyDescent="0.2">
      <c r="A641" s="16"/>
      <c r="B641" s="1"/>
      <c r="C641" s="4"/>
      <c r="D641" s="4"/>
      <c r="E641" s="4"/>
      <c r="F641" s="4"/>
    </row>
    <row r="642" spans="1:11" s="1" customFormat="1" x14ac:dyDescent="0.2">
      <c r="A642" s="1" t="s">
        <v>1</v>
      </c>
      <c r="B642" s="26" t="s">
        <v>37</v>
      </c>
      <c r="C642" s="28">
        <v>37257</v>
      </c>
      <c r="D642" s="6">
        <v>37258</v>
      </c>
      <c r="E642" s="6">
        <v>37259</v>
      </c>
      <c r="F642" s="6">
        <v>37260</v>
      </c>
      <c r="G642" s="28">
        <v>37261</v>
      </c>
      <c r="H642" s="28">
        <v>37262</v>
      </c>
      <c r="I642" s="6">
        <v>37263</v>
      </c>
      <c r="J642" s="8"/>
      <c r="K642" s="7"/>
    </row>
    <row r="643" spans="1:11" x14ac:dyDescent="0.2">
      <c r="B643" s="1" t="s">
        <v>3</v>
      </c>
      <c r="C643" s="2">
        <v>400</v>
      </c>
      <c r="D643" s="19">
        <v>400</v>
      </c>
      <c r="E643" s="19">
        <v>400</v>
      </c>
      <c r="F643" s="19">
        <v>400</v>
      </c>
      <c r="G643" s="2">
        <v>400</v>
      </c>
      <c r="H643" s="2">
        <v>400</v>
      </c>
      <c r="I643" s="19">
        <v>400</v>
      </c>
      <c r="K643" s="4"/>
    </row>
    <row r="644" spans="1:11" x14ac:dyDescent="0.2">
      <c r="B644" s="8" t="s">
        <v>4</v>
      </c>
      <c r="C644" s="3">
        <v>31.75</v>
      </c>
      <c r="D644" s="10">
        <v>31.75</v>
      </c>
      <c r="E644" s="10">
        <v>31.75</v>
      </c>
      <c r="F644" s="10">
        <v>31.75</v>
      </c>
      <c r="G644" s="3">
        <v>31.75</v>
      </c>
      <c r="H644" s="3">
        <v>31.75</v>
      </c>
      <c r="I644" s="10">
        <v>31.75</v>
      </c>
      <c r="K644" s="4"/>
    </row>
    <row r="645" spans="1:11" x14ac:dyDescent="0.2">
      <c r="B645" s="1" t="s">
        <v>5</v>
      </c>
      <c r="C645" s="2">
        <v>100</v>
      </c>
      <c r="D645" s="19">
        <v>100</v>
      </c>
      <c r="E645" s="19">
        <v>100</v>
      </c>
      <c r="F645" s="19">
        <v>100</v>
      </c>
      <c r="G645" s="2">
        <v>100</v>
      </c>
      <c r="H645" s="2">
        <v>100</v>
      </c>
      <c r="I645" s="19">
        <v>100</v>
      </c>
      <c r="K645" s="4"/>
    </row>
    <row r="646" spans="1:11" x14ac:dyDescent="0.2">
      <c r="B646" s="8" t="s">
        <v>4</v>
      </c>
      <c r="C646" s="3">
        <v>34</v>
      </c>
      <c r="D646" s="10">
        <v>34</v>
      </c>
      <c r="E646" s="10">
        <v>34</v>
      </c>
      <c r="F646" s="10">
        <v>34</v>
      </c>
      <c r="G646" s="3">
        <v>34</v>
      </c>
      <c r="H646" s="3">
        <v>34</v>
      </c>
      <c r="I646" s="10">
        <v>34</v>
      </c>
      <c r="K646" s="4"/>
    </row>
    <row r="647" spans="1:11" x14ac:dyDescent="0.2">
      <c r="B647" s="7" t="s">
        <v>6</v>
      </c>
      <c r="C647" s="4">
        <f t="shared" ref="C647:I647" si="258">C643-C645</f>
        <v>300</v>
      </c>
      <c r="D647" s="4">
        <f t="shared" si="258"/>
        <v>300</v>
      </c>
      <c r="E647" s="4">
        <f t="shared" si="258"/>
        <v>300</v>
      </c>
      <c r="F647" s="4">
        <f t="shared" si="258"/>
        <v>300</v>
      </c>
      <c r="G647" s="4">
        <f t="shared" si="258"/>
        <v>300</v>
      </c>
      <c r="H647" s="4">
        <f t="shared" si="258"/>
        <v>300</v>
      </c>
      <c r="I647" s="4">
        <f t="shared" si="258"/>
        <v>300</v>
      </c>
      <c r="K647" s="4"/>
    </row>
    <row r="648" spans="1:11" x14ac:dyDescent="0.2">
      <c r="B648" s="9" t="s">
        <v>7</v>
      </c>
      <c r="C648" s="10">
        <v>30</v>
      </c>
      <c r="D648" s="10">
        <v>30</v>
      </c>
      <c r="E648" s="10">
        <v>30</v>
      </c>
      <c r="F648" s="10">
        <v>30</v>
      </c>
      <c r="G648" s="10">
        <v>30</v>
      </c>
      <c r="H648" s="10">
        <v>30</v>
      </c>
      <c r="I648" s="10">
        <v>30</v>
      </c>
      <c r="K648" s="4"/>
    </row>
    <row r="649" spans="1:11" x14ac:dyDescent="0.2">
      <c r="B649" s="9"/>
      <c r="C649" s="11"/>
      <c r="D649" s="19"/>
      <c r="E649" s="19"/>
      <c r="F649" s="10"/>
      <c r="G649" s="11"/>
      <c r="H649" s="11"/>
      <c r="K649" s="4"/>
    </row>
    <row r="650" spans="1:11" x14ac:dyDescent="0.2">
      <c r="B650" s="9" t="s">
        <v>8</v>
      </c>
      <c r="C650" s="12">
        <f>(C643*C644)*(-1)</f>
        <v>-12700</v>
      </c>
      <c r="D650" s="12">
        <f t="shared" ref="D650:I650" si="259">(D643*D644)*(-1)</f>
        <v>-12700</v>
      </c>
      <c r="E650" s="12">
        <f t="shared" si="259"/>
        <v>-12700</v>
      </c>
      <c r="F650" s="12">
        <f t="shared" si="259"/>
        <v>-12700</v>
      </c>
      <c r="G650" s="12">
        <f t="shared" si="259"/>
        <v>-12700</v>
      </c>
      <c r="H650" s="12">
        <f t="shared" si="259"/>
        <v>-12700</v>
      </c>
      <c r="I650" s="12">
        <f t="shared" si="259"/>
        <v>-12700</v>
      </c>
      <c r="K650" s="4"/>
    </row>
    <row r="651" spans="1:11" x14ac:dyDescent="0.2">
      <c r="B651" s="9" t="s">
        <v>9</v>
      </c>
      <c r="C651" s="11">
        <f>C645*C646</f>
        <v>3400</v>
      </c>
      <c r="D651" s="11">
        <f t="shared" ref="D651:I651" si="260">D645*D646</f>
        <v>3400</v>
      </c>
      <c r="E651" s="11">
        <f t="shared" si="260"/>
        <v>3400</v>
      </c>
      <c r="F651" s="11">
        <f t="shared" si="260"/>
        <v>3400</v>
      </c>
      <c r="G651" s="11">
        <f t="shared" si="260"/>
        <v>3400</v>
      </c>
      <c r="H651" s="11">
        <f t="shared" si="260"/>
        <v>3400</v>
      </c>
      <c r="I651" s="11">
        <f t="shared" si="260"/>
        <v>3400</v>
      </c>
      <c r="K651" s="4"/>
    </row>
    <row r="652" spans="1:11" x14ac:dyDescent="0.2">
      <c r="B652" s="7" t="s">
        <v>10</v>
      </c>
      <c r="C652" s="11">
        <f>SUM(C650:C651)</f>
        <v>-9300</v>
      </c>
      <c r="D652" s="11">
        <f t="shared" ref="D652:I652" si="261">SUM(D650:D651)</f>
        <v>-9300</v>
      </c>
      <c r="E652" s="11">
        <f t="shared" si="261"/>
        <v>-9300</v>
      </c>
      <c r="F652" s="11">
        <f t="shared" si="261"/>
        <v>-9300</v>
      </c>
      <c r="G652" s="11">
        <f>SUM(G650:G651)</f>
        <v>-9300</v>
      </c>
      <c r="H652" s="11">
        <f>SUM(H650:H651)</f>
        <v>-9300</v>
      </c>
      <c r="I652" s="11">
        <f t="shared" si="261"/>
        <v>-9300</v>
      </c>
      <c r="K652" s="4"/>
    </row>
    <row r="653" spans="1:11" x14ac:dyDescent="0.2">
      <c r="A653" s="13"/>
      <c r="B653" s="2" t="s">
        <v>11</v>
      </c>
      <c r="C653" s="12">
        <f>C647*C648</f>
        <v>9000</v>
      </c>
      <c r="D653" s="12">
        <f t="shared" ref="D653:I653" si="262">D647*D648</f>
        <v>9000</v>
      </c>
      <c r="E653" s="12">
        <f t="shared" si="262"/>
        <v>9000</v>
      </c>
      <c r="F653" s="12">
        <f t="shared" si="262"/>
        <v>9000</v>
      </c>
      <c r="G653" s="12">
        <f t="shared" si="262"/>
        <v>9000</v>
      </c>
      <c r="H653" s="12">
        <f t="shared" si="262"/>
        <v>9000</v>
      </c>
      <c r="I653" s="12">
        <f t="shared" si="262"/>
        <v>9000</v>
      </c>
    </row>
    <row r="654" spans="1:11" x14ac:dyDescent="0.2">
      <c r="A654" s="14"/>
      <c r="E654" s="2"/>
      <c r="G654" s="2"/>
      <c r="H654" s="2"/>
      <c r="I654" s="2"/>
    </row>
    <row r="655" spans="1:11" s="1" customFormat="1" x14ac:dyDescent="0.2">
      <c r="A655" s="13"/>
      <c r="B655" s="1" t="s">
        <v>12</v>
      </c>
      <c r="C655" s="15">
        <f>SUM(C652:C653)</f>
        <v>-300</v>
      </c>
      <c r="D655" s="15">
        <f t="shared" ref="D655:I655" si="263">SUM(D652:D653)</f>
        <v>-300</v>
      </c>
      <c r="E655" s="15">
        <f t="shared" si="263"/>
        <v>-300</v>
      </c>
      <c r="F655" s="15">
        <f t="shared" si="263"/>
        <v>-300</v>
      </c>
      <c r="G655" s="15">
        <f t="shared" si="263"/>
        <v>-300</v>
      </c>
      <c r="H655" s="15">
        <f t="shared" si="263"/>
        <v>-300</v>
      </c>
      <c r="I655" s="15">
        <f t="shared" si="263"/>
        <v>-300</v>
      </c>
      <c r="J655" s="8"/>
    </row>
    <row r="656" spans="1:11" x14ac:dyDescent="0.2">
      <c r="A656" s="16"/>
      <c r="B656" s="27" t="s">
        <v>35</v>
      </c>
      <c r="C656" s="15">
        <f>C655*16</f>
        <v>-4800</v>
      </c>
      <c r="D656" s="15">
        <f t="shared" ref="D656:I656" si="264">D655*16</f>
        <v>-4800</v>
      </c>
      <c r="E656" s="15">
        <f t="shared" si="264"/>
        <v>-4800</v>
      </c>
      <c r="F656" s="15">
        <f t="shared" si="264"/>
        <v>-4800</v>
      </c>
      <c r="G656" s="15">
        <f>G655*16</f>
        <v>-4800</v>
      </c>
      <c r="H656" s="15">
        <f>H655*16</f>
        <v>-4800</v>
      </c>
      <c r="I656" s="15">
        <f t="shared" si="264"/>
        <v>-4800</v>
      </c>
      <c r="J656" s="3">
        <f>SUM(C656:I656)</f>
        <v>-33600</v>
      </c>
    </row>
    <row r="657" spans="1:11" x14ac:dyDescent="0.2">
      <c r="G657" s="21"/>
      <c r="H657" s="21"/>
    </row>
    <row r="659" spans="1:11" s="1" customFormat="1" x14ac:dyDescent="0.2">
      <c r="A659" s="1" t="s">
        <v>21</v>
      </c>
      <c r="B659" s="5" t="s">
        <v>36</v>
      </c>
      <c r="C659" s="28">
        <v>37257</v>
      </c>
      <c r="D659" s="6">
        <v>37258</v>
      </c>
      <c r="E659" s="6">
        <v>37259</v>
      </c>
      <c r="F659" s="6">
        <v>37260</v>
      </c>
      <c r="G659" s="28">
        <v>37261</v>
      </c>
      <c r="H659" s="28">
        <v>37262</v>
      </c>
      <c r="I659" s="6">
        <v>37263</v>
      </c>
      <c r="J659" s="8"/>
      <c r="K659" s="7"/>
    </row>
    <row r="660" spans="1:11" x14ac:dyDescent="0.2">
      <c r="B660" s="1" t="s">
        <v>3</v>
      </c>
      <c r="C660" s="2">
        <v>150</v>
      </c>
      <c r="D660" s="19">
        <v>150</v>
      </c>
      <c r="E660" s="19">
        <v>150</v>
      </c>
      <c r="F660" s="19">
        <v>150</v>
      </c>
      <c r="G660" s="2">
        <v>150</v>
      </c>
      <c r="H660" s="2">
        <v>150</v>
      </c>
      <c r="I660" s="19">
        <v>150</v>
      </c>
      <c r="K660" s="4"/>
    </row>
    <row r="661" spans="1:11" x14ac:dyDescent="0.2">
      <c r="B661" s="8" t="s">
        <v>4</v>
      </c>
      <c r="C661" s="3">
        <v>30.82</v>
      </c>
      <c r="D661" s="10">
        <v>30.82</v>
      </c>
      <c r="E661" s="10">
        <v>30.82</v>
      </c>
      <c r="F661" s="10">
        <v>30.82</v>
      </c>
      <c r="G661" s="3">
        <v>30.82</v>
      </c>
      <c r="H661" s="3">
        <v>30.82</v>
      </c>
      <c r="I661" s="10">
        <v>30.82</v>
      </c>
      <c r="K661" s="4"/>
    </row>
    <row r="662" spans="1:11" x14ac:dyDescent="0.2">
      <c r="B662" s="1" t="s">
        <v>5</v>
      </c>
      <c r="C662" s="2">
        <v>150</v>
      </c>
      <c r="D662" s="19">
        <v>150</v>
      </c>
      <c r="E662" s="19">
        <v>150</v>
      </c>
      <c r="F662" s="19">
        <v>150</v>
      </c>
      <c r="G662" s="2">
        <v>150</v>
      </c>
      <c r="H662" s="2">
        <v>150</v>
      </c>
      <c r="I662" s="19">
        <v>150</v>
      </c>
      <c r="K662" s="4"/>
    </row>
    <row r="663" spans="1:11" x14ac:dyDescent="0.2">
      <c r="B663" s="8" t="s">
        <v>4</v>
      </c>
      <c r="C663" s="3">
        <v>40.130000000000003</v>
      </c>
      <c r="D663" s="10">
        <v>40.130000000000003</v>
      </c>
      <c r="E663" s="10">
        <v>40.130000000000003</v>
      </c>
      <c r="F663" s="10">
        <v>40.130000000000003</v>
      </c>
      <c r="G663" s="3">
        <v>40.130000000000003</v>
      </c>
      <c r="H663" s="3">
        <v>40.130000000000003</v>
      </c>
      <c r="I663" s="10">
        <v>40.130000000000003</v>
      </c>
      <c r="K663" s="4"/>
    </row>
    <row r="664" spans="1:11" x14ac:dyDescent="0.2">
      <c r="B664" s="7" t="s">
        <v>6</v>
      </c>
      <c r="C664" s="4">
        <f t="shared" ref="C664:I664" si="265">C660-C662</f>
        <v>0</v>
      </c>
      <c r="D664" s="4">
        <f t="shared" si="265"/>
        <v>0</v>
      </c>
      <c r="E664" s="4">
        <f t="shared" si="265"/>
        <v>0</v>
      </c>
      <c r="F664" s="4">
        <f t="shared" si="265"/>
        <v>0</v>
      </c>
      <c r="G664" s="4">
        <f t="shared" si="265"/>
        <v>0</v>
      </c>
      <c r="H664" s="4">
        <f t="shared" si="265"/>
        <v>0</v>
      </c>
      <c r="I664" s="4">
        <f t="shared" si="265"/>
        <v>0</v>
      </c>
      <c r="K664" s="4"/>
    </row>
    <row r="665" spans="1:11" x14ac:dyDescent="0.2">
      <c r="B665" s="9" t="s">
        <v>7</v>
      </c>
      <c r="C665" s="10">
        <v>30</v>
      </c>
      <c r="D665" s="10">
        <v>30</v>
      </c>
      <c r="E665" s="10">
        <v>30</v>
      </c>
      <c r="F665" s="10">
        <v>30</v>
      </c>
      <c r="G665" s="10">
        <v>30</v>
      </c>
      <c r="H665" s="10">
        <v>30</v>
      </c>
      <c r="I665" s="10">
        <v>30</v>
      </c>
      <c r="K665" s="4"/>
    </row>
    <row r="666" spans="1:11" x14ac:dyDescent="0.2">
      <c r="B666" s="9"/>
      <c r="C666" s="11"/>
      <c r="D666" s="19"/>
      <c r="E666" s="19"/>
      <c r="F666" s="10"/>
      <c r="G666" s="11"/>
      <c r="H666" s="11"/>
      <c r="K666" s="4"/>
    </row>
    <row r="667" spans="1:11" x14ac:dyDescent="0.2">
      <c r="B667" s="9" t="s">
        <v>8</v>
      </c>
      <c r="C667" s="12">
        <f>(C660*C661)*(-1)</f>
        <v>-4623</v>
      </c>
      <c r="D667" s="12">
        <f t="shared" ref="D667:I667" si="266">(D660*D661)*(-1)</f>
        <v>-4623</v>
      </c>
      <c r="E667" s="12">
        <f t="shared" si="266"/>
        <v>-4623</v>
      </c>
      <c r="F667" s="12">
        <f t="shared" si="266"/>
        <v>-4623</v>
      </c>
      <c r="G667" s="12">
        <f t="shared" si="266"/>
        <v>-4623</v>
      </c>
      <c r="H667" s="12">
        <f t="shared" si="266"/>
        <v>-4623</v>
      </c>
      <c r="I667" s="12">
        <f t="shared" si="266"/>
        <v>-4623</v>
      </c>
      <c r="K667" s="4"/>
    </row>
    <row r="668" spans="1:11" x14ac:dyDescent="0.2">
      <c r="B668" s="9" t="s">
        <v>9</v>
      </c>
      <c r="C668" s="11">
        <f>C662*C663</f>
        <v>6019.5</v>
      </c>
      <c r="D668" s="11">
        <f t="shared" ref="D668:I668" si="267">D662*D663</f>
        <v>6019.5</v>
      </c>
      <c r="E668" s="11">
        <f t="shared" si="267"/>
        <v>6019.5</v>
      </c>
      <c r="F668" s="11">
        <f t="shared" si="267"/>
        <v>6019.5</v>
      </c>
      <c r="G668" s="11">
        <f t="shared" si="267"/>
        <v>6019.5</v>
      </c>
      <c r="H668" s="11">
        <f t="shared" si="267"/>
        <v>6019.5</v>
      </c>
      <c r="I668" s="11">
        <f t="shared" si="267"/>
        <v>6019.5</v>
      </c>
      <c r="K668" s="4"/>
    </row>
    <row r="669" spans="1:11" x14ac:dyDescent="0.2">
      <c r="B669" s="7" t="s">
        <v>10</v>
      </c>
      <c r="C669" s="11">
        <f>SUM(C667:C668)</f>
        <v>1396.5</v>
      </c>
      <c r="D669" s="11">
        <f t="shared" ref="D669:I669" si="268">SUM(D667:D668)</f>
        <v>1396.5</v>
      </c>
      <c r="E669" s="11">
        <f t="shared" si="268"/>
        <v>1396.5</v>
      </c>
      <c r="F669" s="11">
        <f t="shared" si="268"/>
        <v>1396.5</v>
      </c>
      <c r="G669" s="11">
        <f>SUM(G667:G668)</f>
        <v>1396.5</v>
      </c>
      <c r="H669" s="11">
        <f>SUM(H667:H668)</f>
        <v>1396.5</v>
      </c>
      <c r="I669" s="11">
        <f t="shared" si="268"/>
        <v>1396.5</v>
      </c>
      <c r="K669" s="4"/>
    </row>
    <row r="670" spans="1:11" x14ac:dyDescent="0.2">
      <c r="A670" s="13"/>
      <c r="B670" s="2" t="s">
        <v>11</v>
      </c>
      <c r="C670" s="12">
        <f>C664*C665</f>
        <v>0</v>
      </c>
      <c r="D670" s="12">
        <f t="shared" ref="D670:I670" si="269">D664*D665</f>
        <v>0</v>
      </c>
      <c r="E670" s="12">
        <f t="shared" si="269"/>
        <v>0</v>
      </c>
      <c r="F670" s="12">
        <f t="shared" si="269"/>
        <v>0</v>
      </c>
      <c r="G670" s="12">
        <f t="shared" si="269"/>
        <v>0</v>
      </c>
      <c r="H670" s="12">
        <f t="shared" si="269"/>
        <v>0</v>
      </c>
      <c r="I670" s="12">
        <f t="shared" si="269"/>
        <v>0</v>
      </c>
    </row>
    <row r="671" spans="1:11" x14ac:dyDescent="0.2">
      <c r="A671" s="14"/>
      <c r="E671" s="2"/>
      <c r="G671" s="2"/>
      <c r="H671" s="2"/>
      <c r="I671" s="2"/>
    </row>
    <row r="672" spans="1:11" s="1" customFormat="1" x14ac:dyDescent="0.2">
      <c r="A672" s="13"/>
      <c r="B672" s="1" t="s">
        <v>12</v>
      </c>
      <c r="C672" s="15">
        <f>SUM(C669:C670)</f>
        <v>1396.5</v>
      </c>
      <c r="D672" s="15">
        <f t="shared" ref="D672:I672" si="270">SUM(D669:D670)</f>
        <v>1396.5</v>
      </c>
      <c r="E672" s="15">
        <f t="shared" si="270"/>
        <v>1396.5</v>
      </c>
      <c r="F672" s="15">
        <f t="shared" si="270"/>
        <v>1396.5</v>
      </c>
      <c r="G672" s="15">
        <f t="shared" si="270"/>
        <v>1396.5</v>
      </c>
      <c r="H672" s="15">
        <f t="shared" si="270"/>
        <v>1396.5</v>
      </c>
      <c r="I672" s="15">
        <f t="shared" si="270"/>
        <v>1396.5</v>
      </c>
      <c r="J672" s="8"/>
    </row>
    <row r="673" spans="1:11" x14ac:dyDescent="0.2">
      <c r="A673" s="16"/>
      <c r="B673" s="27" t="s">
        <v>35</v>
      </c>
      <c r="C673" s="15">
        <f>C672*16</f>
        <v>22344</v>
      </c>
      <c r="D673" s="15">
        <f t="shared" ref="D673:I673" si="271">D672*16</f>
        <v>22344</v>
      </c>
      <c r="E673" s="15">
        <f t="shared" si="271"/>
        <v>22344</v>
      </c>
      <c r="F673" s="15">
        <f t="shared" si="271"/>
        <v>22344</v>
      </c>
      <c r="G673" s="15">
        <f>G672*16</f>
        <v>22344</v>
      </c>
      <c r="H673" s="15">
        <f>H672*16</f>
        <v>22344</v>
      </c>
      <c r="I673" s="15">
        <f t="shared" si="271"/>
        <v>22344</v>
      </c>
      <c r="J673" s="3">
        <f>SUM(C673:I673)</f>
        <v>156408</v>
      </c>
    </row>
    <row r="676" spans="1:11" s="1" customFormat="1" x14ac:dyDescent="0.2">
      <c r="A676" s="1" t="s">
        <v>17</v>
      </c>
      <c r="B676" s="5" t="s">
        <v>36</v>
      </c>
      <c r="C676" s="28">
        <v>37257</v>
      </c>
      <c r="D676" s="6">
        <v>37258</v>
      </c>
      <c r="E676" s="6">
        <v>37259</v>
      </c>
      <c r="F676" s="6">
        <v>37260</v>
      </c>
      <c r="G676" s="28">
        <v>37261</v>
      </c>
      <c r="H676" s="28">
        <v>37262</v>
      </c>
      <c r="I676" s="6">
        <v>37263</v>
      </c>
      <c r="J676" s="8"/>
      <c r="K676" s="7"/>
    </row>
    <row r="677" spans="1:11" x14ac:dyDescent="0.2">
      <c r="B677" s="1" t="s">
        <v>3</v>
      </c>
      <c r="D677" s="19">
        <v>0</v>
      </c>
      <c r="E677" s="19">
        <v>0</v>
      </c>
      <c r="F677" s="19">
        <v>0</v>
      </c>
      <c r="G677" s="2"/>
      <c r="H677" s="2"/>
      <c r="I677" s="19">
        <v>0</v>
      </c>
      <c r="K677" s="4"/>
    </row>
    <row r="678" spans="1:11" x14ac:dyDescent="0.2">
      <c r="B678" s="8" t="s">
        <v>4</v>
      </c>
      <c r="C678" s="3">
        <v>0</v>
      </c>
      <c r="D678" s="10">
        <v>0</v>
      </c>
      <c r="E678" s="10">
        <v>0</v>
      </c>
      <c r="F678" s="10">
        <v>0</v>
      </c>
      <c r="G678" s="3">
        <v>0</v>
      </c>
      <c r="H678" s="3">
        <v>0</v>
      </c>
      <c r="I678" s="10">
        <v>0</v>
      </c>
      <c r="K678" s="4"/>
    </row>
    <row r="679" spans="1:11" x14ac:dyDescent="0.2">
      <c r="B679" s="1" t="s">
        <v>5</v>
      </c>
      <c r="C679" s="2">
        <v>350</v>
      </c>
      <c r="D679" s="19">
        <v>350</v>
      </c>
      <c r="E679" s="19">
        <v>350</v>
      </c>
      <c r="F679" s="19">
        <v>350</v>
      </c>
      <c r="G679" s="2">
        <v>350</v>
      </c>
      <c r="H679" s="2">
        <v>350</v>
      </c>
      <c r="I679" s="19">
        <v>350</v>
      </c>
      <c r="K679" s="4"/>
    </row>
    <row r="680" spans="1:11" x14ac:dyDescent="0.2">
      <c r="B680" s="8" t="s">
        <v>4</v>
      </c>
      <c r="C680" s="3">
        <v>30.49</v>
      </c>
      <c r="D680" s="10">
        <v>30.49</v>
      </c>
      <c r="E680" s="10">
        <v>30.49</v>
      </c>
      <c r="F680" s="10">
        <v>30.49</v>
      </c>
      <c r="G680" s="3">
        <v>30.49</v>
      </c>
      <c r="H680" s="3">
        <v>30.49</v>
      </c>
      <c r="I680" s="10">
        <v>30.49</v>
      </c>
      <c r="K680" s="4"/>
    </row>
    <row r="681" spans="1:11" x14ac:dyDescent="0.2">
      <c r="B681" s="7" t="s">
        <v>6</v>
      </c>
      <c r="C681" s="4">
        <f t="shared" ref="C681:I681" si="272">C677-C679</f>
        <v>-350</v>
      </c>
      <c r="D681" s="4">
        <f t="shared" si="272"/>
        <v>-350</v>
      </c>
      <c r="E681" s="21">
        <f t="shared" si="272"/>
        <v>-350</v>
      </c>
      <c r="F681" s="21">
        <f t="shared" si="272"/>
        <v>-350</v>
      </c>
      <c r="G681" s="4">
        <f t="shared" si="272"/>
        <v>-350</v>
      </c>
      <c r="H681" s="4">
        <f t="shared" si="272"/>
        <v>-350</v>
      </c>
      <c r="I681" s="4">
        <f t="shared" si="272"/>
        <v>-350</v>
      </c>
      <c r="K681" s="4"/>
    </row>
    <row r="682" spans="1:11" x14ac:dyDescent="0.2">
      <c r="B682" s="9" t="s">
        <v>7</v>
      </c>
      <c r="C682" s="10">
        <v>30</v>
      </c>
      <c r="D682" s="10">
        <v>30</v>
      </c>
      <c r="E682" s="10">
        <v>30</v>
      </c>
      <c r="F682" s="10">
        <v>30</v>
      </c>
      <c r="G682" s="10">
        <v>30</v>
      </c>
      <c r="H682" s="10">
        <v>30</v>
      </c>
      <c r="I682" s="10">
        <v>30</v>
      </c>
      <c r="K682" s="4"/>
    </row>
    <row r="683" spans="1:11" x14ac:dyDescent="0.2">
      <c r="B683" s="9"/>
      <c r="C683" s="11"/>
      <c r="D683" s="19"/>
      <c r="E683" s="19"/>
      <c r="F683" s="10"/>
      <c r="G683" s="11"/>
      <c r="H683" s="11"/>
      <c r="K683" s="4"/>
    </row>
    <row r="684" spans="1:11" x14ac:dyDescent="0.2">
      <c r="B684" s="9" t="s">
        <v>8</v>
      </c>
      <c r="C684" s="12">
        <f>(C677*C678)*(-1)</f>
        <v>0</v>
      </c>
      <c r="D684" s="12">
        <f t="shared" ref="D684:I684" si="273">(D677*D678)*(-1)</f>
        <v>0</v>
      </c>
      <c r="E684" s="12">
        <f t="shared" si="273"/>
        <v>0</v>
      </c>
      <c r="F684" s="12">
        <f t="shared" si="273"/>
        <v>0</v>
      </c>
      <c r="G684" s="12">
        <f t="shared" si="273"/>
        <v>0</v>
      </c>
      <c r="H684" s="12">
        <f t="shared" si="273"/>
        <v>0</v>
      </c>
      <c r="I684" s="12">
        <f t="shared" si="273"/>
        <v>0</v>
      </c>
      <c r="K684" s="4"/>
    </row>
    <row r="685" spans="1:11" x14ac:dyDescent="0.2">
      <c r="B685" s="9" t="s">
        <v>9</v>
      </c>
      <c r="C685" s="11">
        <f>C679*C680</f>
        <v>10671.5</v>
      </c>
      <c r="D685" s="11">
        <f t="shared" ref="D685:I685" si="274">D679*D680</f>
        <v>10671.5</v>
      </c>
      <c r="E685" s="11">
        <f t="shared" si="274"/>
        <v>10671.5</v>
      </c>
      <c r="F685" s="11">
        <f t="shared" si="274"/>
        <v>10671.5</v>
      </c>
      <c r="G685" s="11">
        <f t="shared" si="274"/>
        <v>10671.5</v>
      </c>
      <c r="H685" s="11">
        <f t="shared" si="274"/>
        <v>10671.5</v>
      </c>
      <c r="I685" s="11">
        <f t="shared" si="274"/>
        <v>10671.5</v>
      </c>
      <c r="K685" s="4"/>
    </row>
    <row r="686" spans="1:11" x14ac:dyDescent="0.2">
      <c r="B686" s="7" t="s">
        <v>10</v>
      </c>
      <c r="C686" s="11">
        <f>SUM(C684:C685)</f>
        <v>10671.5</v>
      </c>
      <c r="D686" s="11">
        <f t="shared" ref="D686:I686" si="275">SUM(D684:D685)</f>
        <v>10671.5</v>
      </c>
      <c r="E686" s="11">
        <f t="shared" si="275"/>
        <v>10671.5</v>
      </c>
      <c r="F686" s="11">
        <f t="shared" si="275"/>
        <v>10671.5</v>
      </c>
      <c r="G686" s="11">
        <f>SUM(G684:G685)</f>
        <v>10671.5</v>
      </c>
      <c r="H686" s="11">
        <f>SUM(H684:H685)</f>
        <v>10671.5</v>
      </c>
      <c r="I686" s="11">
        <f t="shared" si="275"/>
        <v>10671.5</v>
      </c>
      <c r="K686" s="4"/>
    </row>
    <row r="687" spans="1:11" x14ac:dyDescent="0.2">
      <c r="A687" s="13"/>
      <c r="B687" s="2" t="s">
        <v>11</v>
      </c>
      <c r="C687" s="12">
        <f>C681*C682</f>
        <v>-10500</v>
      </c>
      <c r="D687" s="12">
        <f t="shared" ref="D687:I687" si="276">D681*D682</f>
        <v>-10500</v>
      </c>
      <c r="E687" s="12">
        <f t="shared" si="276"/>
        <v>-10500</v>
      </c>
      <c r="F687" s="12">
        <f t="shared" si="276"/>
        <v>-10500</v>
      </c>
      <c r="G687" s="12">
        <f t="shared" si="276"/>
        <v>-10500</v>
      </c>
      <c r="H687" s="12">
        <f t="shared" si="276"/>
        <v>-10500</v>
      </c>
      <c r="I687" s="12">
        <f t="shared" si="276"/>
        <v>-10500</v>
      </c>
    </row>
    <row r="688" spans="1:11" x14ac:dyDescent="0.2">
      <c r="A688" s="14"/>
      <c r="E688" s="2"/>
      <c r="G688" s="2"/>
      <c r="H688" s="2"/>
      <c r="I688" s="2"/>
    </row>
    <row r="689" spans="1:11" s="1" customFormat="1" x14ac:dyDescent="0.2">
      <c r="A689" s="13"/>
      <c r="B689" s="1" t="s">
        <v>12</v>
      </c>
      <c r="C689" s="15">
        <f>SUM(C686:C687)</f>
        <v>171.5</v>
      </c>
      <c r="D689" s="15">
        <f t="shared" ref="D689:I689" si="277">SUM(D686:D687)</f>
        <v>171.5</v>
      </c>
      <c r="E689" s="15">
        <f t="shared" si="277"/>
        <v>171.5</v>
      </c>
      <c r="F689" s="15">
        <f t="shared" si="277"/>
        <v>171.5</v>
      </c>
      <c r="G689" s="15">
        <f t="shared" si="277"/>
        <v>171.5</v>
      </c>
      <c r="H689" s="15">
        <f t="shared" si="277"/>
        <v>171.5</v>
      </c>
      <c r="I689" s="15">
        <f t="shared" si="277"/>
        <v>171.5</v>
      </c>
      <c r="J689" s="8"/>
    </row>
    <row r="690" spans="1:11" x14ac:dyDescent="0.2">
      <c r="A690" s="16"/>
      <c r="B690" s="27" t="s">
        <v>35</v>
      </c>
      <c r="C690" s="15">
        <f>C689*16</f>
        <v>2744</v>
      </c>
      <c r="D690" s="15">
        <f t="shared" ref="D690:I690" si="278">D689*16</f>
        <v>2744</v>
      </c>
      <c r="E690" s="15">
        <f t="shared" si="278"/>
        <v>2744</v>
      </c>
      <c r="F690" s="15">
        <f t="shared" si="278"/>
        <v>2744</v>
      </c>
      <c r="G690" s="15">
        <f>G689*16</f>
        <v>2744</v>
      </c>
      <c r="H690" s="15">
        <f>H689*16</f>
        <v>2744</v>
      </c>
      <c r="I690" s="15">
        <f t="shared" si="278"/>
        <v>2744</v>
      </c>
      <c r="J690" s="3">
        <f>SUM(C690:I690)</f>
        <v>19208</v>
      </c>
    </row>
    <row r="693" spans="1:11" s="1" customFormat="1" x14ac:dyDescent="0.2">
      <c r="A693" s="1" t="s">
        <v>45</v>
      </c>
      <c r="B693" s="5" t="s">
        <v>36</v>
      </c>
      <c r="C693" s="28">
        <v>37257</v>
      </c>
      <c r="D693" s="6">
        <v>37258</v>
      </c>
      <c r="E693" s="6">
        <v>37259</v>
      </c>
      <c r="F693" s="6">
        <v>37260</v>
      </c>
      <c r="G693" s="28">
        <v>37261</v>
      </c>
      <c r="H693" s="28">
        <v>37262</v>
      </c>
      <c r="I693" s="6">
        <v>37263</v>
      </c>
      <c r="J693" s="8"/>
      <c r="K693" s="7"/>
    </row>
    <row r="694" spans="1:11" x14ac:dyDescent="0.2">
      <c r="B694" s="1" t="s">
        <v>3</v>
      </c>
      <c r="C694" s="19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0</v>
      </c>
      <c r="K694" s="4"/>
    </row>
    <row r="695" spans="1:11" x14ac:dyDescent="0.2">
      <c r="B695" s="8" t="s">
        <v>4</v>
      </c>
      <c r="C695" s="10">
        <v>0</v>
      </c>
      <c r="D695" s="10">
        <v>0</v>
      </c>
      <c r="E695" s="10">
        <v>0</v>
      </c>
      <c r="F695" s="10">
        <v>0</v>
      </c>
      <c r="G695" s="10">
        <v>0</v>
      </c>
      <c r="H695" s="10">
        <v>0</v>
      </c>
      <c r="I695" s="10">
        <v>0</v>
      </c>
      <c r="K695" s="4"/>
    </row>
    <row r="696" spans="1:11" x14ac:dyDescent="0.2">
      <c r="B696" s="1" t="s">
        <v>5</v>
      </c>
      <c r="C696" s="19">
        <v>25</v>
      </c>
      <c r="D696" s="19">
        <v>25</v>
      </c>
      <c r="E696" s="19">
        <v>25</v>
      </c>
      <c r="F696" s="19">
        <v>25</v>
      </c>
      <c r="G696" s="19">
        <v>25</v>
      </c>
      <c r="H696" s="19">
        <v>25</v>
      </c>
      <c r="I696" s="19">
        <v>25</v>
      </c>
      <c r="K696" s="4"/>
    </row>
    <row r="697" spans="1:11" x14ac:dyDescent="0.2">
      <c r="B697" s="8" t="s">
        <v>4</v>
      </c>
      <c r="C697" s="10">
        <v>38.450000000000003</v>
      </c>
      <c r="D697" s="10">
        <v>38.450000000000003</v>
      </c>
      <c r="E697" s="10">
        <v>38.450000000000003</v>
      </c>
      <c r="F697" s="10">
        <v>38.450000000000003</v>
      </c>
      <c r="G697" s="10">
        <v>38.450000000000003</v>
      </c>
      <c r="H697" s="10">
        <v>38.450000000000003</v>
      </c>
      <c r="I697" s="10">
        <v>38.450000000000003</v>
      </c>
      <c r="K697" s="4"/>
    </row>
    <row r="698" spans="1:11" x14ac:dyDescent="0.2">
      <c r="B698" s="7" t="s">
        <v>6</v>
      </c>
      <c r="C698" s="4">
        <f t="shared" ref="C698:I698" si="279">C694-C696</f>
        <v>-25</v>
      </c>
      <c r="D698" s="4">
        <f t="shared" si="279"/>
        <v>-25</v>
      </c>
      <c r="E698" s="4">
        <f t="shared" si="279"/>
        <v>-25</v>
      </c>
      <c r="F698" s="4">
        <f t="shared" si="279"/>
        <v>-25</v>
      </c>
      <c r="G698" s="4">
        <f t="shared" si="279"/>
        <v>-25</v>
      </c>
      <c r="H698" s="4">
        <f t="shared" si="279"/>
        <v>-25</v>
      </c>
      <c r="I698" s="4">
        <f t="shared" si="279"/>
        <v>-25</v>
      </c>
      <c r="K698" s="4"/>
    </row>
    <row r="699" spans="1:11" x14ac:dyDescent="0.2">
      <c r="B699" s="9" t="s">
        <v>7</v>
      </c>
      <c r="C699" s="10">
        <v>30</v>
      </c>
      <c r="D699" s="10">
        <v>30</v>
      </c>
      <c r="E699" s="10">
        <v>30</v>
      </c>
      <c r="F699" s="10">
        <v>30</v>
      </c>
      <c r="G699" s="10">
        <v>30</v>
      </c>
      <c r="H699" s="10">
        <v>30</v>
      </c>
      <c r="I699" s="10">
        <v>30</v>
      </c>
      <c r="K699" s="4"/>
    </row>
    <row r="700" spans="1:11" x14ac:dyDescent="0.2">
      <c r="B700" s="9"/>
      <c r="C700" s="19"/>
      <c r="D700" s="19"/>
      <c r="E700" s="19"/>
      <c r="F700" s="10"/>
      <c r="G700" s="19"/>
      <c r="H700" s="19"/>
      <c r="K700" s="4"/>
    </row>
    <row r="701" spans="1:11" x14ac:dyDescent="0.2">
      <c r="B701" s="9" t="s">
        <v>8</v>
      </c>
      <c r="C701" s="12">
        <f>(C694*C695)*(-1)</f>
        <v>0</v>
      </c>
      <c r="D701" s="12">
        <f t="shared" ref="D701:I701" si="280">(D694*D695)*(-1)</f>
        <v>0</v>
      </c>
      <c r="E701" s="12">
        <f t="shared" si="280"/>
        <v>0</v>
      </c>
      <c r="F701" s="12">
        <f t="shared" si="280"/>
        <v>0</v>
      </c>
      <c r="G701" s="12">
        <f>(G694*G695)*(-1)</f>
        <v>0</v>
      </c>
      <c r="H701" s="12">
        <f>(H694*H695)*(-1)</f>
        <v>0</v>
      </c>
      <c r="I701" s="12">
        <f t="shared" si="280"/>
        <v>0</v>
      </c>
      <c r="K701" s="4"/>
    </row>
    <row r="702" spans="1:11" x14ac:dyDescent="0.2">
      <c r="B702" s="9" t="s">
        <v>9</v>
      </c>
      <c r="C702" s="11">
        <f>C696*C697</f>
        <v>961.25000000000011</v>
      </c>
      <c r="D702" s="11">
        <f t="shared" ref="D702:I702" si="281">D696*D697</f>
        <v>961.25000000000011</v>
      </c>
      <c r="E702" s="11">
        <f t="shared" si="281"/>
        <v>961.25000000000011</v>
      </c>
      <c r="F702" s="11">
        <f t="shared" si="281"/>
        <v>961.25000000000011</v>
      </c>
      <c r="G702" s="11">
        <f>G696*G697</f>
        <v>961.25000000000011</v>
      </c>
      <c r="H702" s="11">
        <f>H696*H697</f>
        <v>961.25000000000011</v>
      </c>
      <c r="I702" s="11">
        <f t="shared" si="281"/>
        <v>961.25000000000011</v>
      </c>
      <c r="K702" s="4"/>
    </row>
    <row r="703" spans="1:11" x14ac:dyDescent="0.2">
      <c r="B703" s="7" t="s">
        <v>10</v>
      </c>
      <c r="C703" s="11">
        <f t="shared" ref="C703:I703" si="282">SUM(C701:C702)</f>
        <v>961.25000000000011</v>
      </c>
      <c r="D703" s="11">
        <f t="shared" si="282"/>
        <v>961.25000000000011</v>
      </c>
      <c r="E703" s="11">
        <f t="shared" si="282"/>
        <v>961.25000000000011</v>
      </c>
      <c r="F703" s="11">
        <f t="shared" si="282"/>
        <v>961.25000000000011</v>
      </c>
      <c r="G703" s="11">
        <f>SUM(G701:G702)</f>
        <v>961.25000000000011</v>
      </c>
      <c r="H703" s="11">
        <f>SUM(H701:H702)</f>
        <v>961.25000000000011</v>
      </c>
      <c r="I703" s="11">
        <f t="shared" si="282"/>
        <v>961.25000000000011</v>
      </c>
      <c r="K703" s="4"/>
    </row>
    <row r="704" spans="1:11" x14ac:dyDescent="0.2">
      <c r="A704" s="13"/>
      <c r="B704" s="2" t="s">
        <v>11</v>
      </c>
      <c r="C704" s="12">
        <f>C698*C699</f>
        <v>-750</v>
      </c>
      <c r="D704" s="12">
        <f t="shared" ref="D704:I704" si="283">D698*D699</f>
        <v>-750</v>
      </c>
      <c r="E704" s="12">
        <f t="shared" si="283"/>
        <v>-750</v>
      </c>
      <c r="F704" s="12">
        <f t="shared" si="283"/>
        <v>-750</v>
      </c>
      <c r="G704" s="12">
        <f>G698*G699</f>
        <v>-750</v>
      </c>
      <c r="H704" s="12">
        <f>H698*H699</f>
        <v>-750</v>
      </c>
      <c r="I704" s="12">
        <f t="shared" si="283"/>
        <v>-750</v>
      </c>
    </row>
    <row r="705" spans="1:10" x14ac:dyDescent="0.2">
      <c r="A705" s="14"/>
      <c r="E705" s="2"/>
      <c r="G705" s="2"/>
      <c r="H705" s="2"/>
      <c r="I705" s="2"/>
    </row>
    <row r="706" spans="1:10" s="1" customFormat="1" x14ac:dyDescent="0.2">
      <c r="A706" s="13"/>
      <c r="B706" s="1" t="s">
        <v>12</v>
      </c>
      <c r="C706" s="15">
        <f>SUM(C703:C704)</f>
        <v>211.25000000000011</v>
      </c>
      <c r="D706" s="15">
        <f t="shared" ref="D706:I706" si="284">SUM(D703:D704)</f>
        <v>211.25000000000011</v>
      </c>
      <c r="E706" s="15">
        <f t="shared" si="284"/>
        <v>211.25000000000011</v>
      </c>
      <c r="F706" s="15">
        <f t="shared" si="284"/>
        <v>211.25000000000011</v>
      </c>
      <c r="G706" s="15">
        <f>SUM(G703:G704)</f>
        <v>211.25000000000011</v>
      </c>
      <c r="H706" s="15">
        <f>SUM(H703:H704)</f>
        <v>211.25000000000011</v>
      </c>
      <c r="I706" s="15">
        <f t="shared" si="284"/>
        <v>211.25000000000011</v>
      </c>
      <c r="J706" s="8"/>
    </row>
    <row r="707" spans="1:10" x14ac:dyDescent="0.2">
      <c r="A707" s="16"/>
      <c r="B707" s="1" t="s">
        <v>27</v>
      </c>
      <c r="C707" s="15">
        <f t="shared" ref="C707:I707" si="285">C706*16</f>
        <v>3380.0000000000018</v>
      </c>
      <c r="D707" s="15">
        <f t="shared" si="285"/>
        <v>3380.0000000000018</v>
      </c>
      <c r="E707" s="15">
        <f t="shared" si="285"/>
        <v>3380.0000000000018</v>
      </c>
      <c r="F707" s="15">
        <f t="shared" si="285"/>
        <v>3380.0000000000018</v>
      </c>
      <c r="G707" s="15">
        <f>G706*16</f>
        <v>3380.0000000000018</v>
      </c>
      <c r="H707" s="15">
        <f>H706*16</f>
        <v>3380.0000000000018</v>
      </c>
      <c r="I707" s="15">
        <f t="shared" si="285"/>
        <v>3380.0000000000018</v>
      </c>
      <c r="J707" s="3">
        <f>SUM(C707:I707)</f>
        <v>23660.000000000007</v>
      </c>
    </row>
    <row r="708" spans="1:10" x14ac:dyDescent="0.2">
      <c r="A708" s="16"/>
      <c r="B708" s="1"/>
      <c r="C708" s="15"/>
      <c r="D708" s="15"/>
      <c r="E708" s="15"/>
      <c r="F708" s="15"/>
      <c r="G708" s="15"/>
      <c r="H708" s="15"/>
      <c r="I708" s="15"/>
      <c r="J708" s="3"/>
    </row>
    <row r="709" spans="1:10" x14ac:dyDescent="0.2">
      <c r="A709" s="16"/>
      <c r="B709" s="27"/>
      <c r="C709" s="15"/>
      <c r="D709" s="15"/>
      <c r="E709" s="15"/>
      <c r="F709" s="15"/>
      <c r="G709" s="15"/>
      <c r="H709" s="15"/>
      <c r="I709" s="15"/>
      <c r="J709" s="3"/>
    </row>
    <row r="710" spans="1:10" x14ac:dyDescent="0.2">
      <c r="A710" s="16"/>
      <c r="B710" s="27" t="s">
        <v>60</v>
      </c>
      <c r="C710" s="4">
        <f>SUM(C647,C664,C681,C698)</f>
        <v>-75</v>
      </c>
      <c r="D710" s="4">
        <f t="shared" ref="D710:I710" si="286">SUM(D647,D664,D681,D698)</f>
        <v>-75</v>
      </c>
      <c r="E710" s="4">
        <f t="shared" si="286"/>
        <v>-75</v>
      </c>
      <c r="F710" s="4">
        <f t="shared" si="286"/>
        <v>-75</v>
      </c>
      <c r="G710" s="4">
        <f t="shared" si="286"/>
        <v>-75</v>
      </c>
      <c r="H710" s="4">
        <f t="shared" si="286"/>
        <v>-75</v>
      </c>
      <c r="I710" s="4">
        <f t="shared" si="286"/>
        <v>-75</v>
      </c>
    </row>
    <row r="711" spans="1:10" x14ac:dyDescent="0.2">
      <c r="A711" s="16"/>
      <c r="B711" s="1"/>
      <c r="C711" s="4"/>
      <c r="D711" s="4"/>
      <c r="E711" s="4"/>
      <c r="F711" s="4"/>
    </row>
    <row r="713" spans="1:10" x14ac:dyDescent="0.2">
      <c r="A713" s="16"/>
      <c r="B713" s="1"/>
      <c r="C713" s="4"/>
      <c r="D713" s="4"/>
      <c r="E713" s="4"/>
      <c r="F713" s="4"/>
    </row>
  </sheetData>
  <mergeCells count="2">
    <mergeCell ref="A2:J2"/>
    <mergeCell ref="A567:J567"/>
  </mergeCells>
  <phoneticPr fontId="0" type="noConversion"/>
  <conditionalFormatting sqref="C17:I20 C348:I349 J232 J282:J283 C334:I335 J1:J20 J453:J568 J127:J128 J387:J388 J145:J165 C282:I282 J89:J105 J249:J266 C263:I266 J317:J371 J586:J605 C159:I165 J621:J65536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zoomScale="80" workbookViewId="0">
      <selection activeCell="D27" sqref="D27"/>
    </sheetView>
  </sheetViews>
  <sheetFormatPr defaultRowHeight="12.75" x14ac:dyDescent="0.2"/>
  <cols>
    <col min="1" max="1" width="10.5703125" bestFit="1" customWidth="1"/>
  </cols>
  <sheetData>
    <row r="2" spans="1:13" x14ac:dyDescent="0.2">
      <c r="A2" s="31" t="s">
        <v>61</v>
      </c>
    </row>
    <row r="4" spans="1:13" x14ac:dyDescent="0.2">
      <c r="A4" s="31" t="s">
        <v>0</v>
      </c>
      <c r="B4" s="6">
        <v>37253</v>
      </c>
      <c r="C4" s="6">
        <v>37254</v>
      </c>
      <c r="D4" s="6">
        <v>37255</v>
      </c>
      <c r="E4" s="6">
        <v>37256</v>
      </c>
      <c r="F4" s="6"/>
      <c r="G4" s="6">
        <v>37257</v>
      </c>
      <c r="H4" s="6">
        <v>37258</v>
      </c>
      <c r="I4" s="6">
        <v>37259</v>
      </c>
      <c r="J4" s="6">
        <v>37260</v>
      </c>
      <c r="K4" s="6">
        <v>37261</v>
      </c>
      <c r="L4" s="6">
        <v>37262</v>
      </c>
      <c r="M4" s="6">
        <v>37263</v>
      </c>
    </row>
    <row r="5" spans="1:13" x14ac:dyDescent="0.2">
      <c r="A5" t="s">
        <v>62</v>
      </c>
      <c r="B5">
        <v>-1350</v>
      </c>
      <c r="C5">
        <v>-300</v>
      </c>
      <c r="D5">
        <v>-300</v>
      </c>
      <c r="E5">
        <v>-1350</v>
      </c>
      <c r="G5">
        <v>50</v>
      </c>
      <c r="H5">
        <v>300</v>
      </c>
      <c r="I5">
        <v>300</v>
      </c>
      <c r="J5">
        <v>300</v>
      </c>
      <c r="K5">
        <v>50</v>
      </c>
      <c r="L5">
        <v>50</v>
      </c>
      <c r="M5">
        <v>300</v>
      </c>
    </row>
    <row r="6" spans="1:13" x14ac:dyDescent="0.2">
      <c r="A6" t="s">
        <v>63</v>
      </c>
      <c r="B6">
        <v>-200</v>
      </c>
      <c r="C6">
        <v>-50</v>
      </c>
      <c r="D6">
        <v>-50</v>
      </c>
      <c r="E6">
        <v>-200</v>
      </c>
      <c r="G6">
        <v>0</v>
      </c>
      <c r="H6">
        <v>-50</v>
      </c>
      <c r="I6">
        <v>-50</v>
      </c>
      <c r="J6">
        <v>-50</v>
      </c>
      <c r="K6">
        <v>0</v>
      </c>
      <c r="L6">
        <v>0</v>
      </c>
      <c r="M6">
        <v>-50</v>
      </c>
    </row>
    <row r="7" spans="1:13" x14ac:dyDescent="0.2">
      <c r="A7" t="s">
        <v>64</v>
      </c>
      <c r="B7">
        <v>-1300</v>
      </c>
      <c r="C7">
        <v>0</v>
      </c>
      <c r="D7">
        <v>0</v>
      </c>
      <c r="E7">
        <v>-1300</v>
      </c>
      <c r="G7">
        <v>-100</v>
      </c>
      <c r="H7">
        <v>-1150</v>
      </c>
      <c r="I7">
        <v>-1150</v>
      </c>
      <c r="J7">
        <v>-1150</v>
      </c>
      <c r="K7">
        <v>-100</v>
      </c>
      <c r="L7">
        <v>-100</v>
      </c>
      <c r="M7">
        <v>-1150</v>
      </c>
    </row>
    <row r="8" spans="1:13" x14ac:dyDescent="0.2">
      <c r="A8" t="s">
        <v>65</v>
      </c>
      <c r="B8">
        <v>0</v>
      </c>
      <c r="C8">
        <v>0</v>
      </c>
      <c r="D8">
        <v>0</v>
      </c>
      <c r="E8">
        <v>0</v>
      </c>
      <c r="G8">
        <v>0</v>
      </c>
      <c r="H8">
        <v>-100</v>
      </c>
      <c r="I8">
        <v>-100</v>
      </c>
      <c r="J8">
        <v>-100</v>
      </c>
      <c r="K8">
        <v>0</v>
      </c>
      <c r="L8">
        <v>0</v>
      </c>
      <c r="M8">
        <v>-100</v>
      </c>
    </row>
    <row r="9" spans="1:13" x14ac:dyDescent="0.2">
      <c r="A9" t="s">
        <v>66</v>
      </c>
      <c r="B9">
        <v>150</v>
      </c>
      <c r="C9">
        <v>0</v>
      </c>
      <c r="D9">
        <v>0</v>
      </c>
      <c r="E9">
        <v>150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67</v>
      </c>
      <c r="B10">
        <v>-50</v>
      </c>
      <c r="C10">
        <v>0</v>
      </c>
      <c r="D10">
        <v>0</v>
      </c>
      <c r="E10">
        <v>-50</v>
      </c>
    </row>
    <row r="11" spans="1:13" x14ac:dyDescent="0.2">
      <c r="A11" t="s">
        <v>68</v>
      </c>
      <c r="B11">
        <v>-1111.5</v>
      </c>
      <c r="C11">
        <v>25</v>
      </c>
      <c r="D11">
        <v>25</v>
      </c>
      <c r="E11">
        <v>-1111.5</v>
      </c>
      <c r="G11">
        <v>-1115</v>
      </c>
      <c r="H11">
        <v>-1240</v>
      </c>
      <c r="I11">
        <v>-1240</v>
      </c>
      <c r="J11">
        <v>-1240</v>
      </c>
      <c r="K11">
        <v>-1115</v>
      </c>
      <c r="L11">
        <v>-1115</v>
      </c>
      <c r="M11">
        <v>-1240</v>
      </c>
    </row>
    <row r="12" spans="1:13" x14ac:dyDescent="0.2">
      <c r="A12" t="s">
        <v>69</v>
      </c>
      <c r="G12">
        <v>-60</v>
      </c>
      <c r="H12">
        <v>0</v>
      </c>
      <c r="I12">
        <v>0</v>
      </c>
      <c r="J12">
        <v>0</v>
      </c>
      <c r="K12">
        <v>-60</v>
      </c>
      <c r="L12">
        <v>-60</v>
      </c>
      <c r="M12">
        <v>0</v>
      </c>
    </row>
    <row r="14" spans="1:13" x14ac:dyDescent="0.2">
      <c r="A14" s="31" t="s">
        <v>33</v>
      </c>
    </row>
    <row r="15" spans="1:13" x14ac:dyDescent="0.2">
      <c r="A15" t="s">
        <v>62</v>
      </c>
      <c r="B15">
        <v>-300</v>
      </c>
      <c r="C15">
        <v>-300</v>
      </c>
      <c r="D15">
        <v>-300</v>
      </c>
      <c r="E15">
        <v>-300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6" spans="1:13" x14ac:dyDescent="0.2">
      <c r="A16" t="s">
        <v>63</v>
      </c>
      <c r="B16">
        <v>-50</v>
      </c>
      <c r="C16">
        <v>-50</v>
      </c>
      <c r="D16">
        <v>-50</v>
      </c>
      <c r="E16">
        <v>-50</v>
      </c>
    </row>
    <row r="17" spans="1:13" x14ac:dyDescent="0.2">
      <c r="A17" t="s">
        <v>64</v>
      </c>
      <c r="B17">
        <v>50</v>
      </c>
      <c r="C17">
        <v>50</v>
      </c>
      <c r="D17">
        <v>50</v>
      </c>
      <c r="E17">
        <v>50</v>
      </c>
      <c r="G17">
        <v>-100</v>
      </c>
      <c r="H17">
        <v>-100</v>
      </c>
      <c r="I17">
        <v>-100</v>
      </c>
      <c r="J17">
        <v>-100</v>
      </c>
      <c r="K17">
        <v>-100</v>
      </c>
      <c r="L17">
        <v>-100</v>
      </c>
      <c r="M17">
        <v>-100</v>
      </c>
    </row>
    <row r="18" spans="1:13" x14ac:dyDescent="0.2">
      <c r="A18" t="s">
        <v>65</v>
      </c>
      <c r="B18">
        <v>0</v>
      </c>
      <c r="C18">
        <v>0</v>
      </c>
      <c r="D18">
        <v>0</v>
      </c>
      <c r="E18">
        <v>0</v>
      </c>
    </row>
    <row r="19" spans="1:13" x14ac:dyDescent="0.2">
      <c r="A19" t="s">
        <v>66</v>
      </c>
      <c r="B19">
        <v>0</v>
      </c>
      <c r="C19">
        <v>0</v>
      </c>
      <c r="D19">
        <v>0</v>
      </c>
      <c r="E19">
        <v>0</v>
      </c>
    </row>
    <row r="20" spans="1:13" x14ac:dyDescent="0.2">
      <c r="A20" t="s">
        <v>67</v>
      </c>
      <c r="B20">
        <v>0</v>
      </c>
      <c r="C20">
        <v>0</v>
      </c>
      <c r="D20">
        <v>0</v>
      </c>
      <c r="E20">
        <v>0</v>
      </c>
    </row>
    <row r="21" spans="1:13" x14ac:dyDescent="0.2">
      <c r="A21" t="s">
        <v>68</v>
      </c>
      <c r="B21">
        <v>25</v>
      </c>
      <c r="C21">
        <v>25</v>
      </c>
      <c r="D21">
        <v>25</v>
      </c>
      <c r="E21">
        <v>25</v>
      </c>
      <c r="G21">
        <v>-1115</v>
      </c>
      <c r="H21">
        <v>-1115</v>
      </c>
      <c r="I21">
        <v>-1115</v>
      </c>
      <c r="J21">
        <v>-1115</v>
      </c>
      <c r="K21">
        <v>-1115</v>
      </c>
      <c r="L21">
        <v>-1115</v>
      </c>
      <c r="M21">
        <v>-1115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</vt:i4>
      </vt:variant>
    </vt:vector>
  </HeadingPairs>
  <TitlesOfParts>
    <vt:vector size="48" baseType="lpstr">
      <vt:lpstr>East Power - January</vt:lpstr>
      <vt:lpstr>SUMMARY BY COUNTERPARTY</vt:lpstr>
      <vt:lpstr>SUMMARY BY REGION</vt:lpstr>
      <vt:lpstr>NET POSITION REPORT</vt:lpstr>
      <vt:lpstr>ALCO_SIG_OFF</vt:lpstr>
      <vt:lpstr>ALCO_SIG_PK</vt:lpstr>
      <vt:lpstr>AMRN_CIN_PK</vt:lpstr>
      <vt:lpstr>AMRN_ENT_PK</vt:lpstr>
      <vt:lpstr>AMRN_TVA_PK</vt:lpstr>
      <vt:lpstr>CARG_CIN_PK</vt:lpstr>
      <vt:lpstr>CARG_COM_PK</vt:lpstr>
      <vt:lpstr>CMP_NEP_PK</vt:lpstr>
      <vt:lpstr>CPL_CIN_PK</vt:lpstr>
      <vt:lpstr>CPL_PJM_PK</vt:lpstr>
      <vt:lpstr>FE_CIN_PK</vt:lpstr>
      <vt:lpstr>FE_PJM_PK</vt:lpstr>
      <vt:lpstr>GPU_PJM_PK</vt:lpstr>
      <vt:lpstr>HQ_NEP_OFF</vt:lpstr>
      <vt:lpstr>HQ_NEP_PK</vt:lpstr>
      <vt:lpstr>HQ_PJM_PK</vt:lpstr>
      <vt:lpstr>LEM_CIN_PK</vt:lpstr>
      <vt:lpstr>LEM_TVA_PK</vt:lpstr>
      <vt:lpstr>MPI_COMED_PK</vt:lpstr>
      <vt:lpstr>NSTAR_NEP_OFF</vt:lpstr>
      <vt:lpstr>NSTAR_NEP_PK</vt:lpstr>
      <vt:lpstr>'SUMMARY BY COUNTERPARTY'!Print_Area</vt:lpstr>
      <vt:lpstr>SEL_CIN_PK</vt:lpstr>
      <vt:lpstr>SEL_NEP_OFF</vt:lpstr>
      <vt:lpstr>SEL_NEP_PK</vt:lpstr>
      <vt:lpstr>SEL_PJM_PK</vt:lpstr>
      <vt:lpstr>TAUNT_NEP_OFF</vt:lpstr>
      <vt:lpstr>TAUNT_NEP_PK</vt:lpstr>
      <vt:lpstr>TXU_CIN_PK</vt:lpstr>
      <vt:lpstr>TXU_NEP_PK</vt:lpstr>
      <vt:lpstr>TXU_PJM_OFF</vt:lpstr>
      <vt:lpstr>TXU_PJM_PK</vt:lpstr>
      <vt:lpstr>UI_NEP_OFF</vt:lpstr>
      <vt:lpstr>UI_NEP_PK</vt:lpstr>
      <vt:lpstr>VP_CIN_OFF</vt:lpstr>
      <vt:lpstr>VP_CIN_PK</vt:lpstr>
      <vt:lpstr>VP_ENT_PK</vt:lpstr>
      <vt:lpstr>VP_NEP_OFF</vt:lpstr>
      <vt:lpstr>VP_NEP_PK</vt:lpstr>
      <vt:lpstr>VP_PJM_OFF</vt:lpstr>
      <vt:lpstr>VP_PJM_PK</vt:lpstr>
      <vt:lpstr>WAB_CIN_OFF</vt:lpstr>
      <vt:lpstr>WAB_CIN_PK</vt:lpstr>
      <vt:lpstr>WEPC_COMED_PK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phanse</dc:creator>
  <cp:lastModifiedBy>Felienne</cp:lastModifiedBy>
  <cp:lastPrinted>2001-12-27T14:36:18Z</cp:lastPrinted>
  <dcterms:created xsi:type="dcterms:W3CDTF">2001-12-24T19:43:04Z</dcterms:created>
  <dcterms:modified xsi:type="dcterms:W3CDTF">2014-09-05T06:38:48Z</dcterms:modified>
</cp:coreProperties>
</file>