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9450" activeTab="1"/>
  </bookViews>
  <sheets>
    <sheet name="WEEKEND" sheetId="11" r:id="rId1"/>
    <sheet name="DAILY" sheetId="9" r:id="rId2"/>
  </sheets>
  <externalReferences>
    <externalReference r:id="rId3"/>
  </externalReferences>
  <definedNames>
    <definedName name="_xlnm.Print_Area" localSheetId="1">DAILY!$A$1:$V$76</definedName>
    <definedName name="_xlnm.Print_Area" localSheetId="0">WEEKEND!$A$1:$Q$54</definedName>
  </definedNames>
  <calcPr calcId="152511"/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Z2" i="9"/>
  <c r="Z3" i="9" s="1"/>
  <c r="Z4" i="9" s="1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Z16" i="9" s="1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Z27" i="9" s="1"/>
  <c r="Z28" i="9" s="1"/>
  <c r="Z29" i="9" s="1"/>
  <c r="Z30" i="9" s="1"/>
  <c r="Z31" i="9" s="1"/>
  <c r="Z32" i="9" s="1"/>
  <c r="AF2" i="9"/>
  <c r="AJ2" i="9" s="1"/>
  <c r="AG2" i="9"/>
  <c r="AH2" i="9"/>
  <c r="AK2" i="9"/>
  <c r="K3" i="9"/>
  <c r="L3" i="9"/>
  <c r="P3" i="9"/>
  <c r="T3" i="9"/>
  <c r="AF3" i="9"/>
  <c r="AG3" i="9"/>
  <c r="AH3" i="9"/>
  <c r="AJ3" i="9"/>
  <c r="AK3" i="9"/>
  <c r="D4" i="9"/>
  <c r="K4" i="9"/>
  <c r="K6" i="9" s="1"/>
  <c r="M6" i="9" s="1"/>
  <c r="L4" i="9"/>
  <c r="AF4" i="9"/>
  <c r="AG4" i="9"/>
  <c r="AH4" i="9"/>
  <c r="AJ4" i="9"/>
  <c r="AK4" i="9"/>
  <c r="M5" i="9"/>
  <c r="X5" i="9"/>
  <c r="AF5" i="9"/>
  <c r="AG5" i="9"/>
  <c r="AH5" i="9"/>
  <c r="AJ5" i="9"/>
  <c r="AK5" i="9"/>
  <c r="L6" i="9"/>
  <c r="Y6" i="9"/>
  <c r="AF6" i="9"/>
  <c r="AJ6" i="9" s="1"/>
  <c r="AG6" i="9"/>
  <c r="AH6" i="9"/>
  <c r="AK6" i="9"/>
  <c r="X7" i="9"/>
  <c r="AF7" i="9"/>
  <c r="AG7" i="9"/>
  <c r="AH7" i="9"/>
  <c r="AJ7" i="9"/>
  <c r="AK7" i="9"/>
  <c r="X8" i="9"/>
  <c r="AF8" i="9"/>
  <c r="AG8" i="9"/>
  <c r="AH8" i="9"/>
  <c r="AJ8" i="9"/>
  <c r="AK8" i="9"/>
  <c r="X9" i="9"/>
  <c r="AF9" i="9"/>
  <c r="AG9" i="9"/>
  <c r="AH9" i="9"/>
  <c r="AJ9" i="9"/>
  <c r="AK9" i="9"/>
  <c r="AF10" i="9"/>
  <c r="AG10" i="9"/>
  <c r="AJ10" i="9"/>
  <c r="B11" i="9"/>
  <c r="AF11" i="9"/>
  <c r="AG11" i="9"/>
  <c r="AJ11" i="9"/>
  <c r="AF12" i="9"/>
  <c r="AJ12" i="9" s="1"/>
  <c r="AG12" i="9"/>
  <c r="AF13" i="9"/>
  <c r="AJ13" i="9" s="1"/>
  <c r="AG13" i="9"/>
  <c r="B14" i="9"/>
  <c r="B13" i="9" s="1"/>
  <c r="B27" i="9" s="1"/>
  <c r="E14" i="9"/>
  <c r="AF14" i="9"/>
  <c r="AJ14" i="9"/>
  <c r="AF15" i="9"/>
  <c r="AJ15" i="9"/>
  <c r="AF16" i="9"/>
  <c r="AJ16" i="9"/>
  <c r="AF17" i="9"/>
  <c r="AJ17" i="9"/>
  <c r="AF18" i="9"/>
  <c r="AJ18" i="9"/>
  <c r="AF19" i="9"/>
  <c r="AJ19" i="9"/>
  <c r="AF20" i="9"/>
  <c r="AJ20" i="9" s="1"/>
  <c r="AF21" i="9"/>
  <c r="AJ21" i="9" s="1"/>
  <c r="AF22" i="9"/>
  <c r="AJ22" i="9"/>
  <c r="E23" i="9"/>
  <c r="E29" i="9" s="1"/>
  <c r="F15" i="9" s="1"/>
  <c r="AF23" i="9"/>
  <c r="AJ23" i="9"/>
  <c r="AF24" i="9"/>
  <c r="AJ24" i="9"/>
  <c r="AF25" i="9"/>
  <c r="AJ25" i="9" s="1"/>
  <c r="AF26" i="9"/>
  <c r="AJ26" i="9" s="1"/>
  <c r="AF27" i="9"/>
  <c r="AJ27" i="9" s="1"/>
  <c r="AF28" i="9"/>
  <c r="AJ28" i="9" s="1"/>
  <c r="AF29" i="9"/>
  <c r="AJ29" i="9"/>
  <c r="AF30" i="9"/>
  <c r="AJ30" i="9"/>
  <c r="AF31" i="9"/>
  <c r="AJ31" i="9"/>
  <c r="AF32" i="9"/>
  <c r="AJ32" i="9" s="1"/>
  <c r="B37" i="9"/>
  <c r="B54" i="9" s="1"/>
  <c r="B52" i="9"/>
  <c r="B1" i="11"/>
  <c r="H1" i="11"/>
  <c r="B2" i="11"/>
  <c r="H2" i="11"/>
  <c r="D4" i="11"/>
  <c r="J4" i="11"/>
  <c r="O5" i="11"/>
  <c r="P5" i="11"/>
  <c r="O6" i="11"/>
  <c r="P6" i="11"/>
  <c r="Q6" i="11"/>
  <c r="O7" i="11"/>
  <c r="O8" i="11" s="1"/>
  <c r="Q8" i="11" s="1"/>
  <c r="P7" i="11"/>
  <c r="Q7" i="11" s="1"/>
  <c r="B8" i="11"/>
  <c r="B27" i="11" s="1"/>
  <c r="C27" i="11" s="1"/>
  <c r="H8" i="11"/>
  <c r="P8" i="11"/>
  <c r="B11" i="11"/>
  <c r="H11" i="11"/>
  <c r="B13" i="11"/>
  <c r="B14" i="11"/>
  <c r="E14" i="11"/>
  <c r="H14" i="11"/>
  <c r="H13" i="11" s="1"/>
  <c r="H27" i="11" s="1"/>
  <c r="I27" i="11" s="1"/>
  <c r="K14" i="11"/>
  <c r="E23" i="11"/>
  <c r="K23" i="11"/>
  <c r="K29" i="11" s="1"/>
  <c r="L15" i="11" s="1"/>
  <c r="E29" i="11"/>
  <c r="F15" i="11" s="1"/>
  <c r="B52" i="11"/>
  <c r="H52" i="11"/>
  <c r="H54" i="11" s="1"/>
  <c r="B54" i="11"/>
  <c r="C27" i="9" l="1"/>
  <c r="M4" i="9"/>
</calcChain>
</file>

<file path=xl/sharedStrings.xml><?xml version="1.0" encoding="utf-8"?>
<sst xmlns="http://schemas.openxmlformats.org/spreadsheetml/2006/main" count="281" uniqueCount="73">
  <si>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</si>
  <si>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</si>
  <si>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</si>
  <si>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</si>
  <si>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</si>
  <si>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</si>
  <si>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</si>
  <si>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Wilton Burn</t>
  </si>
  <si>
    <t>Wilton OBA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</si>
  <si>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</si>
  <si>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</si>
  <si>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</si>
  <si>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</si>
  <si>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</si>
  <si>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</si>
  <si>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</si>
  <si>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</si>
  <si>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</si>
  <si>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Ketra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</si>
  <si>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</si>
  <si>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</si>
  <si>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</si>
  <si>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</si>
  <si>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</si>
  <si>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</si>
  <si>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</si>
  <si>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KN Nomination:</t>
  </si>
  <si>
    <t>INJECTIONS:</t>
  </si>
  <si>
    <t>PGL Balancing:</t>
  </si>
  <si>
    <t xml:space="preserve">     MANLOVE</t>
  </si>
  <si>
    <t xml:space="preserve">     NGPL</t>
  </si>
  <si>
    <t xml:space="preserve">     ANR </t>
  </si>
  <si>
    <t xml:space="preserve">     ANR (NO-NOTICE)</t>
  </si>
  <si>
    <t>TOTAL REQUIREMENTS</t>
  </si>
  <si>
    <t xml:space="preserve">     NGPL (NO-NOTICE)</t>
  </si>
  <si>
    <t xml:space="preserve">     PANHANDLE</t>
  </si>
  <si>
    <t xml:space="preserve">     FUEL</t>
  </si>
  <si>
    <t>LNG LIQUIFACTION</t>
  </si>
  <si>
    <t>LINE PACK</t>
  </si>
  <si>
    <t>ENA BASELOAD</t>
  </si>
  <si>
    <t>ENA SIQ</t>
  </si>
  <si>
    <t>ENA DIQ</t>
  </si>
  <si>
    <t>RIDER GAS</t>
  </si>
  <si>
    <t>IMBALANCES</t>
  </si>
  <si>
    <t>TOTAL SOURCES</t>
  </si>
  <si>
    <t>RFG</t>
  </si>
  <si>
    <t>LNG VAPORIZE</t>
  </si>
  <si>
    <t>WITHDRAWALS:</t>
  </si>
  <si>
    <t xml:space="preserve">     NGPL:  NSS1</t>
  </si>
  <si>
    <t xml:space="preserve">     NGPL:  NSS2</t>
  </si>
  <si>
    <t xml:space="preserve">     NGPL:  DSS</t>
  </si>
  <si>
    <t>Chg</t>
  </si>
  <si>
    <t xml:space="preserve">     COENERGY</t>
  </si>
  <si>
    <t xml:space="preserve">     ENGAGE</t>
  </si>
  <si>
    <t xml:space="preserve">     NGPL (DSS)</t>
  </si>
  <si>
    <t>Elwood Injection</t>
  </si>
  <si>
    <t>Wilton Injection</t>
  </si>
  <si>
    <t>EL PASO BASE</t>
  </si>
  <si>
    <t>TRUNKLINE QNT</t>
  </si>
  <si>
    <t xml:space="preserve">     NICOR BALANCING</t>
  </si>
  <si>
    <t>TRUNKLINE IMBALANCE</t>
  </si>
  <si>
    <t>CITYGATE PURCHASES</t>
  </si>
  <si>
    <t>OFF SYSTEM SALES:</t>
  </si>
  <si>
    <t xml:space="preserve">     NGPL DSS</t>
  </si>
  <si>
    <t xml:space="preserve">     NGPL DSS - AMR</t>
  </si>
  <si>
    <t xml:space="preserve">     ANR</t>
  </si>
  <si>
    <t xml:space="preserve">     ENOVATE</t>
  </si>
  <si>
    <t xml:space="preserve">    ENOVATE</t>
  </si>
  <si>
    <t xml:space="preserve">    ELPASO</t>
  </si>
  <si>
    <t xml:space="preserve">    ENA SELL-BACK</t>
  </si>
  <si>
    <t xml:space="preserve">    MISC</t>
  </si>
  <si>
    <t xml:space="preserve">     MISC</t>
  </si>
  <si>
    <t>ENOVATE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</si>
</sst>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6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1" applyNumberFormat="1" applyFont="1" applyBorder="1"/>
    <xf numFmtId="176" fontId="2" fillId="0" borderId="11" xfId="0" applyNumberFormat="1" applyFont="1" applyBorder="1"/>
    <xf numFmtId="0" fontId="2" fillId="0" borderId="12" xfId="0" applyFont="1" applyBorder="1"/>
    <xf numFmtId="176" fontId="2" fillId="0" borderId="13" xfId="1" applyNumberFormat="1" applyFont="1" applyBorder="1"/>
    <xf numFmtId="176" fontId="2" fillId="0" borderId="14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0" fontId="2" fillId="0" borderId="9" xfId="0" applyFont="1" applyBorder="1"/>
    <xf numFmtId="176" fontId="2" fillId="0" borderId="15" xfId="1" applyNumberFormat="1" applyFont="1" applyBorder="1"/>
    <xf numFmtId="0" fontId="2" fillId="0" borderId="15" xfId="0" applyFont="1" applyBorder="1"/>
    <xf numFmtId="176" fontId="2" fillId="0" borderId="7" xfId="1" applyNumberFormat="1" applyFont="1" applyBorder="1"/>
    <xf numFmtId="176" fontId="2" fillId="0" borderId="11" xfId="1" applyNumberFormat="1" applyFont="1" applyBorder="1"/>
    <xf numFmtId="176" fontId="2" fillId="0" borderId="16" xfId="1" applyNumberFormat="1" applyFont="1" applyBorder="1"/>
    <xf numFmtId="176" fontId="2" fillId="0" borderId="14" xfId="1" applyNumberFormat="1" applyFont="1" applyBorder="1"/>
    <xf numFmtId="176" fontId="2" fillId="0" borderId="9" xfId="1" applyNumberFormat="1" applyFont="1" applyFill="1" applyBorder="1"/>
    <xf numFmtId="0" fontId="2" fillId="0" borderId="0" xfId="0" quotePrefix="1" applyFont="1"/>
    <xf numFmtId="0" fontId="2" fillId="0" borderId="8" xfId="0" applyFont="1" applyFill="1" applyBorder="1"/>
    <xf numFmtId="176" fontId="2" fillId="0" borderId="17" xfId="1" applyNumberFormat="1" applyFont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0" fontId="4" fillId="0" borderId="5" xfId="0" applyFont="1" applyFill="1" applyBorder="1"/>
    <xf numFmtId="0" fontId="4" fillId="0" borderId="6" xfId="0" applyFont="1" applyFill="1" applyBorder="1"/>
    <xf numFmtId="0" fontId="4" fillId="0" borderId="8" xfId="0" applyFont="1" applyFill="1" applyBorder="1"/>
    <xf numFmtId="176" fontId="4" fillId="0" borderId="9" xfId="1" applyNumberFormat="1" applyFont="1" applyFill="1" applyBorder="1"/>
    <xf numFmtId="0" fontId="5" fillId="0" borderId="8" xfId="0" applyFont="1" applyFill="1" applyBorder="1"/>
    <xf numFmtId="0" fontId="4" fillId="0" borderId="9" xfId="0" applyFont="1" applyFill="1" applyBorder="1"/>
    <xf numFmtId="0" fontId="4" fillId="0" borderId="12" xfId="0" applyFont="1" applyFill="1" applyBorder="1"/>
    <xf numFmtId="0" fontId="4" fillId="0" borderId="15" xfId="0" applyFont="1" applyFill="1" applyBorder="1"/>
    <xf numFmtId="0" fontId="2" fillId="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79296"/>
        <c:axId val="148579856"/>
      </c:lineChart>
      <c:catAx>
        <c:axId val="1485792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79856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48579856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7929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10288"/>
        <c:axId val="149410848"/>
      </c:lineChart>
      <c:catAx>
        <c:axId val="14941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10848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49410848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1028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13088"/>
        <c:axId val="149835728"/>
      </c:lineChart>
      <c:catAx>
        <c:axId val="14941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35728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49835728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1308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37968"/>
        <c:axId val="149838528"/>
      </c:lineChart>
      <c:catAx>
        <c:axId val="14983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38528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49838528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3796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41328"/>
        <c:axId val="149841888"/>
      </c:lineChart>
      <c:catAx>
        <c:axId val="1498413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41888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49841888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4132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44128"/>
        <c:axId val="149844688"/>
      </c:lineChart>
      <c:dateAx>
        <c:axId val="1498441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44688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49844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4412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46928"/>
        <c:axId val="149847488"/>
      </c:lineChart>
      <c:catAx>
        <c:axId val="1498469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47488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49847488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4692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49728"/>
        <c:axId val="149850288"/>
      </c:lineChart>
      <c:catAx>
        <c:axId val="14984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50288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49850288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4972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747360"/>
        <c:axId val="222747920"/>
      </c:lineChart>
      <c:catAx>
        <c:axId val="22274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747920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22747920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74736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750160"/>
        <c:axId val="222750720"/>
      </c:lineChart>
      <c:catAx>
        <c:axId val="22275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750720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222750720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75016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753520"/>
        <c:axId val="222754080"/>
      </c:lineChart>
      <c:catAx>
        <c:axId val="2227535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754080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222754080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75352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82096"/>
        <c:axId val="148582656"/>
      </c:lineChart>
      <c:dateAx>
        <c:axId val="1485820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82656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48582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8209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756320"/>
        <c:axId val="222756880"/>
      </c:lineChart>
      <c:dateAx>
        <c:axId val="2227563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756880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222756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75632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759120"/>
        <c:axId val="222759680"/>
      </c:lineChart>
      <c:catAx>
        <c:axId val="2227591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759680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222759680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759120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762480"/>
        <c:axId val="223112656"/>
      </c:lineChart>
      <c:catAx>
        <c:axId val="22276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112656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23112656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762480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121056"/>
        <c:axId val="223121616"/>
      </c:lineChart>
      <c:catAx>
        <c:axId val="22312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121616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23121616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12105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123856"/>
        <c:axId val="223124416"/>
      </c:lineChart>
      <c:catAx>
        <c:axId val="22312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124416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223124416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12385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127216"/>
        <c:axId val="223127776"/>
      </c:lineChart>
      <c:catAx>
        <c:axId val="2231272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127776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223127776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12721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65584"/>
        <c:axId val="148666144"/>
      </c:lineChart>
      <c:dateAx>
        <c:axId val="1486655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666144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48666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66558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68384"/>
        <c:axId val="148668944"/>
      </c:lineChart>
      <c:catAx>
        <c:axId val="1486683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668944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48668944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66838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71184"/>
        <c:axId val="148671744"/>
      </c:lineChart>
      <c:catAx>
        <c:axId val="14867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671744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48671744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67118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479344"/>
        <c:axId val="223479904"/>
      </c:lineChart>
      <c:catAx>
        <c:axId val="22347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479904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23479904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47934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84896"/>
        <c:axId val="148585456"/>
      </c:lineChart>
      <c:catAx>
        <c:axId val="1485848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85456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48585456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84896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482144"/>
        <c:axId val="223482704"/>
      </c:lineChart>
      <c:catAx>
        <c:axId val="22348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482704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223482704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48214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08674536386939"/>
          <c:y val="1.40453901104817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853784141007307E-2"/>
          <c:y val="8.1463262640793954E-2"/>
          <c:w val="0.93528509638627233"/>
          <c:h val="0.58709730661813575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36861</c:v>
                </c:pt>
                <c:pt idx="1">
                  <c:v>36862</c:v>
                </c:pt>
                <c:pt idx="2">
                  <c:v>36863</c:v>
                </c:pt>
                <c:pt idx="3">
                  <c:v>36864</c:v>
                </c:pt>
                <c:pt idx="4">
                  <c:v>36865</c:v>
                </c:pt>
                <c:pt idx="5">
                  <c:v>36866</c:v>
                </c:pt>
                <c:pt idx="6">
                  <c:v>36867</c:v>
                </c:pt>
                <c:pt idx="7">
                  <c:v>36868</c:v>
                </c:pt>
                <c:pt idx="8">
                  <c:v>36869</c:v>
                </c:pt>
                <c:pt idx="9">
                  <c:v>36870</c:v>
                </c:pt>
                <c:pt idx="10">
                  <c:v>36871</c:v>
                </c:pt>
                <c:pt idx="11">
                  <c:v>36872</c:v>
                </c:pt>
                <c:pt idx="12">
                  <c:v>36873</c:v>
                </c:pt>
                <c:pt idx="13">
                  <c:v>36874</c:v>
                </c:pt>
                <c:pt idx="14">
                  <c:v>36875</c:v>
                </c:pt>
                <c:pt idx="15">
                  <c:v>36876</c:v>
                </c:pt>
                <c:pt idx="16">
                  <c:v>36877</c:v>
                </c:pt>
                <c:pt idx="17">
                  <c:v>36878</c:v>
                </c:pt>
                <c:pt idx="18">
                  <c:v>36879</c:v>
                </c:pt>
                <c:pt idx="19">
                  <c:v>36880</c:v>
                </c:pt>
                <c:pt idx="20">
                  <c:v>36881</c:v>
                </c:pt>
                <c:pt idx="21">
                  <c:v>36882</c:v>
                </c:pt>
                <c:pt idx="22">
                  <c:v>36883</c:v>
                </c:pt>
                <c:pt idx="23">
                  <c:v>36884</c:v>
                </c:pt>
                <c:pt idx="24">
                  <c:v>36885</c:v>
                </c:pt>
                <c:pt idx="25">
                  <c:v>36886</c:v>
                </c:pt>
                <c:pt idx="26">
                  <c:v>36887</c:v>
                </c:pt>
                <c:pt idx="27">
                  <c:v>36888</c:v>
                </c:pt>
                <c:pt idx="28">
                  <c:v>36889</c:v>
                </c:pt>
                <c:pt idx="29">
                  <c:v>36890</c:v>
                </c:pt>
                <c:pt idx="30">
                  <c:v>36891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1158000</c:v>
                </c:pt>
                <c:pt idx="1">
                  <c:v>1253000</c:v>
                </c:pt>
                <c:pt idx="2">
                  <c:v>1170000</c:v>
                </c:pt>
                <c:pt idx="3">
                  <c:v>1340000</c:v>
                </c:pt>
                <c:pt idx="4">
                  <c:v>1655000</c:v>
                </c:pt>
                <c:pt idx="5">
                  <c:v>1570000</c:v>
                </c:pt>
                <c:pt idx="6">
                  <c:v>1450000</c:v>
                </c:pt>
                <c:pt idx="7">
                  <c:v>1510000</c:v>
                </c:pt>
                <c:pt idx="8">
                  <c:v>1280000</c:v>
                </c:pt>
                <c:pt idx="9">
                  <c:v>1046000</c:v>
                </c:pt>
                <c:pt idx="10">
                  <c:v>1276000</c:v>
                </c:pt>
                <c:pt idx="11">
                  <c:v>1564000</c:v>
                </c:pt>
              </c:numCache>
            </c:numRef>
          </c:val>
          <c:smooth val="0"/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36861</c:v>
                </c:pt>
                <c:pt idx="1">
                  <c:v>36862</c:v>
                </c:pt>
                <c:pt idx="2">
                  <c:v>36863</c:v>
                </c:pt>
                <c:pt idx="3">
                  <c:v>36864</c:v>
                </c:pt>
                <c:pt idx="4">
                  <c:v>36865</c:v>
                </c:pt>
                <c:pt idx="5">
                  <c:v>36866</c:v>
                </c:pt>
                <c:pt idx="6">
                  <c:v>36867</c:v>
                </c:pt>
                <c:pt idx="7">
                  <c:v>36868</c:v>
                </c:pt>
                <c:pt idx="8">
                  <c:v>36869</c:v>
                </c:pt>
                <c:pt idx="9">
                  <c:v>36870</c:v>
                </c:pt>
                <c:pt idx="10">
                  <c:v>36871</c:v>
                </c:pt>
                <c:pt idx="11">
                  <c:v>36872</c:v>
                </c:pt>
                <c:pt idx="12">
                  <c:v>36873</c:v>
                </c:pt>
                <c:pt idx="13">
                  <c:v>36874</c:v>
                </c:pt>
                <c:pt idx="14">
                  <c:v>36875</c:v>
                </c:pt>
                <c:pt idx="15">
                  <c:v>36876</c:v>
                </c:pt>
                <c:pt idx="16">
                  <c:v>36877</c:v>
                </c:pt>
                <c:pt idx="17">
                  <c:v>36878</c:v>
                </c:pt>
                <c:pt idx="18">
                  <c:v>36879</c:v>
                </c:pt>
                <c:pt idx="19">
                  <c:v>36880</c:v>
                </c:pt>
                <c:pt idx="20">
                  <c:v>36881</c:v>
                </c:pt>
                <c:pt idx="21">
                  <c:v>36882</c:v>
                </c:pt>
                <c:pt idx="22">
                  <c:v>36883</c:v>
                </c:pt>
                <c:pt idx="23">
                  <c:v>36884</c:v>
                </c:pt>
                <c:pt idx="24">
                  <c:v>36885</c:v>
                </c:pt>
                <c:pt idx="25">
                  <c:v>36886</c:v>
                </c:pt>
                <c:pt idx="26">
                  <c:v>36887</c:v>
                </c:pt>
                <c:pt idx="27">
                  <c:v>36888</c:v>
                </c:pt>
                <c:pt idx="28">
                  <c:v>36889</c:v>
                </c:pt>
                <c:pt idx="29">
                  <c:v>36890</c:v>
                </c:pt>
                <c:pt idx="30">
                  <c:v>36891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1164438</c:v>
                </c:pt>
                <c:pt idx="1">
                  <c:v>1162572</c:v>
                </c:pt>
                <c:pt idx="2">
                  <c:v>1186205</c:v>
                </c:pt>
                <c:pt idx="3">
                  <c:v>1318243</c:v>
                </c:pt>
                <c:pt idx="4">
                  <c:v>1636584</c:v>
                </c:pt>
                <c:pt idx="5">
                  <c:v>1608793</c:v>
                </c:pt>
                <c:pt idx="6">
                  <c:v>1365000</c:v>
                </c:pt>
                <c:pt idx="7">
                  <c:v>1510000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784528"/>
        <c:axId val="223785088"/>
      </c:lineChart>
      <c:catAx>
        <c:axId val="223784528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7850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23785088"/>
        <c:scaling>
          <c:orientation val="minMax"/>
          <c:max val="1750000"/>
          <c:min val="3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784528"/>
        <c:crosses val="autoZero"/>
        <c:crossBetween val="between"/>
        <c:majorUnit val="100000"/>
        <c:minorUnit val="10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70269332911716"/>
          <c:y val="0.85676879673938466"/>
          <c:w val="5.2385382994574098E-2"/>
          <c:h val="0.129217589016431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8958292753754703"/>
          <c:y val="1.59241085599664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5074037434712"/>
          <c:y val="9.2359829647805453E-2"/>
          <c:w val="0.82057821351412463"/>
          <c:h val="0.58282237329477227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36861</c:v>
                </c:pt>
                <c:pt idx="1">
                  <c:v>36862</c:v>
                </c:pt>
                <c:pt idx="2">
                  <c:v>36863</c:v>
                </c:pt>
                <c:pt idx="3">
                  <c:v>36864</c:v>
                </c:pt>
                <c:pt idx="4">
                  <c:v>36865</c:v>
                </c:pt>
                <c:pt idx="5">
                  <c:v>36866</c:v>
                </c:pt>
                <c:pt idx="6">
                  <c:v>36867</c:v>
                </c:pt>
                <c:pt idx="7">
                  <c:v>36868</c:v>
                </c:pt>
                <c:pt idx="8">
                  <c:v>36869</c:v>
                </c:pt>
                <c:pt idx="9">
                  <c:v>36870</c:v>
                </c:pt>
                <c:pt idx="10">
                  <c:v>36871</c:v>
                </c:pt>
                <c:pt idx="11">
                  <c:v>36872</c:v>
                </c:pt>
                <c:pt idx="12">
                  <c:v>36873</c:v>
                </c:pt>
                <c:pt idx="13">
                  <c:v>36874</c:v>
                </c:pt>
                <c:pt idx="14">
                  <c:v>36875</c:v>
                </c:pt>
                <c:pt idx="15">
                  <c:v>36876</c:v>
                </c:pt>
                <c:pt idx="16">
                  <c:v>36877</c:v>
                </c:pt>
                <c:pt idx="17">
                  <c:v>36878</c:v>
                </c:pt>
                <c:pt idx="18">
                  <c:v>36879</c:v>
                </c:pt>
                <c:pt idx="19">
                  <c:v>36880</c:v>
                </c:pt>
                <c:pt idx="20">
                  <c:v>36881</c:v>
                </c:pt>
                <c:pt idx="21">
                  <c:v>36882</c:v>
                </c:pt>
                <c:pt idx="22">
                  <c:v>36883</c:v>
                </c:pt>
                <c:pt idx="23">
                  <c:v>36884</c:v>
                </c:pt>
                <c:pt idx="24">
                  <c:v>36885</c:v>
                </c:pt>
                <c:pt idx="25">
                  <c:v>36886</c:v>
                </c:pt>
                <c:pt idx="26">
                  <c:v>36887</c:v>
                </c:pt>
                <c:pt idx="27">
                  <c:v>36888</c:v>
                </c:pt>
                <c:pt idx="28">
                  <c:v>36889</c:v>
                </c:pt>
                <c:pt idx="29">
                  <c:v>36890</c:v>
                </c:pt>
                <c:pt idx="30">
                  <c:v>36891</c:v>
                </c:pt>
              </c:numCache>
            </c:numRef>
          </c:cat>
          <c:val>
            <c:numRef>
              <c:f>DAILY!$X$2:$X$32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16080</c:v>
                </c:pt>
                <c:pt idx="4">
                  <c:v>0</c:v>
                </c:pt>
                <c:pt idx="5">
                  <c:v>37000</c:v>
                </c:pt>
                <c:pt idx="6">
                  <c:v>12600</c:v>
                </c:pt>
                <c:pt idx="7">
                  <c:v>50552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787328"/>
        <c:axId val="223787888"/>
      </c:lineChart>
      <c:dateAx>
        <c:axId val="2237873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787888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23787888"/>
        <c:scaling>
          <c:orientation val="minMax"/>
          <c:max val="2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78732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677409403444778"/>
          <c:y val="0.93633758332602768"/>
          <c:w val="0.18558871744898894"/>
          <c:h val="5.41419691038859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515504509586278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1864509758545068E-2"/>
          <c:y val="0.10057780555495467"/>
          <c:w val="0.94696341791863903"/>
          <c:h val="0.64944525872627867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36861</c:v>
                </c:pt>
                <c:pt idx="1">
                  <c:v>36862</c:v>
                </c:pt>
                <c:pt idx="2">
                  <c:v>36863</c:v>
                </c:pt>
                <c:pt idx="3">
                  <c:v>36864</c:v>
                </c:pt>
                <c:pt idx="4">
                  <c:v>36865</c:v>
                </c:pt>
                <c:pt idx="5">
                  <c:v>36866</c:v>
                </c:pt>
                <c:pt idx="6">
                  <c:v>36867</c:v>
                </c:pt>
                <c:pt idx="7">
                  <c:v>36868</c:v>
                </c:pt>
                <c:pt idx="8">
                  <c:v>36869</c:v>
                </c:pt>
                <c:pt idx="9">
                  <c:v>36870</c:v>
                </c:pt>
                <c:pt idx="10">
                  <c:v>36871</c:v>
                </c:pt>
                <c:pt idx="11">
                  <c:v>36872</c:v>
                </c:pt>
                <c:pt idx="12">
                  <c:v>36873</c:v>
                </c:pt>
                <c:pt idx="13">
                  <c:v>36874</c:v>
                </c:pt>
                <c:pt idx="14">
                  <c:v>36875</c:v>
                </c:pt>
                <c:pt idx="15">
                  <c:v>36876</c:v>
                </c:pt>
                <c:pt idx="16">
                  <c:v>36877</c:v>
                </c:pt>
                <c:pt idx="17">
                  <c:v>36878</c:v>
                </c:pt>
                <c:pt idx="18">
                  <c:v>36879</c:v>
                </c:pt>
                <c:pt idx="19">
                  <c:v>36880</c:v>
                </c:pt>
                <c:pt idx="20">
                  <c:v>36881</c:v>
                </c:pt>
                <c:pt idx="21">
                  <c:v>36882</c:v>
                </c:pt>
                <c:pt idx="22">
                  <c:v>36883</c:v>
                </c:pt>
                <c:pt idx="23">
                  <c:v>36884</c:v>
                </c:pt>
                <c:pt idx="24">
                  <c:v>36885</c:v>
                </c:pt>
                <c:pt idx="25">
                  <c:v>36886</c:v>
                </c:pt>
                <c:pt idx="26">
                  <c:v>36887</c:v>
                </c:pt>
                <c:pt idx="27">
                  <c:v>36888</c:v>
                </c:pt>
                <c:pt idx="28">
                  <c:v>36889</c:v>
                </c:pt>
                <c:pt idx="29">
                  <c:v>36890</c:v>
                </c:pt>
                <c:pt idx="30">
                  <c:v>36891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415907</c:v>
                </c:pt>
                <c:pt idx="1">
                  <c:v>421189</c:v>
                </c:pt>
                <c:pt idx="2">
                  <c:v>421175</c:v>
                </c:pt>
                <c:pt idx="3">
                  <c:v>420667</c:v>
                </c:pt>
                <c:pt idx="4">
                  <c:v>429147</c:v>
                </c:pt>
                <c:pt idx="5">
                  <c:v>404169</c:v>
                </c:pt>
                <c:pt idx="6">
                  <c:v>428391</c:v>
                </c:pt>
                <c:pt idx="7">
                  <c:v>463251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790128"/>
        <c:axId val="223790688"/>
      </c:lineChart>
      <c:catAx>
        <c:axId val="223790128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7906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23790688"/>
        <c:scaling>
          <c:orientation val="minMax"/>
          <c:max val="500000"/>
          <c:min val="1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79012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227018676127151"/>
          <c:y val="0.9281894626928674"/>
          <c:w val="4.3043791723574504E-2"/>
          <c:h val="6.034668333297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2995205664521432"/>
          <c:y val="3.21554388891614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92206326731939"/>
          <c:y val="0.1157595800009813"/>
          <c:w val="0.84886344088460419"/>
          <c:h val="0.5723668122270742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36861</c:v>
                </c:pt>
                <c:pt idx="1">
                  <c:v>36862</c:v>
                </c:pt>
                <c:pt idx="2">
                  <c:v>36863</c:v>
                </c:pt>
                <c:pt idx="3">
                  <c:v>36864</c:v>
                </c:pt>
                <c:pt idx="4">
                  <c:v>36865</c:v>
                </c:pt>
                <c:pt idx="5">
                  <c:v>36866</c:v>
                </c:pt>
                <c:pt idx="6">
                  <c:v>36867</c:v>
                </c:pt>
                <c:pt idx="7">
                  <c:v>36868</c:v>
                </c:pt>
                <c:pt idx="8">
                  <c:v>36869</c:v>
                </c:pt>
                <c:pt idx="9">
                  <c:v>36870</c:v>
                </c:pt>
                <c:pt idx="10">
                  <c:v>36871</c:v>
                </c:pt>
                <c:pt idx="11">
                  <c:v>36872</c:v>
                </c:pt>
                <c:pt idx="12">
                  <c:v>36873</c:v>
                </c:pt>
                <c:pt idx="13">
                  <c:v>36874</c:v>
                </c:pt>
                <c:pt idx="14">
                  <c:v>36875</c:v>
                </c:pt>
                <c:pt idx="15">
                  <c:v>36876</c:v>
                </c:pt>
                <c:pt idx="16">
                  <c:v>36877</c:v>
                </c:pt>
                <c:pt idx="17">
                  <c:v>36878</c:v>
                </c:pt>
                <c:pt idx="18">
                  <c:v>36879</c:v>
                </c:pt>
                <c:pt idx="19">
                  <c:v>36880</c:v>
                </c:pt>
                <c:pt idx="20">
                  <c:v>36881</c:v>
                </c:pt>
                <c:pt idx="21">
                  <c:v>36882</c:v>
                </c:pt>
                <c:pt idx="22">
                  <c:v>36883</c:v>
                </c:pt>
                <c:pt idx="23">
                  <c:v>36884</c:v>
                </c:pt>
                <c:pt idx="24">
                  <c:v>36885</c:v>
                </c:pt>
                <c:pt idx="25">
                  <c:v>36886</c:v>
                </c:pt>
                <c:pt idx="26">
                  <c:v>36887</c:v>
                </c:pt>
                <c:pt idx="27">
                  <c:v>36888</c:v>
                </c:pt>
                <c:pt idx="28">
                  <c:v>36889</c:v>
                </c:pt>
                <c:pt idx="29">
                  <c:v>36890</c:v>
                </c:pt>
                <c:pt idx="30">
                  <c:v>36891</c:v>
                </c:pt>
              </c:numCache>
            </c:numRef>
          </c:cat>
          <c:val>
            <c:numRef>
              <c:f>DAILY!$Z$2:$Z$32</c:f>
              <c:numCache>
                <c:formatCode>0</c:formatCode>
                <c:ptCount val="31"/>
                <c:pt idx="0">
                  <c:v>495450.4192</c:v>
                </c:pt>
                <c:pt idx="1">
                  <c:v>495450.4192</c:v>
                </c:pt>
                <c:pt idx="2">
                  <c:v>495450.4192</c:v>
                </c:pt>
                <c:pt idx="3">
                  <c:v>479370.4192</c:v>
                </c:pt>
                <c:pt idx="4">
                  <c:v>499370.4192</c:v>
                </c:pt>
                <c:pt idx="5">
                  <c:v>462370.4192</c:v>
                </c:pt>
                <c:pt idx="6">
                  <c:v>449770.4192</c:v>
                </c:pt>
                <c:pt idx="7">
                  <c:v>399218.4192</c:v>
                </c:pt>
                <c:pt idx="8">
                  <c:v>399218.4192</c:v>
                </c:pt>
                <c:pt idx="9">
                  <c:v>399218.4192</c:v>
                </c:pt>
                <c:pt idx="10">
                  <c:v>399218.4192</c:v>
                </c:pt>
                <c:pt idx="11">
                  <c:v>399218.4192</c:v>
                </c:pt>
                <c:pt idx="12">
                  <c:v>399218.4192</c:v>
                </c:pt>
                <c:pt idx="13">
                  <c:v>399218.4192</c:v>
                </c:pt>
                <c:pt idx="14">
                  <c:v>399218.4192</c:v>
                </c:pt>
                <c:pt idx="15">
                  <c:v>399218.4192</c:v>
                </c:pt>
                <c:pt idx="16">
                  <c:v>399218.4192</c:v>
                </c:pt>
                <c:pt idx="17">
                  <c:v>399218.4192</c:v>
                </c:pt>
                <c:pt idx="18">
                  <c:v>399218.4192</c:v>
                </c:pt>
                <c:pt idx="19">
                  <c:v>399218.4192</c:v>
                </c:pt>
                <c:pt idx="20">
                  <c:v>399218.4192</c:v>
                </c:pt>
                <c:pt idx="21">
                  <c:v>399218.4192</c:v>
                </c:pt>
                <c:pt idx="22">
                  <c:v>399218.4192</c:v>
                </c:pt>
                <c:pt idx="23">
                  <c:v>399218.4192</c:v>
                </c:pt>
                <c:pt idx="24">
                  <c:v>399218.4192</c:v>
                </c:pt>
                <c:pt idx="25">
                  <c:v>399218.4192</c:v>
                </c:pt>
                <c:pt idx="26">
                  <c:v>399218.4192</c:v>
                </c:pt>
                <c:pt idx="27">
                  <c:v>399218.4192</c:v>
                </c:pt>
                <c:pt idx="28">
                  <c:v>399218.4192</c:v>
                </c:pt>
                <c:pt idx="29">
                  <c:v>399218.4192</c:v>
                </c:pt>
                <c:pt idx="30">
                  <c:v>399218.4192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116576"/>
        <c:axId val="223116016"/>
      </c:lineChart>
      <c:catAx>
        <c:axId val="223116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11601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23116016"/>
        <c:scaling>
          <c:orientation val="minMax"/>
          <c:min val="5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11657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485230706564975"/>
          <c:y val="0.93250772778568269"/>
          <c:w val="0.12355032958080711"/>
          <c:h val="5.7879790000490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layout>
        <c:manualLayout>
          <c:xMode val="edge"/>
          <c:yMode val="edge"/>
          <c:x val="0.40215373369963081"/>
          <c:y val="1.5823271773062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62442038050589"/>
          <c:y val="9.1774976283764007E-2"/>
          <c:w val="0.8501805168707024"/>
          <c:h val="0.60444898173099748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36861</c:v>
                </c:pt>
                <c:pt idx="1">
                  <c:v>36862</c:v>
                </c:pt>
                <c:pt idx="2">
                  <c:v>36863</c:v>
                </c:pt>
                <c:pt idx="3">
                  <c:v>36864</c:v>
                </c:pt>
                <c:pt idx="4">
                  <c:v>36865</c:v>
                </c:pt>
                <c:pt idx="5">
                  <c:v>36866</c:v>
                </c:pt>
                <c:pt idx="6">
                  <c:v>36867</c:v>
                </c:pt>
                <c:pt idx="7">
                  <c:v>36868</c:v>
                </c:pt>
                <c:pt idx="8">
                  <c:v>36869</c:v>
                </c:pt>
                <c:pt idx="9">
                  <c:v>36870</c:v>
                </c:pt>
                <c:pt idx="10">
                  <c:v>36871</c:v>
                </c:pt>
                <c:pt idx="11">
                  <c:v>36872</c:v>
                </c:pt>
                <c:pt idx="12">
                  <c:v>36873</c:v>
                </c:pt>
                <c:pt idx="13">
                  <c:v>36874</c:v>
                </c:pt>
                <c:pt idx="14">
                  <c:v>36875</c:v>
                </c:pt>
                <c:pt idx="15">
                  <c:v>36876</c:v>
                </c:pt>
                <c:pt idx="16">
                  <c:v>36877</c:v>
                </c:pt>
                <c:pt idx="17">
                  <c:v>36878</c:v>
                </c:pt>
                <c:pt idx="18">
                  <c:v>36879</c:v>
                </c:pt>
                <c:pt idx="19">
                  <c:v>36880</c:v>
                </c:pt>
                <c:pt idx="20">
                  <c:v>36881</c:v>
                </c:pt>
                <c:pt idx="21">
                  <c:v>36882</c:v>
                </c:pt>
                <c:pt idx="22">
                  <c:v>36883</c:v>
                </c:pt>
                <c:pt idx="23">
                  <c:v>36884</c:v>
                </c:pt>
                <c:pt idx="24">
                  <c:v>36885</c:v>
                </c:pt>
                <c:pt idx="25">
                  <c:v>36886</c:v>
                </c:pt>
                <c:pt idx="26">
                  <c:v>36887</c:v>
                </c:pt>
                <c:pt idx="27">
                  <c:v>36888</c:v>
                </c:pt>
                <c:pt idx="28">
                  <c:v>36889</c:v>
                </c:pt>
                <c:pt idx="29">
                  <c:v>36890</c:v>
                </c:pt>
                <c:pt idx="30">
                  <c:v>36891</c:v>
                </c:pt>
              </c:numCache>
            </c:numRef>
          </c:cat>
          <c:val>
            <c:numRef>
              <c:f>DAILY!$AB$2:$AB$32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792368"/>
        <c:axId val="223792928"/>
      </c:lineChart>
      <c:catAx>
        <c:axId val="223792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79292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23792928"/>
        <c:scaling>
          <c:orientation val="minMax"/>
          <c:max val="1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79236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146626139499918"/>
          <c:y val="0.93357303461070285"/>
          <c:w val="0.10244981048621774"/>
          <c:h val="5.696377838302593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layout>
        <c:manualLayout>
          <c:xMode val="edge"/>
          <c:yMode val="edge"/>
          <c:x val="0.45270718581537195"/>
          <c:y val="1.57237774532701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26245840682365"/>
          <c:y val="9.1197909228966756E-2"/>
          <c:w val="0.85737791783039896"/>
          <c:h val="0.60379305420557305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36861</c:v>
                </c:pt>
                <c:pt idx="1">
                  <c:v>36862</c:v>
                </c:pt>
                <c:pt idx="2">
                  <c:v>36863</c:v>
                </c:pt>
                <c:pt idx="3">
                  <c:v>36864</c:v>
                </c:pt>
                <c:pt idx="4">
                  <c:v>36865</c:v>
                </c:pt>
                <c:pt idx="5">
                  <c:v>36866</c:v>
                </c:pt>
                <c:pt idx="6">
                  <c:v>36867</c:v>
                </c:pt>
                <c:pt idx="7">
                  <c:v>36868</c:v>
                </c:pt>
                <c:pt idx="8">
                  <c:v>36869</c:v>
                </c:pt>
                <c:pt idx="9">
                  <c:v>36870</c:v>
                </c:pt>
                <c:pt idx="10">
                  <c:v>36871</c:v>
                </c:pt>
                <c:pt idx="11">
                  <c:v>36872</c:v>
                </c:pt>
                <c:pt idx="12">
                  <c:v>36873</c:v>
                </c:pt>
                <c:pt idx="13">
                  <c:v>36874</c:v>
                </c:pt>
                <c:pt idx="14">
                  <c:v>36875</c:v>
                </c:pt>
                <c:pt idx="15">
                  <c:v>36876</c:v>
                </c:pt>
                <c:pt idx="16">
                  <c:v>36877</c:v>
                </c:pt>
                <c:pt idx="17">
                  <c:v>36878</c:v>
                </c:pt>
                <c:pt idx="18">
                  <c:v>36879</c:v>
                </c:pt>
                <c:pt idx="19">
                  <c:v>36880</c:v>
                </c:pt>
                <c:pt idx="20">
                  <c:v>36881</c:v>
                </c:pt>
                <c:pt idx="21">
                  <c:v>36882</c:v>
                </c:pt>
                <c:pt idx="22">
                  <c:v>36883</c:v>
                </c:pt>
                <c:pt idx="23">
                  <c:v>36884</c:v>
                </c:pt>
                <c:pt idx="24">
                  <c:v>36885</c:v>
                </c:pt>
                <c:pt idx="25">
                  <c:v>36886</c:v>
                </c:pt>
                <c:pt idx="26">
                  <c:v>36887</c:v>
                </c:pt>
                <c:pt idx="27">
                  <c:v>36888</c:v>
                </c:pt>
                <c:pt idx="28">
                  <c:v>36889</c:v>
                </c:pt>
                <c:pt idx="29">
                  <c:v>36890</c:v>
                </c:pt>
                <c:pt idx="30">
                  <c:v>36891</c:v>
                </c:pt>
              </c:numCache>
            </c:numRef>
          </c:cat>
          <c:val>
            <c:numRef>
              <c:f>DAILY!$AD$2:$AD$32</c:f>
              <c:numCache>
                <c:formatCode>_(* #,##0_);_(* \(#,##0\);_(* "-"??_);_(@_)</c:formatCode>
                <c:ptCount val="31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1500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1500</c:v>
                </c:pt>
                <c:pt idx="24">
                  <c:v>1500</c:v>
                </c:pt>
                <c:pt idx="25">
                  <c:v>1500</c:v>
                </c:pt>
                <c:pt idx="26">
                  <c:v>1500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795168"/>
        <c:axId val="223795728"/>
      </c:lineChart>
      <c:catAx>
        <c:axId val="223795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795728"/>
        <c:crossesAt val="-40000"/>
        <c:auto val="0"/>
        <c:lblAlgn val="ctr"/>
        <c:lblOffset val="100"/>
        <c:tickLblSkip val="2"/>
        <c:tickMarkSkip val="1"/>
        <c:noMultiLvlLbl val="0"/>
      </c:catAx>
      <c:valAx>
        <c:axId val="223795728"/>
        <c:scaling>
          <c:orientation val="minMax"/>
          <c:max val="80000"/>
          <c:min val="-4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79516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883356794556098"/>
          <c:y val="0.9371371362148998"/>
          <c:w val="0.13537546071006301"/>
          <c:h val="5.03160878504644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87696"/>
        <c:axId val="148588256"/>
      </c:lineChart>
      <c:catAx>
        <c:axId val="14858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88256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48588256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8769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90496"/>
        <c:axId val="148591056"/>
      </c:lineChart>
      <c:catAx>
        <c:axId val="14859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91056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48591056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9049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98528"/>
        <c:axId val="149399088"/>
      </c:lineChart>
      <c:catAx>
        <c:axId val="14939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399088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49399088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39852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01888"/>
        <c:axId val="149402448"/>
      </c:lineChart>
      <c:catAx>
        <c:axId val="1494018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02448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49402448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0188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04688"/>
        <c:axId val="149405248"/>
      </c:lineChart>
      <c:dateAx>
        <c:axId val="1494046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05248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49405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0468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07488"/>
        <c:axId val="149408048"/>
      </c:lineChart>
      <c:catAx>
        <c:axId val="1494074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08048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49408048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0748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0</xdr:col>
      <xdr:colOff>0</xdr:colOff>
      <xdr:row>55</xdr:row>
      <xdr:rowOff>95250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0</xdr:col>
      <xdr:colOff>0</xdr:colOff>
      <xdr:row>25</xdr:row>
      <xdr:rowOff>219075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28575</xdr:rowOff>
    </xdr:from>
    <xdr:to>
      <xdr:col>0</xdr:col>
      <xdr:colOff>0</xdr:colOff>
      <xdr:row>73</xdr:row>
      <xdr:rowOff>47625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0</xdr:col>
      <xdr:colOff>0</xdr:colOff>
      <xdr:row>25</xdr:row>
      <xdr:rowOff>219075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0</xdr:col>
      <xdr:colOff>0</xdr:colOff>
      <xdr:row>39</xdr:row>
      <xdr:rowOff>38100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0</xdr:col>
      <xdr:colOff>0</xdr:colOff>
      <xdr:row>39</xdr:row>
      <xdr:rowOff>28575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0</xdr:col>
      <xdr:colOff>0</xdr:colOff>
      <xdr:row>55</xdr:row>
      <xdr:rowOff>95250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0</xdr:col>
      <xdr:colOff>0</xdr:colOff>
      <xdr:row>25</xdr:row>
      <xdr:rowOff>219075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28575</xdr:rowOff>
    </xdr:from>
    <xdr:to>
      <xdr:col>0</xdr:col>
      <xdr:colOff>0</xdr:colOff>
      <xdr:row>73</xdr:row>
      <xdr:rowOff>47625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0</xdr:col>
      <xdr:colOff>0</xdr:colOff>
      <xdr:row>25</xdr:row>
      <xdr:rowOff>219075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0</xdr:col>
      <xdr:colOff>0</xdr:colOff>
      <xdr:row>39</xdr:row>
      <xdr:rowOff>38100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0</xdr:col>
      <xdr:colOff>0</xdr:colOff>
      <xdr:row>39</xdr:row>
      <xdr:rowOff>28575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0</xdr:col>
      <xdr:colOff>0</xdr:colOff>
      <xdr:row>55</xdr:row>
      <xdr:rowOff>95250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0</xdr:col>
      <xdr:colOff>0</xdr:colOff>
      <xdr:row>25</xdr:row>
      <xdr:rowOff>219075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56</xdr:row>
      <xdr:rowOff>28575</xdr:rowOff>
    </xdr:from>
    <xdr:to>
      <xdr:col>0</xdr:col>
      <xdr:colOff>0</xdr:colOff>
      <xdr:row>73</xdr:row>
      <xdr:rowOff>47625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0</xdr:col>
      <xdr:colOff>0</xdr:colOff>
      <xdr:row>25</xdr:row>
      <xdr:rowOff>219075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0</xdr:col>
      <xdr:colOff>0</xdr:colOff>
      <xdr:row>39</xdr:row>
      <xdr:rowOff>38100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0</xdr:col>
      <xdr:colOff>0</xdr:colOff>
      <xdr:row>39</xdr:row>
      <xdr:rowOff>28575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0</xdr:col>
      <xdr:colOff>0</xdr:colOff>
      <xdr:row>55</xdr:row>
      <xdr:rowOff>95250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0</xdr:col>
      <xdr:colOff>0</xdr:colOff>
      <xdr:row>25</xdr:row>
      <xdr:rowOff>219075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56</xdr:row>
      <xdr:rowOff>28575</xdr:rowOff>
    </xdr:from>
    <xdr:to>
      <xdr:col>0</xdr:col>
      <xdr:colOff>0</xdr:colOff>
      <xdr:row>73</xdr:row>
      <xdr:rowOff>47625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0</xdr:col>
      <xdr:colOff>0</xdr:colOff>
      <xdr:row>25</xdr:row>
      <xdr:rowOff>219075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0</xdr:col>
      <xdr:colOff>0</xdr:colOff>
      <xdr:row>39</xdr:row>
      <xdr:rowOff>38100</xdr:rowOff>
    </xdr:to>
    <xdr:graphicFrame macro="">
      <xdr:nvGraphicFramePr>
        <xdr:cNvPr id="10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0</xdr:col>
      <xdr:colOff>0</xdr:colOff>
      <xdr:row>39</xdr:row>
      <xdr:rowOff>28575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0</xdr:col>
      <xdr:colOff>0</xdr:colOff>
      <xdr:row>57</xdr:row>
      <xdr:rowOff>95250</xdr:rowOff>
    </xdr:to>
    <xdr:graphicFrame macro="">
      <xdr:nvGraphicFramePr>
        <xdr:cNvPr id="104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58</xdr:row>
      <xdr:rowOff>28575</xdr:rowOff>
    </xdr:from>
    <xdr:to>
      <xdr:col>0</xdr:col>
      <xdr:colOff>0</xdr:colOff>
      <xdr:row>75</xdr:row>
      <xdr:rowOff>47625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41</xdr:row>
      <xdr:rowOff>38100</xdr:rowOff>
    </xdr:to>
    <xdr:graphicFrame macro="">
      <xdr:nvGraphicFramePr>
        <xdr:cNvPr id="10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41</xdr:row>
      <xdr:rowOff>28575</xdr:rowOff>
    </xdr:to>
    <xdr:graphicFrame macro="">
      <xdr:nvGraphicFramePr>
        <xdr:cNvPr id="105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45</xdr:row>
      <xdr:rowOff>19050</xdr:rowOff>
    </xdr:from>
    <xdr:to>
      <xdr:col>21</xdr:col>
      <xdr:colOff>9525</xdr:colOff>
      <xdr:row>65</xdr:row>
      <xdr:rowOff>142875</xdr:rowOff>
    </xdr:to>
    <xdr:graphicFrame macro="">
      <xdr:nvGraphicFramePr>
        <xdr:cNvPr id="10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19050</xdr:colOff>
      <xdr:row>7</xdr:row>
      <xdr:rowOff>19050</xdr:rowOff>
    </xdr:from>
    <xdr:to>
      <xdr:col>13</xdr:col>
      <xdr:colOff>142875</xdr:colOff>
      <xdr:row>25</xdr:row>
      <xdr:rowOff>76200</xdr:rowOff>
    </xdr:to>
    <xdr:graphicFrame macro="">
      <xdr:nvGraphicFramePr>
        <xdr:cNvPr id="1056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723900</xdr:colOff>
      <xdr:row>66</xdr:row>
      <xdr:rowOff>114300</xdr:rowOff>
    </xdr:from>
    <xdr:to>
      <xdr:col>20</xdr:col>
      <xdr:colOff>647700</xdr:colOff>
      <xdr:row>87</xdr:row>
      <xdr:rowOff>28575</xdr:rowOff>
    </xdr:to>
    <xdr:graphicFrame macro="">
      <xdr:nvGraphicFramePr>
        <xdr:cNvPr id="1057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276225</xdr:colOff>
      <xdr:row>7</xdr:row>
      <xdr:rowOff>19050</xdr:rowOff>
    </xdr:from>
    <xdr:to>
      <xdr:col>21</xdr:col>
      <xdr:colOff>9525</xdr:colOff>
      <xdr:row>25</xdr:row>
      <xdr:rowOff>47625</xdr:rowOff>
    </xdr:to>
    <xdr:graphicFrame macro="">
      <xdr:nvGraphicFramePr>
        <xdr:cNvPr id="1058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104775</xdr:rowOff>
    </xdr:from>
    <xdr:to>
      <xdr:col>13</xdr:col>
      <xdr:colOff>142875</xdr:colOff>
      <xdr:row>43</xdr:row>
      <xdr:rowOff>152400</xdr:rowOff>
    </xdr:to>
    <xdr:graphicFrame macro="">
      <xdr:nvGraphicFramePr>
        <xdr:cNvPr id="1059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304800</xdr:colOff>
      <xdr:row>25</xdr:row>
      <xdr:rowOff>76200</xdr:rowOff>
    </xdr:from>
    <xdr:to>
      <xdr:col>21</xdr:col>
      <xdr:colOff>28575</xdr:colOff>
      <xdr:row>43</xdr:row>
      <xdr:rowOff>142875</xdr:rowOff>
    </xdr:to>
    <xdr:graphicFrame macro="">
      <xdr:nvGraphicFramePr>
        <xdr:cNvPr id="1060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9"/>
  <sheetViews>
    <sheetView zoomScale="75" workbookViewId="0"/>
  </sheetViews>
  <sheetFormatPr defaultRowHeight="12.75" x14ac:dyDescent="0.2"/>
  <cols>
    <col min="1" max="1" width="26.42578125" style="48" bestFit="1" customWidth="1"/>
    <col min="2" max="2" width="11" style="48" bestFit="1" customWidth="1"/>
    <col min="3" max="3" width="11" style="2" bestFit="1" customWidth="1"/>
    <col min="4" max="4" width="26.42578125" style="2" bestFit="1" customWidth="1"/>
    <col min="5" max="6" width="9.28515625" style="2" bestFit="1" customWidth="1"/>
    <col min="7" max="7" width="26.42578125" style="2" bestFit="1" customWidth="1"/>
    <col min="8" max="9" width="11" style="2" bestFit="1" customWidth="1"/>
    <col min="10" max="10" width="26.42578125" style="2" bestFit="1" customWidth="1"/>
    <col min="11" max="12" width="9.28515625" style="2" bestFit="1" customWidth="1"/>
    <col min="13" max="13" width="9.140625" style="2"/>
    <col min="14" max="14" width="14.28515625" style="2" bestFit="1" customWidth="1"/>
    <col min="15" max="17" width="13.7109375" style="2" customWidth="1"/>
    <col min="18" max="22" width="9.140625" style="2"/>
    <col min="23" max="23" width="13.7109375" style="2" customWidth="1"/>
    <col min="24" max="25" width="13.140625" style="2" customWidth="1"/>
    <col min="26" max="16384" width="9.140625" style="2"/>
  </cols>
  <sheetData>
    <row r="1" spans="1:17" ht="27.75" customHeight="1" thickBot="1" x14ac:dyDescent="0.25">
      <c r="A1" s="48" t="s">
        <v>0</v>
      </c>
      <c r="B1" s="49">
        <f ca="1">TODAY()</f>
        <v>41887</v>
      </c>
      <c r="G1" s="2" t="s">
        <v>0</v>
      </c>
      <c r="H1" s="3">
        <f ca="1">TODAY()</f>
        <v>41887</v>
      </c>
    </row>
    <row r="2" spans="1:17" ht="13.5" thickBot="1" x14ac:dyDescent="0.25">
      <c r="A2" s="48" t="s">
        <v>12</v>
      </c>
      <c r="B2" s="49">
        <f ca="1">TODAY()+2</f>
        <v>41889</v>
      </c>
      <c r="G2" s="2" t="s">
        <v>12</v>
      </c>
      <c r="H2" s="3">
        <f ca="1">TODAY()+3</f>
        <v>41890</v>
      </c>
    </row>
    <row r="3" spans="1:17" ht="25.5" customHeight="1" thickBot="1" x14ac:dyDescent="0.25">
      <c r="B3" s="50" t="s">
        <v>13</v>
      </c>
      <c r="C3" s="1" t="s">
        <v>14</v>
      </c>
      <c r="D3" s="1" t="s">
        <v>15</v>
      </c>
      <c r="H3" s="1" t="s">
        <v>13</v>
      </c>
      <c r="I3" s="1" t="s">
        <v>14</v>
      </c>
      <c r="J3" s="1" t="s">
        <v>15</v>
      </c>
    </row>
    <row r="4" spans="1:17" ht="13.5" thickBot="1" x14ac:dyDescent="0.25">
      <c r="A4" s="48" t="s">
        <v>16</v>
      </c>
      <c r="B4" s="59">
        <v>42</v>
      </c>
      <c r="C4" s="17">
        <v>35</v>
      </c>
      <c r="D4" s="18">
        <f>AVERAGE(B4,C4)</f>
        <v>38.5</v>
      </c>
      <c r="G4" s="2" t="s">
        <v>16</v>
      </c>
      <c r="H4" s="16">
        <v>35</v>
      </c>
      <c r="I4" s="17">
        <v>23</v>
      </c>
      <c r="J4" s="18">
        <f>AVERAGE(H4,I4)</f>
        <v>29</v>
      </c>
    </row>
    <row r="5" spans="1:17" ht="13.5" thickBot="1" x14ac:dyDescent="0.25">
      <c r="A5" s="51"/>
      <c r="B5" s="52"/>
      <c r="C5" s="1" t="s">
        <v>18</v>
      </c>
      <c r="D5" s="19"/>
      <c r="E5" s="20"/>
      <c r="F5" s="1" t="s">
        <v>18</v>
      </c>
      <c r="G5" s="19"/>
      <c r="H5" s="20"/>
      <c r="I5" s="1" t="s">
        <v>18</v>
      </c>
      <c r="J5" s="19"/>
      <c r="K5" s="20"/>
      <c r="L5" s="1" t="s">
        <v>18</v>
      </c>
      <c r="N5" s="21" t="s">
        <v>19</v>
      </c>
      <c r="O5" s="22">
        <f ca="1">TODAY()-1</f>
        <v>41886</v>
      </c>
      <c r="P5" s="22">
        <f ca="1">TODAY()</f>
        <v>41887</v>
      </c>
      <c r="Q5" s="22" t="s">
        <v>51</v>
      </c>
    </row>
    <row r="6" spans="1:17" x14ac:dyDescent="0.2">
      <c r="A6" s="53" t="s">
        <v>21</v>
      </c>
      <c r="B6" s="54">
        <v>-900000</v>
      </c>
      <c r="C6" s="12">
        <v>-903000</v>
      </c>
      <c r="D6" s="25" t="s">
        <v>22</v>
      </c>
      <c r="E6" s="26">
        <v>-146000</v>
      </c>
      <c r="F6" s="12">
        <v>-140000</v>
      </c>
      <c r="G6" s="25" t="s">
        <v>21</v>
      </c>
      <c r="H6" s="26">
        <v>-1100000</v>
      </c>
      <c r="I6" s="12">
        <v>-1080000</v>
      </c>
      <c r="J6" s="25" t="s">
        <v>22</v>
      </c>
      <c r="K6" s="26">
        <v>-176000</v>
      </c>
      <c r="L6" s="12">
        <v>-180000</v>
      </c>
      <c r="N6" s="25" t="s">
        <v>23</v>
      </c>
      <c r="O6" s="39">
        <f>6300*2</f>
        <v>12600</v>
      </c>
      <c r="P6" s="46">
        <f>25276*2</f>
        <v>50552</v>
      </c>
      <c r="Q6" s="39">
        <f>+P6-O6</f>
        <v>37952</v>
      </c>
    </row>
    <row r="7" spans="1:17" x14ac:dyDescent="0.2">
      <c r="A7" s="53" t="s">
        <v>62</v>
      </c>
      <c r="B7" s="54"/>
      <c r="D7" s="25" t="s">
        <v>25</v>
      </c>
      <c r="E7" s="26">
        <v>0</v>
      </c>
      <c r="G7" s="25" t="s">
        <v>62</v>
      </c>
      <c r="H7" s="26"/>
      <c r="J7" s="25" t="s">
        <v>25</v>
      </c>
      <c r="K7" s="26">
        <v>0</v>
      </c>
      <c r="N7" s="25" t="s">
        <v>26</v>
      </c>
      <c r="O7" s="40">
        <f>DAILY!K5</f>
        <v>0</v>
      </c>
      <c r="P7" s="29">
        <f>DAILY!L5</f>
        <v>0</v>
      </c>
      <c r="Q7" s="40">
        <f>+P7-O7</f>
        <v>0</v>
      </c>
    </row>
    <row r="8" spans="1:17" ht="13.5" thickBot="1" x14ac:dyDescent="0.25">
      <c r="A8" s="53" t="s">
        <v>67</v>
      </c>
      <c r="B8" s="54">
        <f>-10670-10000</f>
        <v>-20670</v>
      </c>
      <c r="D8" s="25" t="s">
        <v>27</v>
      </c>
      <c r="E8" s="26"/>
      <c r="G8" s="25" t="s">
        <v>67</v>
      </c>
      <c r="H8" s="26">
        <f>-10670-10000</f>
        <v>-20670</v>
      </c>
      <c r="J8" s="25" t="s">
        <v>27</v>
      </c>
      <c r="K8" s="26"/>
      <c r="N8" s="31" t="s">
        <v>28</v>
      </c>
      <c r="O8" s="42">
        <f>+(O6-O7)/2</f>
        <v>6300</v>
      </c>
      <c r="P8" s="41">
        <f>+(P6-P7)/2</f>
        <v>25276</v>
      </c>
      <c r="Q8" s="42">
        <f>+P8-O8</f>
        <v>18976</v>
      </c>
    </row>
    <row r="9" spans="1:17" x14ac:dyDescent="0.2">
      <c r="A9" s="53" t="s">
        <v>68</v>
      </c>
      <c r="B9" s="54">
        <v>0</v>
      </c>
      <c r="D9" s="25" t="s">
        <v>29</v>
      </c>
      <c r="E9" s="26">
        <v>0</v>
      </c>
      <c r="G9" s="45" t="s">
        <v>68</v>
      </c>
      <c r="H9" s="26">
        <v>0</v>
      </c>
      <c r="J9" s="25" t="s">
        <v>29</v>
      </c>
      <c r="K9" s="26">
        <v>0</v>
      </c>
    </row>
    <row r="10" spans="1:17" x14ac:dyDescent="0.2">
      <c r="A10" s="53" t="s">
        <v>69</v>
      </c>
      <c r="B10" s="54">
        <v>-50000</v>
      </c>
      <c r="C10" s="14"/>
      <c r="D10" s="25" t="s">
        <v>54</v>
      </c>
      <c r="E10" s="26">
        <v>0</v>
      </c>
      <c r="G10" s="45" t="s">
        <v>69</v>
      </c>
      <c r="H10" s="26">
        <v>-50000</v>
      </c>
      <c r="I10" s="14"/>
      <c r="J10" s="25" t="s">
        <v>54</v>
      </c>
      <c r="K10" s="26">
        <v>0</v>
      </c>
    </row>
    <row r="11" spans="1:17" x14ac:dyDescent="0.2">
      <c r="A11" s="53" t="s">
        <v>70</v>
      </c>
      <c r="B11" s="26">
        <f>-25720-B8</f>
        <v>-5050</v>
      </c>
      <c r="C11" s="14"/>
      <c r="D11" s="25" t="s">
        <v>31</v>
      </c>
      <c r="E11" s="26">
        <v>0</v>
      </c>
      <c r="G11" s="45" t="s">
        <v>70</v>
      </c>
      <c r="H11" s="26">
        <f>-25720-H8</f>
        <v>-5050</v>
      </c>
      <c r="I11" s="14"/>
      <c r="J11" s="25" t="s">
        <v>31</v>
      </c>
      <c r="K11" s="26">
        <v>0</v>
      </c>
    </row>
    <row r="12" spans="1:17" x14ac:dyDescent="0.2">
      <c r="A12" s="53" t="s">
        <v>24</v>
      </c>
      <c r="B12" s="54">
        <v>0</v>
      </c>
      <c r="D12" s="45" t="s">
        <v>59</v>
      </c>
      <c r="E12" s="43">
        <v>-1000</v>
      </c>
      <c r="G12" s="25" t="s">
        <v>24</v>
      </c>
      <c r="H12" s="26">
        <v>0</v>
      </c>
      <c r="J12" s="45" t="s">
        <v>59</v>
      </c>
      <c r="K12" s="43">
        <v>-1000</v>
      </c>
    </row>
    <row r="13" spans="1:17" ht="13.5" thickBot="1" x14ac:dyDescent="0.25">
      <c r="A13" s="53" t="s">
        <v>29</v>
      </c>
      <c r="B13" s="26">
        <f>(-126746-24000-3730)-B14</f>
        <v>-125294</v>
      </c>
      <c r="D13" s="25" t="s">
        <v>32</v>
      </c>
      <c r="E13" s="26">
        <v>0</v>
      </c>
      <c r="G13" s="25" t="s">
        <v>29</v>
      </c>
      <c r="H13" s="26">
        <f>(-126746-24000-3730)-H14</f>
        <v>-125294</v>
      </c>
      <c r="J13" s="25" t="s">
        <v>32</v>
      </c>
      <c r="K13" s="26">
        <v>0</v>
      </c>
    </row>
    <row r="14" spans="1:17" ht="13.5" thickBot="1" x14ac:dyDescent="0.25">
      <c r="A14" s="53" t="s">
        <v>66</v>
      </c>
      <c r="B14" s="54">
        <f>-1452-24000-3730</f>
        <v>-29182</v>
      </c>
      <c r="C14" s="2" t="s">
        <v>17</v>
      </c>
      <c r="D14" s="34" t="s">
        <v>33</v>
      </c>
      <c r="E14" s="35">
        <f>SUM(E6:E13)</f>
        <v>-147000</v>
      </c>
      <c r="G14" s="25" t="s">
        <v>66</v>
      </c>
      <c r="H14" s="26">
        <f>-1452-24000-3730</f>
        <v>-29182</v>
      </c>
      <c r="I14" s="2" t="s">
        <v>17</v>
      </c>
      <c r="J14" s="34" t="s">
        <v>33</v>
      </c>
      <c r="K14" s="35">
        <f>SUM(K6:K13)</f>
        <v>-177000</v>
      </c>
    </row>
    <row r="15" spans="1:17" x14ac:dyDescent="0.2">
      <c r="A15" s="53" t="s">
        <v>19</v>
      </c>
      <c r="B15" s="54">
        <v>0</v>
      </c>
      <c r="C15" s="14"/>
      <c r="D15" s="25"/>
      <c r="E15" s="26"/>
      <c r="F15" s="14">
        <f>SUM(E29,E14)</f>
        <v>0</v>
      </c>
      <c r="G15" s="25" t="s">
        <v>19</v>
      </c>
      <c r="H15" s="26">
        <v>0</v>
      </c>
      <c r="I15" s="14"/>
      <c r="J15" s="25"/>
      <c r="K15" s="26"/>
      <c r="L15" s="14">
        <f>SUM(K29,K14)</f>
        <v>0</v>
      </c>
    </row>
    <row r="16" spans="1:17" x14ac:dyDescent="0.2">
      <c r="A16" s="53" t="s">
        <v>27</v>
      </c>
      <c r="B16" s="54"/>
      <c r="C16" s="14"/>
      <c r="D16" s="25" t="s">
        <v>39</v>
      </c>
      <c r="E16" s="26">
        <v>49111</v>
      </c>
      <c r="G16" s="25" t="s">
        <v>27</v>
      </c>
      <c r="H16" s="26"/>
      <c r="I16" s="14"/>
      <c r="J16" s="25" t="s">
        <v>39</v>
      </c>
      <c r="K16" s="26">
        <v>49111</v>
      </c>
    </row>
    <row r="17" spans="1:11" x14ac:dyDescent="0.2">
      <c r="A17" s="53" t="s">
        <v>32</v>
      </c>
      <c r="B17" s="54">
        <v>-35000</v>
      </c>
      <c r="C17" s="14"/>
      <c r="D17" s="25" t="s">
        <v>40</v>
      </c>
      <c r="E17" s="26">
        <v>0</v>
      </c>
      <c r="G17" s="25" t="s">
        <v>32</v>
      </c>
      <c r="H17" s="43">
        <v>0</v>
      </c>
      <c r="I17" s="14"/>
      <c r="J17" s="25" t="s">
        <v>40</v>
      </c>
      <c r="K17" s="26">
        <v>0</v>
      </c>
    </row>
    <row r="18" spans="1:11" x14ac:dyDescent="0.2">
      <c r="A18" s="53" t="s">
        <v>34</v>
      </c>
      <c r="B18" s="54">
        <v>0</v>
      </c>
      <c r="C18" s="2" t="s">
        <v>17</v>
      </c>
      <c r="D18" s="25" t="s">
        <v>41</v>
      </c>
      <c r="E18" s="26">
        <v>8933</v>
      </c>
      <c r="F18" s="14" t="s">
        <v>17</v>
      </c>
      <c r="G18" s="25" t="s">
        <v>34</v>
      </c>
      <c r="H18" s="26">
        <v>0</v>
      </c>
      <c r="I18" s="2" t="s">
        <v>17</v>
      </c>
      <c r="J18" s="25" t="s">
        <v>41</v>
      </c>
      <c r="K18" s="26">
        <v>8933</v>
      </c>
    </row>
    <row r="19" spans="1:11" x14ac:dyDescent="0.2">
      <c r="A19" s="53" t="s">
        <v>30</v>
      </c>
      <c r="B19" s="54">
        <v>0</v>
      </c>
      <c r="C19" s="44"/>
      <c r="D19" s="25" t="s">
        <v>42</v>
      </c>
      <c r="E19" s="26">
        <v>38712</v>
      </c>
      <c r="G19" s="25" t="s">
        <v>30</v>
      </c>
      <c r="H19" s="26">
        <v>0</v>
      </c>
      <c r="I19" s="44"/>
      <c r="J19" s="25" t="s">
        <v>42</v>
      </c>
      <c r="K19" s="26">
        <v>38712</v>
      </c>
    </row>
    <row r="20" spans="1:11" x14ac:dyDescent="0.2">
      <c r="A20" s="53" t="s">
        <v>52</v>
      </c>
      <c r="B20" s="54">
        <v>0</v>
      </c>
      <c r="C20" s="14"/>
      <c r="D20" s="25" t="s">
        <v>47</v>
      </c>
      <c r="E20" s="26"/>
      <c r="G20" s="25" t="s">
        <v>52</v>
      </c>
      <c r="H20" s="26">
        <v>0</v>
      </c>
      <c r="I20" s="14"/>
      <c r="J20" s="25" t="s">
        <v>47</v>
      </c>
      <c r="K20" s="26"/>
    </row>
    <row r="21" spans="1:11" x14ac:dyDescent="0.2">
      <c r="A21" s="53" t="s">
        <v>53</v>
      </c>
      <c r="B21" s="54">
        <v>0</v>
      </c>
      <c r="C21" s="14"/>
      <c r="D21" s="25" t="s">
        <v>63</v>
      </c>
      <c r="E21" s="26">
        <v>8000</v>
      </c>
      <c r="G21" s="25" t="s">
        <v>53</v>
      </c>
      <c r="H21" s="26">
        <v>0</v>
      </c>
      <c r="I21" s="14"/>
      <c r="J21" s="25" t="s">
        <v>63</v>
      </c>
      <c r="K21" s="26">
        <v>8000</v>
      </c>
    </row>
    <row r="22" spans="1:11" x14ac:dyDescent="0.2">
      <c r="A22" s="53" t="s">
        <v>35</v>
      </c>
      <c r="B22" s="54">
        <v>-42500</v>
      </c>
      <c r="C22" s="14"/>
      <c r="D22" s="25" t="s">
        <v>64</v>
      </c>
      <c r="E22" s="43">
        <v>7000</v>
      </c>
      <c r="G22" s="25" t="s">
        <v>35</v>
      </c>
      <c r="H22" s="26">
        <v>0</v>
      </c>
      <c r="I22" s="14"/>
      <c r="J22" s="25" t="s">
        <v>64</v>
      </c>
      <c r="K22" s="43">
        <v>7000</v>
      </c>
    </row>
    <row r="23" spans="1:11" x14ac:dyDescent="0.2">
      <c r="A23" s="53" t="s">
        <v>29</v>
      </c>
      <c r="B23" s="54">
        <v>0</v>
      </c>
      <c r="C23" s="14" t="s">
        <v>17</v>
      </c>
      <c r="D23" s="25" t="s">
        <v>65</v>
      </c>
      <c r="E23" s="43">
        <f>25000+1244</f>
        <v>26244</v>
      </c>
      <c r="G23" s="25" t="s">
        <v>29</v>
      </c>
      <c r="H23" s="43">
        <v>0</v>
      </c>
      <c r="I23" s="14" t="s">
        <v>17</v>
      </c>
      <c r="J23" s="25" t="s">
        <v>65</v>
      </c>
      <c r="K23" s="43">
        <f>45000+11244</f>
        <v>56244</v>
      </c>
    </row>
    <row r="24" spans="1:11" x14ac:dyDescent="0.2">
      <c r="A24" s="53" t="s">
        <v>36</v>
      </c>
      <c r="B24" s="54">
        <v>0</v>
      </c>
      <c r="D24" s="25" t="s">
        <v>32</v>
      </c>
      <c r="E24" s="43">
        <v>0</v>
      </c>
      <c r="G24" s="25" t="s">
        <v>36</v>
      </c>
      <c r="H24" s="26">
        <v>0</v>
      </c>
      <c r="J24" s="25" t="s">
        <v>32</v>
      </c>
      <c r="K24" s="43">
        <v>0</v>
      </c>
    </row>
    <row r="25" spans="1:11" x14ac:dyDescent="0.2">
      <c r="A25" s="53" t="s">
        <v>37</v>
      </c>
      <c r="B25" s="54">
        <v>0</v>
      </c>
      <c r="D25" s="25" t="s">
        <v>29</v>
      </c>
      <c r="E25" s="43">
        <v>9000</v>
      </c>
      <c r="G25" s="25" t="s">
        <v>37</v>
      </c>
      <c r="H25" s="26">
        <v>0</v>
      </c>
      <c r="J25" s="25" t="s">
        <v>29</v>
      </c>
      <c r="K25" s="43">
        <v>9000</v>
      </c>
    </row>
    <row r="26" spans="1:11" ht="13.5" thickBot="1" x14ac:dyDescent="0.25">
      <c r="A26" s="53" t="s">
        <v>38</v>
      </c>
      <c r="B26" s="54">
        <v>-22500</v>
      </c>
      <c r="D26" s="25" t="s">
        <v>59</v>
      </c>
      <c r="E26" s="43">
        <v>0</v>
      </c>
      <c r="G26" s="25" t="s">
        <v>38</v>
      </c>
      <c r="H26" s="26">
        <v>0</v>
      </c>
      <c r="J26" s="25" t="s">
        <v>59</v>
      </c>
      <c r="K26" s="43">
        <v>0</v>
      </c>
    </row>
    <row r="27" spans="1:11" ht="13.5" thickBot="1" x14ac:dyDescent="0.25">
      <c r="A27" s="55" t="s">
        <v>33</v>
      </c>
      <c r="B27" s="35">
        <f>SUM(B6:B26)</f>
        <v>-1230196</v>
      </c>
      <c r="C27" s="14">
        <f>SUM(B27,B54)</f>
        <v>0</v>
      </c>
      <c r="D27" s="25" t="s">
        <v>61</v>
      </c>
      <c r="E27" s="43">
        <v>0</v>
      </c>
      <c r="G27" s="34" t="s">
        <v>33</v>
      </c>
      <c r="H27" s="35">
        <f>SUM(H6:H26)</f>
        <v>-1330196</v>
      </c>
      <c r="I27" s="14">
        <f>SUM(H27,H54)</f>
        <v>0</v>
      </c>
      <c r="J27" s="25" t="s">
        <v>61</v>
      </c>
      <c r="K27" s="43">
        <v>0</v>
      </c>
    </row>
    <row r="28" spans="1:11" ht="13.5" thickBot="1" x14ac:dyDescent="0.25">
      <c r="A28" s="53"/>
      <c r="B28" s="54"/>
      <c r="D28" s="25" t="s">
        <v>43</v>
      </c>
      <c r="E28" s="26">
        <v>0</v>
      </c>
      <c r="G28" s="25"/>
      <c r="H28" s="26"/>
      <c r="J28" s="25" t="s">
        <v>43</v>
      </c>
      <c r="K28" s="26">
        <v>0</v>
      </c>
    </row>
    <row r="29" spans="1:11" ht="13.5" thickBot="1" x14ac:dyDescent="0.25">
      <c r="A29" s="53" t="s">
        <v>39</v>
      </c>
      <c r="B29" s="54">
        <v>355784</v>
      </c>
      <c r="C29" s="14" t="s">
        <v>17</v>
      </c>
      <c r="D29" s="34" t="s">
        <v>44</v>
      </c>
      <c r="E29" s="35">
        <f>SUM(E16:E28)</f>
        <v>147000</v>
      </c>
      <c r="G29" s="25" t="s">
        <v>39</v>
      </c>
      <c r="H29" s="26">
        <v>355784</v>
      </c>
      <c r="I29" s="14" t="s">
        <v>17</v>
      </c>
      <c r="J29" s="34" t="s">
        <v>44</v>
      </c>
      <c r="K29" s="35">
        <f>SUM(K16:K28)</f>
        <v>177000</v>
      </c>
    </row>
    <row r="30" spans="1:11" ht="13.5" thickBot="1" x14ac:dyDescent="0.25">
      <c r="A30" s="53" t="s">
        <v>40</v>
      </c>
      <c r="B30" s="54">
        <v>0</v>
      </c>
      <c r="D30" s="31"/>
      <c r="E30" s="37"/>
      <c r="F30" s="14"/>
      <c r="G30" s="25" t="s">
        <v>40</v>
      </c>
      <c r="H30" s="26">
        <v>0</v>
      </c>
      <c r="J30" s="31"/>
      <c r="K30" s="37"/>
    </row>
    <row r="31" spans="1:11" x14ac:dyDescent="0.2">
      <c r="A31" s="53" t="s">
        <v>41</v>
      </c>
      <c r="B31" s="54">
        <v>0</v>
      </c>
      <c r="C31" s="14" t="s">
        <v>17</v>
      </c>
      <c r="D31"/>
      <c r="E31"/>
      <c r="G31" s="25" t="s">
        <v>41</v>
      </c>
      <c r="H31" s="26">
        <v>0</v>
      </c>
      <c r="I31" s="14" t="s">
        <v>17</v>
      </c>
      <c r="J31"/>
      <c r="K31"/>
    </row>
    <row r="32" spans="1:11" x14ac:dyDescent="0.2">
      <c r="A32" s="53" t="s">
        <v>42</v>
      </c>
      <c r="B32" s="54">
        <v>424539</v>
      </c>
      <c r="E32" s="12"/>
      <c r="G32" s="25" t="s">
        <v>42</v>
      </c>
      <c r="H32" s="26">
        <v>424539</v>
      </c>
      <c r="K32" s="12"/>
    </row>
    <row r="33" spans="1:11" x14ac:dyDescent="0.2">
      <c r="A33" s="53" t="s">
        <v>57</v>
      </c>
      <c r="B33" s="54">
        <v>0</v>
      </c>
      <c r="E33" s="12"/>
      <c r="G33" s="25" t="s">
        <v>57</v>
      </c>
      <c r="H33" s="26">
        <v>0</v>
      </c>
      <c r="K33" s="12"/>
    </row>
    <row r="34" spans="1:11" x14ac:dyDescent="0.2">
      <c r="A34" s="53" t="s">
        <v>72</v>
      </c>
      <c r="B34" s="54">
        <v>0</v>
      </c>
      <c r="G34" s="25" t="s">
        <v>72</v>
      </c>
      <c r="H34" s="26">
        <v>0</v>
      </c>
    </row>
    <row r="35" spans="1:11" x14ac:dyDescent="0.2">
      <c r="A35" s="53" t="s">
        <v>58</v>
      </c>
      <c r="B35" s="54">
        <v>47813</v>
      </c>
      <c r="G35" s="25" t="s">
        <v>58</v>
      </c>
      <c r="H35" s="26">
        <v>47813</v>
      </c>
    </row>
    <row r="36" spans="1:11" x14ac:dyDescent="0.2">
      <c r="A36" s="53" t="s">
        <v>60</v>
      </c>
      <c r="B36" s="54">
        <v>0</v>
      </c>
      <c r="G36" s="25" t="s">
        <v>60</v>
      </c>
      <c r="H36" s="43">
        <v>0</v>
      </c>
    </row>
    <row r="37" spans="1:11" x14ac:dyDescent="0.2">
      <c r="A37" s="53" t="s">
        <v>61</v>
      </c>
      <c r="B37" s="54">
        <v>15050</v>
      </c>
      <c r="G37" s="25" t="s">
        <v>61</v>
      </c>
      <c r="H37" s="26">
        <v>15050</v>
      </c>
    </row>
    <row r="38" spans="1:11" x14ac:dyDescent="0.2">
      <c r="A38" s="53" t="s">
        <v>19</v>
      </c>
      <c r="B38" s="54">
        <v>0</v>
      </c>
      <c r="G38" s="25" t="s">
        <v>19</v>
      </c>
      <c r="H38" s="26">
        <v>0</v>
      </c>
    </row>
    <row r="39" spans="1:11" x14ac:dyDescent="0.2">
      <c r="A39" s="53" t="s">
        <v>24</v>
      </c>
      <c r="B39" s="56"/>
      <c r="G39" s="25" t="s">
        <v>24</v>
      </c>
      <c r="H39" s="36"/>
    </row>
    <row r="40" spans="1:11" x14ac:dyDescent="0.2">
      <c r="A40" s="53" t="s">
        <v>71</v>
      </c>
      <c r="B40" s="54">
        <v>0</v>
      </c>
      <c r="G40" s="25" t="s">
        <v>71</v>
      </c>
      <c r="H40" s="26">
        <v>0</v>
      </c>
    </row>
    <row r="41" spans="1:11" x14ac:dyDescent="0.2">
      <c r="A41" s="53" t="s">
        <v>29</v>
      </c>
      <c r="B41" s="54">
        <v>0</v>
      </c>
      <c r="G41" s="25" t="s">
        <v>29</v>
      </c>
      <c r="H41" s="26">
        <v>0</v>
      </c>
    </row>
    <row r="42" spans="1:11" x14ac:dyDescent="0.2">
      <c r="A42" s="53" t="s">
        <v>45</v>
      </c>
      <c r="B42" s="54">
        <v>10</v>
      </c>
      <c r="G42" s="25" t="s">
        <v>45</v>
      </c>
      <c r="H42" s="26">
        <v>10</v>
      </c>
    </row>
    <row r="43" spans="1:11" x14ac:dyDescent="0.2">
      <c r="A43" s="53" t="s">
        <v>46</v>
      </c>
      <c r="B43" s="54">
        <v>1000</v>
      </c>
      <c r="G43" s="25" t="s">
        <v>46</v>
      </c>
      <c r="H43" s="26">
        <v>1000</v>
      </c>
    </row>
    <row r="44" spans="1:11" x14ac:dyDescent="0.2">
      <c r="A44" s="53" t="s">
        <v>47</v>
      </c>
      <c r="B44" s="54"/>
      <c r="E44" s="12"/>
      <c r="G44" s="25" t="s">
        <v>47</v>
      </c>
      <c r="H44" s="26"/>
      <c r="K44" s="12"/>
    </row>
    <row r="45" spans="1:11" x14ac:dyDescent="0.2">
      <c r="A45" s="53" t="s">
        <v>65</v>
      </c>
      <c r="B45" s="54">
        <v>35000</v>
      </c>
      <c r="E45" s="12"/>
      <c r="G45" s="25" t="s">
        <v>65</v>
      </c>
      <c r="H45" s="26">
        <v>35000</v>
      </c>
      <c r="K45" s="12"/>
    </row>
    <row r="46" spans="1:11" x14ac:dyDescent="0.2">
      <c r="A46" s="53" t="s">
        <v>32</v>
      </c>
      <c r="B46" s="54">
        <v>0</v>
      </c>
      <c r="E46" s="12"/>
      <c r="G46" s="25" t="s">
        <v>32</v>
      </c>
      <c r="H46" s="26">
        <v>0</v>
      </c>
      <c r="K46" s="12"/>
    </row>
    <row r="47" spans="1:11" x14ac:dyDescent="0.2">
      <c r="A47" s="53" t="s">
        <v>34</v>
      </c>
      <c r="B47" s="54">
        <v>0</v>
      </c>
      <c r="E47" s="12"/>
      <c r="G47" s="25" t="s">
        <v>34</v>
      </c>
      <c r="H47" s="26">
        <v>0</v>
      </c>
      <c r="K47" s="12"/>
    </row>
    <row r="48" spans="1:11" x14ac:dyDescent="0.2">
      <c r="A48" s="53" t="s">
        <v>48</v>
      </c>
      <c r="B48" s="54">
        <v>0</v>
      </c>
      <c r="E48" s="12"/>
      <c r="G48" s="25" t="s">
        <v>48</v>
      </c>
      <c r="H48" s="26">
        <v>0</v>
      </c>
      <c r="K48" s="12"/>
    </row>
    <row r="49" spans="1:11" x14ac:dyDescent="0.2">
      <c r="A49" s="53" t="s">
        <v>49</v>
      </c>
      <c r="B49" s="54">
        <v>0</v>
      </c>
      <c r="C49" s="14"/>
      <c r="G49" s="25" t="s">
        <v>49</v>
      </c>
      <c r="H49" s="26">
        <v>0</v>
      </c>
      <c r="I49" s="14"/>
    </row>
    <row r="50" spans="1:11" x14ac:dyDescent="0.2">
      <c r="A50" s="53" t="s">
        <v>50</v>
      </c>
      <c r="B50" s="54">
        <v>60000</v>
      </c>
      <c r="E50" s="12"/>
      <c r="G50" s="25" t="s">
        <v>50</v>
      </c>
      <c r="H50" s="26">
        <v>60000</v>
      </c>
      <c r="K50" s="12"/>
    </row>
    <row r="51" spans="1:11" x14ac:dyDescent="0.2">
      <c r="A51" s="53" t="s">
        <v>35</v>
      </c>
      <c r="B51" s="54">
        <v>0</v>
      </c>
      <c r="E51" s="12"/>
      <c r="G51" s="25" t="s">
        <v>35</v>
      </c>
      <c r="H51" s="26">
        <v>0</v>
      </c>
      <c r="K51" s="12"/>
    </row>
    <row r="52" spans="1:11" x14ac:dyDescent="0.2">
      <c r="A52" s="53" t="s">
        <v>29</v>
      </c>
      <c r="B52" s="54">
        <f>163387+137613+66000-67000-9000</f>
        <v>291000</v>
      </c>
      <c r="C52"/>
      <c r="E52" s="12"/>
      <c r="G52" s="25" t="s">
        <v>29</v>
      </c>
      <c r="H52" s="54">
        <f>236524+154476</f>
        <v>391000</v>
      </c>
      <c r="I52"/>
      <c r="K52" s="12"/>
    </row>
    <row r="53" spans="1:11" ht="13.5" thickBot="1" x14ac:dyDescent="0.25">
      <c r="A53" s="53" t="s">
        <v>43</v>
      </c>
      <c r="B53" s="54">
        <v>0</v>
      </c>
      <c r="C53"/>
      <c r="E53" s="12"/>
      <c r="G53" s="25" t="s">
        <v>43</v>
      </c>
      <c r="H53" s="26">
        <v>0</v>
      </c>
      <c r="I53"/>
      <c r="K53" s="12"/>
    </row>
    <row r="54" spans="1:11" ht="13.5" thickBot="1" x14ac:dyDescent="0.25">
      <c r="A54" s="55" t="s">
        <v>44</v>
      </c>
      <c r="B54" s="35">
        <f>SUM(B29:B53)</f>
        <v>1230196</v>
      </c>
      <c r="E54" s="12"/>
      <c r="G54" s="34" t="s">
        <v>44</v>
      </c>
      <c r="H54" s="35">
        <f>SUM(H29:H53)</f>
        <v>1330196</v>
      </c>
      <c r="K54" s="12"/>
    </row>
    <row r="55" spans="1:11" ht="13.5" thickBot="1" x14ac:dyDescent="0.25">
      <c r="A55" s="57"/>
      <c r="B55" s="58"/>
      <c r="E55" s="12"/>
      <c r="G55" s="31"/>
      <c r="H55" s="38"/>
      <c r="K55" s="12"/>
    </row>
    <row r="56" spans="1:11" x14ac:dyDescent="0.2">
      <c r="E56" s="12"/>
      <c r="K56" s="12"/>
    </row>
    <row r="57" spans="1:11" x14ac:dyDescent="0.2">
      <c r="E57" s="12"/>
      <c r="K57" s="12"/>
    </row>
    <row r="58" spans="1:11" x14ac:dyDescent="0.2">
      <c r="E58" s="12"/>
      <c r="K58" s="12"/>
    </row>
    <row r="59" spans="1:11" x14ac:dyDescent="0.2">
      <c r="E59" s="12"/>
      <c r="K59" s="12"/>
    </row>
  </sheetData>
  <phoneticPr fontId="0" type="noConversion"/>
  <pageMargins left="0.55000000000000004" right="0.3" top="1" bottom="0.5" header="0.5" footer="0.5"/>
  <pageSetup scale="52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7"/>
  <sheetViews>
    <sheetView tabSelected="1" zoomScale="75" workbookViewId="0"/>
  </sheetViews>
  <sheetFormatPr defaultRowHeight="12.75" x14ac:dyDescent="0.2"/>
  <cols>
    <col min="1" max="1" width="26.42578125" style="2" bestFit="1" customWidth="1"/>
    <col min="2" max="3" width="11" style="2" bestFit="1" customWidth="1"/>
    <col min="4" max="4" width="26.42578125" style="2" bestFit="1" customWidth="1"/>
    <col min="5" max="5" width="10.42578125" style="2" bestFit="1" customWidth="1"/>
    <col min="6" max="6" width="12.140625" style="2" customWidth="1"/>
    <col min="7" max="7" width="12.28515625" style="2" bestFit="1" customWidth="1"/>
    <col min="8" max="8" width="11.5703125" style="2" customWidth="1"/>
    <col min="9" max="9" width="11.85546875" style="2" customWidth="1"/>
    <col min="10" max="10" width="14.5703125" style="2" bestFit="1" customWidth="1"/>
    <col min="11" max="12" width="13.7109375" style="2" customWidth="1"/>
    <col min="13" max="13" width="13.5703125" style="2" customWidth="1"/>
    <col min="14" max="14" width="9.140625" style="2"/>
    <col min="15" max="15" width="19" style="2" customWidth="1"/>
    <col min="16" max="16" width="10.7109375" style="2" bestFit="1" customWidth="1"/>
    <col min="17" max="17" width="11.85546875" style="2" bestFit="1" customWidth="1"/>
    <col min="18" max="18" width="10" style="2" bestFit="1" customWidth="1"/>
    <col min="19" max="19" width="20.7109375" style="2" customWidth="1"/>
    <col min="20" max="20" width="10.7109375" style="2" bestFit="1" customWidth="1"/>
    <col min="21" max="21" width="10.140625" style="2" bestFit="1" customWidth="1"/>
    <col min="22" max="22" width="3.140625" style="2" customWidth="1"/>
    <col min="23" max="23" width="11.85546875" style="2" bestFit="1" customWidth="1"/>
    <col min="24" max="25" width="10.28515625" style="2" customWidth="1"/>
    <col min="26" max="26" width="9.28515625" style="2" bestFit="1" customWidth="1"/>
    <col min="27" max="27" width="1.7109375" style="2" customWidth="1"/>
    <col min="28" max="30" width="9.28515625" style="2" bestFit="1" customWidth="1"/>
    <col min="31" max="31" width="9.140625" style="2"/>
    <col min="32" max="32" width="13.7109375" style="2" customWidth="1"/>
    <col min="33" max="33" width="17" style="2" customWidth="1"/>
    <col min="34" max="34" width="20.140625" style="2" customWidth="1"/>
    <col min="35" max="35" width="9.140625" style="2"/>
    <col min="36" max="36" width="15.42578125" style="2" customWidth="1"/>
    <col min="37" max="37" width="14.7109375" style="2" customWidth="1"/>
    <col min="38" max="38" width="16.5703125" style="2" customWidth="1"/>
    <col min="39" max="16384" width="9.140625" style="2"/>
  </cols>
  <sheetData>
    <row r="1" spans="1:39" ht="39" thickBot="1" x14ac:dyDescent="0.25">
      <c r="A1" s="2" t="s">
        <v>0</v>
      </c>
      <c r="B1" s="3">
        <f ca="1">TODAY()</f>
        <v>41887</v>
      </c>
      <c r="F1" s="4" t="s">
        <v>1</v>
      </c>
      <c r="G1" s="5">
        <v>1300000</v>
      </c>
      <c r="H1" s="6"/>
      <c r="I1" s="7" t="s">
        <v>2</v>
      </c>
      <c r="J1" s="8">
        <v>210000</v>
      </c>
      <c r="O1" s="47" t="s">
        <v>3</v>
      </c>
      <c r="P1" s="11">
        <f ca="1">TODAY()+2</f>
        <v>41889</v>
      </c>
      <c r="Q1" s="12">
        <v>900000</v>
      </c>
      <c r="S1" s="47" t="s">
        <v>4</v>
      </c>
      <c r="T1" s="11">
        <f ca="1">TODAY()+2</f>
        <v>41889</v>
      </c>
      <c r="U1" s="12">
        <v>146000</v>
      </c>
      <c r="X1" s="10" t="s">
        <v>5</v>
      </c>
      <c r="Y1" s="10" t="s">
        <v>55</v>
      </c>
      <c r="Z1" s="10" t="s">
        <v>6</v>
      </c>
      <c r="AA1" s="10"/>
      <c r="AB1" s="10" t="s">
        <v>7</v>
      </c>
      <c r="AC1" s="10" t="s">
        <v>56</v>
      </c>
      <c r="AD1" s="10" t="s">
        <v>8</v>
      </c>
      <c r="AG1" s="10" t="s">
        <v>9</v>
      </c>
      <c r="AH1" s="10" t="s">
        <v>10</v>
      </c>
      <c r="AK1" s="1" t="s">
        <v>11</v>
      </c>
    </row>
    <row r="2" spans="1:39" ht="13.5" thickBot="1" x14ac:dyDescent="0.25">
      <c r="A2" s="2" t="s">
        <v>12</v>
      </c>
      <c r="B2" s="3">
        <f ca="1">TODAY()+1</f>
        <v>41888</v>
      </c>
      <c r="D2" s="14"/>
      <c r="P2" s="11">
        <f ca="1">TODAY()+3</f>
        <v>41890</v>
      </c>
      <c r="Q2" s="12">
        <v>1100000</v>
      </c>
      <c r="T2" s="11">
        <f ca="1">TODAY()+3</f>
        <v>41890</v>
      </c>
      <c r="U2" s="12">
        <v>176000</v>
      </c>
      <c r="W2" s="11">
        <v>36861</v>
      </c>
      <c r="X2" s="14">
        <v>0</v>
      </c>
      <c r="Y2" s="14">
        <v>0</v>
      </c>
      <c r="Z2" s="13">
        <f>495450.4192-X2+Y2</f>
        <v>495450.4192</v>
      </c>
      <c r="AA2" s="13"/>
      <c r="AB2" s="14">
        <v>0</v>
      </c>
      <c r="AC2" s="14">
        <v>0</v>
      </c>
      <c r="AD2" s="14">
        <v>1500</v>
      </c>
      <c r="AF2" s="11">
        <f>+W2</f>
        <v>36861</v>
      </c>
      <c r="AG2" s="12">
        <f>1000000+158000</f>
        <v>1158000</v>
      </c>
      <c r="AH2" s="12">
        <f>159611+1004827</f>
        <v>1164438</v>
      </c>
      <c r="AJ2" s="15">
        <f>+AF2</f>
        <v>36861</v>
      </c>
      <c r="AK2" s="12">
        <f>377030+38877</f>
        <v>415907</v>
      </c>
      <c r="AL2" s="12"/>
      <c r="AM2" s="12"/>
    </row>
    <row r="3" spans="1:39" ht="25.5" customHeight="1" thickBot="1" x14ac:dyDescent="0.25">
      <c r="B3" s="1" t="s">
        <v>13</v>
      </c>
      <c r="C3" s="1" t="s">
        <v>14</v>
      </c>
      <c r="D3" s="1" t="s">
        <v>15</v>
      </c>
      <c r="J3" s="21" t="s">
        <v>19</v>
      </c>
      <c r="K3" s="22">
        <f ca="1">TODAY()-1</f>
        <v>41886</v>
      </c>
      <c r="L3" s="23">
        <f ca="1">TODAY()</f>
        <v>41887</v>
      </c>
      <c r="M3" s="24" t="s">
        <v>20</v>
      </c>
      <c r="P3" s="11">
        <f ca="1">TODAY()+4</f>
        <v>41891</v>
      </c>
      <c r="Q3" s="12">
        <v>1350000</v>
      </c>
      <c r="T3" s="11">
        <f ca="1">TODAY()+4</f>
        <v>41891</v>
      </c>
      <c r="U3" s="12">
        <v>214000</v>
      </c>
      <c r="W3" s="11">
        <v>36862</v>
      </c>
      <c r="X3" s="14">
        <v>0</v>
      </c>
      <c r="Y3" s="14">
        <v>0</v>
      </c>
      <c r="Z3" s="13">
        <f>Z2-X3+Y3</f>
        <v>495450.4192</v>
      </c>
      <c r="AA3" s="13"/>
      <c r="AB3" s="14">
        <v>0</v>
      </c>
      <c r="AC3" s="14">
        <v>0</v>
      </c>
      <c r="AD3" s="14">
        <v>1500</v>
      </c>
      <c r="AF3" s="11">
        <f t="shared" ref="AF3:AF32" si="0">+W3</f>
        <v>36862</v>
      </c>
      <c r="AG3" s="12">
        <f>1080000+173000</f>
        <v>1253000</v>
      </c>
      <c r="AH3" s="12">
        <f>1000790+161782</f>
        <v>1162572</v>
      </c>
      <c r="AJ3" s="15">
        <f t="shared" ref="AJ3:AJ15" si="1">+AF3</f>
        <v>36862</v>
      </c>
      <c r="AK3" s="12">
        <f>382063+39126</f>
        <v>421189</v>
      </c>
      <c r="AL3" s="12"/>
      <c r="AM3" s="12"/>
    </row>
    <row r="4" spans="1:39" ht="13.5" thickBot="1" x14ac:dyDescent="0.25">
      <c r="A4" s="2" t="s">
        <v>16</v>
      </c>
      <c r="B4" s="16">
        <v>30</v>
      </c>
      <c r="C4" s="17">
        <v>27</v>
      </c>
      <c r="D4" s="18">
        <f>AVERAGE(B4,C4)</f>
        <v>28.5</v>
      </c>
      <c r="J4" s="25" t="s">
        <v>23</v>
      </c>
      <c r="K4" s="39">
        <f>6300*2</f>
        <v>12600</v>
      </c>
      <c r="L4" s="9">
        <f>25276*2</f>
        <v>50552</v>
      </c>
      <c r="M4" s="28">
        <f>+L4-K4</f>
        <v>37952</v>
      </c>
      <c r="R4" s="11" t="s">
        <v>17</v>
      </c>
      <c r="W4" s="11">
        <v>36863</v>
      </c>
      <c r="X4" s="14">
        <v>0</v>
      </c>
      <c r="Y4" s="14">
        <v>0</v>
      </c>
      <c r="Z4" s="13">
        <f t="shared" ref="Z4:Z32" si="2">Z3-X4+Y4</f>
        <v>495450.4192</v>
      </c>
      <c r="AA4" s="13"/>
      <c r="AB4" s="14">
        <v>0</v>
      </c>
      <c r="AC4" s="14">
        <v>0</v>
      </c>
      <c r="AD4" s="14">
        <v>1500</v>
      </c>
      <c r="AF4" s="11">
        <f t="shared" si="0"/>
        <v>36863</v>
      </c>
      <c r="AG4" s="12">
        <f>1010000+160000</f>
        <v>1170000</v>
      </c>
      <c r="AH4" s="12">
        <f>1022418+163787</f>
        <v>1186205</v>
      </c>
      <c r="AJ4" s="15">
        <f t="shared" si="1"/>
        <v>36863</v>
      </c>
      <c r="AK4" s="12">
        <f>382049+39126</f>
        <v>421175</v>
      </c>
      <c r="AL4" s="12"/>
      <c r="AM4" s="12"/>
    </row>
    <row r="5" spans="1:39" x14ac:dyDescent="0.2">
      <c r="A5" s="19"/>
      <c r="B5" s="20"/>
      <c r="C5" s="1" t="s">
        <v>18</v>
      </c>
      <c r="D5" s="19"/>
      <c r="E5" s="20"/>
      <c r="F5" s="1" t="s">
        <v>18</v>
      </c>
      <c r="H5" s="1"/>
      <c r="J5" s="25" t="s">
        <v>26</v>
      </c>
      <c r="K5" s="40">
        <v>0</v>
      </c>
      <c r="L5" s="9">
        <v>0</v>
      </c>
      <c r="M5" s="30">
        <f>+L5-K5</f>
        <v>0</v>
      </c>
      <c r="W5" s="11">
        <v>36864</v>
      </c>
      <c r="X5" s="14">
        <f>8040*2</f>
        <v>16080</v>
      </c>
      <c r="Y5" s="14">
        <v>0</v>
      </c>
      <c r="Z5" s="13">
        <f t="shared" si="2"/>
        <v>479370.4192</v>
      </c>
      <c r="AA5" s="13"/>
      <c r="AB5" s="14">
        <v>0</v>
      </c>
      <c r="AC5" s="14">
        <v>0</v>
      </c>
      <c r="AD5" s="14">
        <v>1500</v>
      </c>
      <c r="AF5" s="11">
        <f t="shared" si="0"/>
        <v>36864</v>
      </c>
      <c r="AG5" s="12">
        <f>1150000+190000</f>
        <v>1340000</v>
      </c>
      <c r="AH5" s="12">
        <f>1130867+187376</f>
        <v>1318243</v>
      </c>
      <c r="AJ5" s="15">
        <f t="shared" si="1"/>
        <v>36864</v>
      </c>
      <c r="AK5" s="12">
        <f>381541+39126</f>
        <v>420667</v>
      </c>
      <c r="AL5" s="12"/>
      <c r="AM5" s="12"/>
    </row>
    <row r="6" spans="1:39" ht="13.5" thickBot="1" x14ac:dyDescent="0.25">
      <c r="A6" s="25" t="s">
        <v>21</v>
      </c>
      <c r="B6" s="26">
        <v>-1100000</v>
      </c>
      <c r="C6" s="12">
        <v>-1082000</v>
      </c>
      <c r="D6" s="25" t="s">
        <v>22</v>
      </c>
      <c r="E6" s="26">
        <v>-180000</v>
      </c>
      <c r="F6" s="12">
        <v>-178000</v>
      </c>
      <c r="H6" s="12"/>
      <c r="J6" s="31" t="s">
        <v>28</v>
      </c>
      <c r="K6" s="42">
        <f>(+K4-K5)/2</f>
        <v>6300</v>
      </c>
      <c r="L6" s="32">
        <f>(+L4-L5)/2</f>
        <v>25276</v>
      </c>
      <c r="M6" s="33">
        <f>+L6-K6</f>
        <v>18976</v>
      </c>
      <c r="W6" s="11">
        <v>36865</v>
      </c>
      <c r="X6" s="14">
        <v>0</v>
      </c>
      <c r="Y6" s="14">
        <f>10000*2</f>
        <v>20000</v>
      </c>
      <c r="Z6" s="13">
        <f t="shared" si="2"/>
        <v>499370.4192</v>
      </c>
      <c r="AA6" s="13"/>
      <c r="AB6" s="14">
        <v>0</v>
      </c>
      <c r="AC6" s="14">
        <v>0</v>
      </c>
      <c r="AD6" s="14">
        <v>1500</v>
      </c>
      <c r="AF6" s="11">
        <f t="shared" si="0"/>
        <v>36865</v>
      </c>
      <c r="AG6" s="12">
        <f>1420000+235000</f>
        <v>1655000</v>
      </c>
      <c r="AH6" s="12">
        <f>1397814+238770</f>
        <v>1636584</v>
      </c>
      <c r="AJ6" s="15">
        <f t="shared" si="1"/>
        <v>36865</v>
      </c>
      <c r="AK6" s="12">
        <f>390021+39126</f>
        <v>429147</v>
      </c>
      <c r="AL6" s="12"/>
      <c r="AM6" s="12"/>
    </row>
    <row r="7" spans="1:39" x14ac:dyDescent="0.2">
      <c r="A7" s="25" t="s">
        <v>62</v>
      </c>
      <c r="B7" s="26"/>
      <c r="D7" s="25" t="s">
        <v>25</v>
      </c>
      <c r="E7" s="26">
        <v>0</v>
      </c>
      <c r="G7" s="12"/>
      <c r="H7" s="12"/>
      <c r="W7" s="11">
        <v>36866</v>
      </c>
      <c r="X7" s="14">
        <f>18500*2</f>
        <v>37000</v>
      </c>
      <c r="Y7" s="14">
        <v>0</v>
      </c>
      <c r="Z7" s="13">
        <f t="shared" si="2"/>
        <v>462370.4192</v>
      </c>
      <c r="AA7" s="13"/>
      <c r="AB7" s="14">
        <v>0</v>
      </c>
      <c r="AC7" s="14">
        <v>0</v>
      </c>
      <c r="AD7" s="14">
        <v>1500</v>
      </c>
      <c r="AF7" s="11">
        <f t="shared" si="0"/>
        <v>36866</v>
      </c>
      <c r="AG7" s="12">
        <f>1340000+230000</f>
        <v>1570000</v>
      </c>
      <c r="AH7" s="12">
        <f>1380129+228664</f>
        <v>1608793</v>
      </c>
      <c r="AJ7" s="15">
        <f t="shared" si="1"/>
        <v>36866</v>
      </c>
      <c r="AK7" s="12">
        <f>365880+38289</f>
        <v>404169</v>
      </c>
      <c r="AL7" s="12"/>
      <c r="AM7" s="12"/>
    </row>
    <row r="8" spans="1:39" x14ac:dyDescent="0.2">
      <c r="A8" s="25" t="s">
        <v>67</v>
      </c>
      <c r="B8" s="26">
        <v>-20670</v>
      </c>
      <c r="D8" s="25" t="s">
        <v>27</v>
      </c>
      <c r="E8" s="26"/>
      <c r="G8" s="12"/>
      <c r="H8" s="12"/>
      <c r="W8" s="11">
        <v>36867</v>
      </c>
      <c r="X8" s="14">
        <f>6300*2</f>
        <v>12600</v>
      </c>
      <c r="Y8" s="14">
        <v>0</v>
      </c>
      <c r="Z8" s="13">
        <f t="shared" si="2"/>
        <v>449770.4192</v>
      </c>
      <c r="AA8" s="13"/>
      <c r="AB8" s="14">
        <v>0</v>
      </c>
      <c r="AC8" s="14">
        <v>0</v>
      </c>
      <c r="AD8" s="14">
        <v>1500</v>
      </c>
      <c r="AF8" s="11">
        <f t="shared" si="0"/>
        <v>36867</v>
      </c>
      <c r="AG8" s="12">
        <f>1250000+200000</f>
        <v>1450000</v>
      </c>
      <c r="AH8" s="12">
        <f>1175000+190000</f>
        <v>1365000</v>
      </c>
      <c r="AJ8" s="15">
        <f t="shared" si="1"/>
        <v>36867</v>
      </c>
      <c r="AK8" s="12">
        <f>389683+38708</f>
        <v>428391</v>
      </c>
      <c r="AL8" s="12"/>
      <c r="AM8" s="12"/>
    </row>
    <row r="9" spans="1:39" x14ac:dyDescent="0.2">
      <c r="A9" s="45" t="s">
        <v>68</v>
      </c>
      <c r="B9" s="26">
        <v>0</v>
      </c>
      <c r="D9" s="25" t="s">
        <v>29</v>
      </c>
      <c r="E9" s="26">
        <v>0</v>
      </c>
      <c r="G9" s="12"/>
      <c r="H9" s="12"/>
      <c r="L9" s="12"/>
      <c r="W9" s="11">
        <v>36868</v>
      </c>
      <c r="X9" s="14">
        <f>25276*2</f>
        <v>50552</v>
      </c>
      <c r="Y9" s="14">
        <v>0</v>
      </c>
      <c r="Z9" s="13">
        <f t="shared" si="2"/>
        <v>399218.4192</v>
      </c>
      <c r="AA9" s="13"/>
      <c r="AB9" s="14">
        <v>0</v>
      </c>
      <c r="AC9" s="14">
        <v>0</v>
      </c>
      <c r="AD9" s="14">
        <v>1500</v>
      </c>
      <c r="AF9" s="11">
        <f t="shared" si="0"/>
        <v>36868</v>
      </c>
      <c r="AG9" s="12">
        <f>1300000+210000</f>
        <v>1510000</v>
      </c>
      <c r="AH9" s="12">
        <f>1300000+210000</f>
        <v>1510000</v>
      </c>
      <c r="AJ9" s="15">
        <f t="shared" si="1"/>
        <v>36868</v>
      </c>
      <c r="AK9" s="12">
        <f>424539+38712</f>
        <v>463251</v>
      </c>
      <c r="AL9" s="12"/>
      <c r="AM9" s="12"/>
    </row>
    <row r="10" spans="1:39" x14ac:dyDescent="0.2">
      <c r="A10" s="45" t="s">
        <v>69</v>
      </c>
      <c r="B10" s="26">
        <v>-50000</v>
      </c>
      <c r="C10" s="14" t="s">
        <v>17</v>
      </c>
      <c r="D10" s="25" t="s">
        <v>54</v>
      </c>
      <c r="E10" s="26">
        <v>0</v>
      </c>
      <c r="G10" s="12"/>
      <c r="H10" s="12"/>
      <c r="W10" s="11">
        <v>36869</v>
      </c>
      <c r="X10" s="14">
        <v>0</v>
      </c>
      <c r="Y10" s="14">
        <v>0</v>
      </c>
      <c r="Z10" s="13">
        <f t="shared" si="2"/>
        <v>399218.4192</v>
      </c>
      <c r="AA10" s="13"/>
      <c r="AB10" s="14">
        <v>0</v>
      </c>
      <c r="AC10" s="14">
        <v>0</v>
      </c>
      <c r="AD10" s="14">
        <v>1500</v>
      </c>
      <c r="AF10" s="11">
        <f t="shared" si="0"/>
        <v>36869</v>
      </c>
      <c r="AG10" s="12">
        <f>1100000+180000</f>
        <v>1280000</v>
      </c>
      <c r="AH10" s="12"/>
      <c r="AJ10" s="15">
        <f t="shared" si="1"/>
        <v>36869</v>
      </c>
      <c r="AK10" s="12"/>
      <c r="AL10" s="12"/>
      <c r="AM10" s="12"/>
    </row>
    <row r="11" spans="1:39" x14ac:dyDescent="0.2">
      <c r="A11" s="45" t="s">
        <v>70</v>
      </c>
      <c r="B11" s="26">
        <f>-25720-B8</f>
        <v>-5050</v>
      </c>
      <c r="C11" s="14"/>
      <c r="D11" s="25" t="s">
        <v>31</v>
      </c>
      <c r="E11" s="26">
        <v>0</v>
      </c>
      <c r="G11" s="12"/>
      <c r="H11" s="12"/>
      <c r="R11" s="13"/>
      <c r="W11" s="11">
        <v>36870</v>
      </c>
      <c r="X11" s="14">
        <v>0</v>
      </c>
      <c r="Y11" s="14">
        <v>0</v>
      </c>
      <c r="Z11" s="13">
        <f t="shared" si="2"/>
        <v>399218.4192</v>
      </c>
      <c r="AA11" s="13"/>
      <c r="AB11" s="14">
        <v>0</v>
      </c>
      <c r="AC11" s="14">
        <v>0</v>
      </c>
      <c r="AD11" s="14">
        <v>1500</v>
      </c>
      <c r="AF11" s="11">
        <f t="shared" si="0"/>
        <v>36870</v>
      </c>
      <c r="AG11" s="12">
        <f>900000+146000</f>
        <v>1046000</v>
      </c>
      <c r="AH11" s="12"/>
      <c r="AJ11" s="15">
        <f t="shared" si="1"/>
        <v>36870</v>
      </c>
      <c r="AK11" s="12"/>
      <c r="AL11" s="12"/>
      <c r="AM11" s="12"/>
    </row>
    <row r="12" spans="1:39" x14ac:dyDescent="0.2">
      <c r="A12" s="25" t="s">
        <v>24</v>
      </c>
      <c r="B12" s="26">
        <v>0</v>
      </c>
      <c r="C12" s="14" t="s">
        <v>17</v>
      </c>
      <c r="D12" s="45" t="s">
        <v>59</v>
      </c>
      <c r="E12" s="43">
        <v>-1000</v>
      </c>
      <c r="G12" s="12" t="s">
        <v>17</v>
      </c>
      <c r="H12" s="12"/>
      <c r="R12" s="13"/>
      <c r="W12" s="11">
        <v>36871</v>
      </c>
      <c r="X12" s="14">
        <v>0</v>
      </c>
      <c r="Y12" s="14">
        <v>0</v>
      </c>
      <c r="Z12" s="13">
        <f t="shared" si="2"/>
        <v>399218.4192</v>
      </c>
      <c r="AA12" s="13"/>
      <c r="AB12" s="14">
        <v>0</v>
      </c>
      <c r="AC12" s="14">
        <v>0</v>
      </c>
      <c r="AD12" s="14">
        <v>1500</v>
      </c>
      <c r="AF12" s="11">
        <f t="shared" si="0"/>
        <v>36871</v>
      </c>
      <c r="AG12" s="12">
        <f>1100000+176000</f>
        <v>1276000</v>
      </c>
      <c r="AH12" s="12"/>
      <c r="AJ12" s="15">
        <f t="shared" si="1"/>
        <v>36871</v>
      </c>
      <c r="AK12" s="12"/>
      <c r="AL12" s="12"/>
      <c r="AM12" s="12"/>
    </row>
    <row r="13" spans="1:39" ht="13.5" thickBot="1" x14ac:dyDescent="0.25">
      <c r="A13" s="25" t="s">
        <v>29</v>
      </c>
      <c r="B13" s="26">
        <f>(-126746-24000-3730)-B14</f>
        <v>-125294</v>
      </c>
      <c r="D13" s="25" t="s">
        <v>32</v>
      </c>
      <c r="E13" s="26">
        <v>0</v>
      </c>
      <c r="G13" s="12"/>
      <c r="H13" s="12"/>
      <c r="R13" s="13"/>
      <c r="W13" s="11">
        <v>36872</v>
      </c>
      <c r="X13" s="14">
        <v>0</v>
      </c>
      <c r="Y13" s="14">
        <v>0</v>
      </c>
      <c r="Z13" s="13">
        <f t="shared" si="2"/>
        <v>399218.4192</v>
      </c>
      <c r="AA13" s="13"/>
      <c r="AB13" s="14">
        <v>0</v>
      </c>
      <c r="AC13" s="14">
        <v>0</v>
      </c>
      <c r="AD13" s="14">
        <v>1500</v>
      </c>
      <c r="AF13" s="11">
        <f t="shared" si="0"/>
        <v>36872</v>
      </c>
      <c r="AG13" s="12">
        <f>1350000+214000</f>
        <v>1564000</v>
      </c>
      <c r="AH13" s="12"/>
      <c r="AJ13" s="15">
        <f t="shared" si="1"/>
        <v>36872</v>
      </c>
      <c r="AK13" s="12"/>
      <c r="AL13" s="12"/>
      <c r="AM13" s="12"/>
    </row>
    <row r="14" spans="1:39" ht="13.5" thickBot="1" x14ac:dyDescent="0.25">
      <c r="A14" s="25" t="s">
        <v>66</v>
      </c>
      <c r="B14" s="26">
        <f>-1452-24000-3730</f>
        <v>-29182</v>
      </c>
      <c r="C14" s="2" t="s">
        <v>17</v>
      </c>
      <c r="D14" s="34" t="s">
        <v>33</v>
      </c>
      <c r="E14" s="35">
        <f>SUM(E6:E13)</f>
        <v>-181000</v>
      </c>
      <c r="G14" s="12"/>
      <c r="H14" s="12"/>
      <c r="L14" s="12"/>
      <c r="R14" s="13"/>
      <c r="W14" s="11">
        <v>36873</v>
      </c>
      <c r="X14" s="14">
        <v>0</v>
      </c>
      <c r="Y14" s="14">
        <v>0</v>
      </c>
      <c r="Z14" s="13">
        <f t="shared" si="2"/>
        <v>399218.4192</v>
      </c>
      <c r="AA14" s="13"/>
      <c r="AB14" s="14">
        <v>0</v>
      </c>
      <c r="AC14" s="14">
        <v>0</v>
      </c>
      <c r="AD14" s="14">
        <v>1500</v>
      </c>
      <c r="AF14" s="11">
        <f t="shared" si="0"/>
        <v>36873</v>
      </c>
      <c r="AG14" s="12"/>
      <c r="AH14" s="12"/>
      <c r="AJ14" s="15">
        <f t="shared" si="1"/>
        <v>36873</v>
      </c>
      <c r="AK14" s="12"/>
      <c r="AL14" s="12"/>
      <c r="AM14" s="12"/>
    </row>
    <row r="15" spans="1:39" x14ac:dyDescent="0.2">
      <c r="A15" s="25" t="s">
        <v>19</v>
      </c>
      <c r="B15" s="26">
        <v>0</v>
      </c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v>36874</v>
      </c>
      <c r="X15" s="14">
        <v>0</v>
      </c>
      <c r="Y15" s="14">
        <v>0</v>
      </c>
      <c r="Z15" s="13">
        <f t="shared" si="2"/>
        <v>399218.4192</v>
      </c>
      <c r="AA15" s="13"/>
      <c r="AB15" s="14">
        <v>0</v>
      </c>
      <c r="AC15" s="14">
        <v>0</v>
      </c>
      <c r="AD15" s="14">
        <v>1500</v>
      </c>
      <c r="AF15" s="11">
        <f t="shared" si="0"/>
        <v>36874</v>
      </c>
      <c r="AG15" s="12"/>
      <c r="AH15" s="12"/>
      <c r="AJ15" s="15">
        <f t="shared" si="1"/>
        <v>36874</v>
      </c>
      <c r="AK15" s="12"/>
      <c r="AL15" s="12"/>
      <c r="AM15" s="12"/>
    </row>
    <row r="16" spans="1:39" x14ac:dyDescent="0.2">
      <c r="A16" s="25" t="s">
        <v>27</v>
      </c>
      <c r="B16" s="26"/>
      <c r="C16" s="14"/>
      <c r="D16" s="25" t="s">
        <v>39</v>
      </c>
      <c r="E16" s="26">
        <v>49111</v>
      </c>
      <c r="G16" s="12"/>
      <c r="H16" s="12"/>
      <c r="L16" s="12"/>
      <c r="R16" s="13"/>
      <c r="W16" s="11">
        <v>36875</v>
      </c>
      <c r="X16" s="14">
        <v>0</v>
      </c>
      <c r="Y16" s="14">
        <v>0</v>
      </c>
      <c r="Z16" s="13">
        <f t="shared" si="2"/>
        <v>399218.4192</v>
      </c>
      <c r="AA16" s="13"/>
      <c r="AB16" s="14">
        <v>0</v>
      </c>
      <c r="AC16" s="14">
        <v>0</v>
      </c>
      <c r="AD16" s="14">
        <v>1500</v>
      </c>
      <c r="AF16" s="11">
        <f t="shared" si="0"/>
        <v>36875</v>
      </c>
      <c r="AG16" s="12"/>
      <c r="AH16" s="12"/>
      <c r="AJ16" s="15">
        <f t="shared" ref="AJ16:AJ32" si="3">+AF16</f>
        <v>36875</v>
      </c>
      <c r="AK16" s="12"/>
      <c r="AL16" s="12"/>
      <c r="AM16" s="12"/>
    </row>
    <row r="17" spans="1:39" x14ac:dyDescent="0.2">
      <c r="A17" s="25" t="s">
        <v>32</v>
      </c>
      <c r="B17" s="43">
        <v>0</v>
      </c>
      <c r="C17" s="14"/>
      <c r="D17" s="25" t="s">
        <v>40</v>
      </c>
      <c r="E17" s="26">
        <v>0</v>
      </c>
      <c r="G17" s="12"/>
      <c r="H17" s="12"/>
      <c r="L17" s="12"/>
      <c r="R17" s="13"/>
      <c r="W17" s="11">
        <v>36876</v>
      </c>
      <c r="X17" s="14">
        <v>0</v>
      </c>
      <c r="Y17" s="14">
        <v>0</v>
      </c>
      <c r="Z17" s="13">
        <f t="shared" si="2"/>
        <v>399218.4192</v>
      </c>
      <c r="AA17" s="13"/>
      <c r="AB17" s="14">
        <v>0</v>
      </c>
      <c r="AC17" s="14">
        <v>0</v>
      </c>
      <c r="AD17" s="14">
        <v>1500</v>
      </c>
      <c r="AF17" s="11">
        <f t="shared" si="0"/>
        <v>36876</v>
      </c>
      <c r="AG17" s="12"/>
      <c r="AH17" s="12"/>
      <c r="AJ17" s="15">
        <f t="shared" si="3"/>
        <v>36876</v>
      </c>
      <c r="AK17" s="12"/>
      <c r="AL17" s="12"/>
      <c r="AM17" s="12"/>
    </row>
    <row r="18" spans="1:39" x14ac:dyDescent="0.2">
      <c r="A18" s="25" t="s">
        <v>34</v>
      </c>
      <c r="B18" s="26">
        <v>0</v>
      </c>
      <c r="D18" s="25" t="s">
        <v>41</v>
      </c>
      <c r="E18" s="26">
        <v>8933</v>
      </c>
      <c r="F18" s="14" t="s">
        <v>17</v>
      </c>
      <c r="G18" s="12"/>
      <c r="H18" s="12"/>
      <c r="L18" s="12"/>
      <c r="R18" s="13"/>
      <c r="W18" s="11">
        <v>36877</v>
      </c>
      <c r="X18" s="14">
        <v>0</v>
      </c>
      <c r="Y18" s="14">
        <v>0</v>
      </c>
      <c r="Z18" s="13">
        <f t="shared" si="2"/>
        <v>399218.4192</v>
      </c>
      <c r="AA18" s="13"/>
      <c r="AB18" s="14">
        <v>0</v>
      </c>
      <c r="AC18" s="14">
        <v>0</v>
      </c>
      <c r="AD18" s="14">
        <v>1500</v>
      </c>
      <c r="AF18" s="11">
        <f t="shared" si="0"/>
        <v>36877</v>
      </c>
      <c r="AG18" s="12"/>
      <c r="AH18" s="12"/>
      <c r="AJ18" s="15">
        <f t="shared" si="3"/>
        <v>36877</v>
      </c>
      <c r="AK18" s="12"/>
      <c r="AL18" s="12"/>
      <c r="AM18" s="12"/>
    </row>
    <row r="19" spans="1:39" x14ac:dyDescent="0.2">
      <c r="A19" s="25" t="s">
        <v>30</v>
      </c>
      <c r="B19" s="26">
        <v>0</v>
      </c>
      <c r="C19" s="44"/>
      <c r="D19" s="25" t="s">
        <v>42</v>
      </c>
      <c r="E19" s="26">
        <v>38712</v>
      </c>
      <c r="G19" s="12"/>
      <c r="H19" s="12"/>
      <c r="L19" s="12"/>
      <c r="R19" s="13"/>
      <c r="W19" s="11">
        <v>36878</v>
      </c>
      <c r="X19" s="14">
        <v>0</v>
      </c>
      <c r="Y19" s="14">
        <v>0</v>
      </c>
      <c r="Z19" s="13">
        <f t="shared" si="2"/>
        <v>399218.4192</v>
      </c>
      <c r="AA19" s="13"/>
      <c r="AB19" s="14">
        <v>0</v>
      </c>
      <c r="AC19" s="14">
        <v>0</v>
      </c>
      <c r="AD19" s="14">
        <v>1500</v>
      </c>
      <c r="AF19" s="11">
        <f t="shared" si="0"/>
        <v>36878</v>
      </c>
      <c r="AG19" s="12"/>
      <c r="AH19" s="12"/>
      <c r="AJ19" s="15">
        <f t="shared" si="3"/>
        <v>36878</v>
      </c>
      <c r="AK19" s="12"/>
      <c r="AL19" s="12"/>
      <c r="AM19" s="12"/>
    </row>
    <row r="20" spans="1:39" x14ac:dyDescent="0.2">
      <c r="A20" s="25" t="s">
        <v>52</v>
      </c>
      <c r="B20" s="26">
        <v>0</v>
      </c>
      <c r="C20" s="14"/>
      <c r="D20" s="25" t="s">
        <v>47</v>
      </c>
      <c r="E20" s="26"/>
      <c r="G20" s="12"/>
      <c r="H20" s="12"/>
      <c r="R20" s="13"/>
      <c r="W20" s="11">
        <v>36879</v>
      </c>
      <c r="X20" s="14">
        <v>0</v>
      </c>
      <c r="Y20" s="14">
        <v>0</v>
      </c>
      <c r="Z20" s="13">
        <f t="shared" si="2"/>
        <v>399218.4192</v>
      </c>
      <c r="AA20" s="13"/>
      <c r="AB20" s="14">
        <v>0</v>
      </c>
      <c r="AC20" s="14">
        <v>0</v>
      </c>
      <c r="AD20" s="14">
        <v>1500</v>
      </c>
      <c r="AF20" s="11">
        <f t="shared" si="0"/>
        <v>36879</v>
      </c>
      <c r="AG20" s="12"/>
      <c r="AH20" s="12"/>
      <c r="AJ20" s="15">
        <f t="shared" si="3"/>
        <v>36879</v>
      </c>
      <c r="AK20" s="12"/>
      <c r="AL20" s="12"/>
      <c r="AM20" s="12"/>
    </row>
    <row r="21" spans="1:39" x14ac:dyDescent="0.2">
      <c r="A21" s="25" t="s">
        <v>53</v>
      </c>
      <c r="B21" s="26">
        <v>0</v>
      </c>
      <c r="C21" s="14"/>
      <c r="D21" s="25" t="s">
        <v>63</v>
      </c>
      <c r="E21" s="26">
        <v>8000</v>
      </c>
      <c r="G21" s="12"/>
      <c r="H21" s="12"/>
      <c r="R21" s="13"/>
      <c r="W21" s="11">
        <v>36880</v>
      </c>
      <c r="X21" s="14">
        <v>0</v>
      </c>
      <c r="Y21" s="14">
        <v>0</v>
      </c>
      <c r="Z21" s="13">
        <f t="shared" si="2"/>
        <v>399218.4192</v>
      </c>
      <c r="AA21" s="13"/>
      <c r="AB21" s="14">
        <v>0</v>
      </c>
      <c r="AC21" s="14">
        <v>0</v>
      </c>
      <c r="AD21" s="14">
        <v>1500</v>
      </c>
      <c r="AF21" s="11">
        <f t="shared" si="0"/>
        <v>36880</v>
      </c>
      <c r="AG21" s="12"/>
      <c r="AH21" s="12"/>
      <c r="AJ21" s="15">
        <f t="shared" si="3"/>
        <v>36880</v>
      </c>
      <c r="AK21" s="12"/>
      <c r="AL21" s="12"/>
      <c r="AM21" s="12"/>
    </row>
    <row r="22" spans="1:39" x14ac:dyDescent="0.2">
      <c r="A22" s="25" t="s">
        <v>35</v>
      </c>
      <c r="B22" s="26">
        <v>0</v>
      </c>
      <c r="D22" s="25" t="s">
        <v>64</v>
      </c>
      <c r="E22" s="26">
        <v>7000</v>
      </c>
      <c r="G22" s="12"/>
      <c r="H22" s="12"/>
      <c r="R22" s="13"/>
      <c r="W22" s="11">
        <v>36881</v>
      </c>
      <c r="X22" s="14">
        <v>0</v>
      </c>
      <c r="Y22" s="14">
        <v>0</v>
      </c>
      <c r="Z22" s="13">
        <f t="shared" si="2"/>
        <v>399218.4192</v>
      </c>
      <c r="AA22" s="13"/>
      <c r="AB22" s="14">
        <v>0</v>
      </c>
      <c r="AC22" s="14">
        <v>0</v>
      </c>
      <c r="AD22" s="14">
        <v>1500</v>
      </c>
      <c r="AF22" s="11">
        <f t="shared" si="0"/>
        <v>36881</v>
      </c>
      <c r="AG22" s="12"/>
      <c r="AH22" s="12"/>
      <c r="AJ22" s="15">
        <f t="shared" si="3"/>
        <v>36881</v>
      </c>
      <c r="AK22" s="12"/>
      <c r="AL22" s="12"/>
      <c r="AM22" s="12"/>
    </row>
    <row r="23" spans="1:39" x14ac:dyDescent="0.2">
      <c r="A23" s="25" t="s">
        <v>29</v>
      </c>
      <c r="B23" s="43">
        <v>0</v>
      </c>
      <c r="C23" s="14" t="s">
        <v>17</v>
      </c>
      <c r="D23" s="25" t="s">
        <v>65</v>
      </c>
      <c r="E23" s="43">
        <f>45000+10000+5244</f>
        <v>60244</v>
      </c>
      <c r="G23" s="12"/>
      <c r="H23" s="12"/>
      <c r="L23" s="2">
        <v>0.32</v>
      </c>
      <c r="R23" s="13"/>
      <c r="W23" s="11">
        <v>36882</v>
      </c>
      <c r="X23" s="14">
        <v>0</v>
      </c>
      <c r="Y23" s="14">
        <v>0</v>
      </c>
      <c r="Z23" s="13">
        <f t="shared" si="2"/>
        <v>399218.4192</v>
      </c>
      <c r="AA23" s="13"/>
      <c r="AB23" s="14">
        <v>0</v>
      </c>
      <c r="AC23" s="14">
        <v>0</v>
      </c>
      <c r="AD23" s="14">
        <v>1500</v>
      </c>
      <c r="AF23" s="11">
        <f t="shared" si="0"/>
        <v>36882</v>
      </c>
      <c r="AG23" s="12"/>
      <c r="AH23" s="12"/>
      <c r="AJ23" s="15">
        <f t="shared" si="3"/>
        <v>36882</v>
      </c>
      <c r="AK23" s="12"/>
      <c r="AL23" s="12"/>
      <c r="AM23" s="12"/>
    </row>
    <row r="24" spans="1:39" x14ac:dyDescent="0.2">
      <c r="A24" s="25" t="s">
        <v>36</v>
      </c>
      <c r="B24" s="26">
        <v>0</v>
      </c>
      <c r="D24" s="25" t="s">
        <v>32</v>
      </c>
      <c r="E24" s="43">
        <v>0</v>
      </c>
      <c r="G24" s="12"/>
      <c r="H24" s="12"/>
      <c r="R24" s="13"/>
      <c r="W24" s="11">
        <v>36883</v>
      </c>
      <c r="X24" s="14">
        <v>0</v>
      </c>
      <c r="Y24" s="14">
        <v>0</v>
      </c>
      <c r="Z24" s="13">
        <f t="shared" si="2"/>
        <v>399218.4192</v>
      </c>
      <c r="AA24" s="13"/>
      <c r="AB24" s="14">
        <v>0</v>
      </c>
      <c r="AC24" s="14">
        <v>0</v>
      </c>
      <c r="AD24" s="14">
        <v>1500</v>
      </c>
      <c r="AF24" s="11">
        <f t="shared" si="0"/>
        <v>36883</v>
      </c>
      <c r="AG24" s="12"/>
      <c r="AH24" s="12"/>
      <c r="AJ24" s="15">
        <f t="shared" si="3"/>
        <v>36883</v>
      </c>
      <c r="AK24" s="12"/>
      <c r="AL24" s="12"/>
      <c r="AM24" s="12"/>
    </row>
    <row r="25" spans="1:39" x14ac:dyDescent="0.2">
      <c r="A25" s="25" t="s">
        <v>37</v>
      </c>
      <c r="B25" s="26">
        <v>0</v>
      </c>
      <c r="D25" s="25" t="s">
        <v>29</v>
      </c>
      <c r="E25" s="43">
        <v>9000</v>
      </c>
      <c r="G25" s="12"/>
      <c r="H25" s="12"/>
      <c r="R25" s="13"/>
      <c r="W25" s="11">
        <v>36884</v>
      </c>
      <c r="X25" s="14">
        <v>0</v>
      </c>
      <c r="Y25" s="14">
        <v>0</v>
      </c>
      <c r="Z25" s="13">
        <f t="shared" si="2"/>
        <v>399218.4192</v>
      </c>
      <c r="AA25" s="13"/>
      <c r="AB25" s="14">
        <v>0</v>
      </c>
      <c r="AC25" s="14">
        <v>0</v>
      </c>
      <c r="AD25" s="14">
        <v>1500</v>
      </c>
      <c r="AF25" s="11">
        <f t="shared" si="0"/>
        <v>36884</v>
      </c>
      <c r="AG25" s="12"/>
      <c r="AH25" s="12"/>
      <c r="AJ25" s="15">
        <f t="shared" si="3"/>
        <v>36884</v>
      </c>
      <c r="AK25" s="12"/>
      <c r="AL25" s="12"/>
      <c r="AM25" s="12"/>
    </row>
    <row r="26" spans="1:39" ht="13.5" thickBot="1" x14ac:dyDescent="0.25">
      <c r="A26" s="25" t="s">
        <v>38</v>
      </c>
      <c r="B26" s="26">
        <v>0</v>
      </c>
      <c r="D26" s="25" t="s">
        <v>59</v>
      </c>
      <c r="E26" s="43">
        <v>0</v>
      </c>
      <c r="G26" s="12"/>
      <c r="H26" s="12"/>
      <c r="R26" s="13"/>
      <c r="W26" s="11">
        <v>36885</v>
      </c>
      <c r="X26" s="14">
        <v>0</v>
      </c>
      <c r="Y26" s="14">
        <v>0</v>
      </c>
      <c r="Z26" s="13">
        <f t="shared" si="2"/>
        <v>399218.4192</v>
      </c>
      <c r="AA26" s="13"/>
      <c r="AB26" s="14">
        <v>0</v>
      </c>
      <c r="AC26" s="14">
        <v>0</v>
      </c>
      <c r="AD26" s="14">
        <v>1500</v>
      </c>
      <c r="AF26" s="11">
        <f t="shared" si="0"/>
        <v>36885</v>
      </c>
      <c r="AG26" s="12"/>
      <c r="AH26" s="12"/>
      <c r="AJ26" s="15">
        <f t="shared" si="3"/>
        <v>36885</v>
      </c>
      <c r="AK26" s="12"/>
      <c r="AL26" s="12"/>
      <c r="AM26" s="12"/>
    </row>
    <row r="27" spans="1:39" ht="13.5" thickBot="1" x14ac:dyDescent="0.25">
      <c r="A27" s="34" t="s">
        <v>33</v>
      </c>
      <c r="B27" s="35">
        <f>SUM(B6:B26)</f>
        <v>-1330196</v>
      </c>
      <c r="C27" s="14">
        <f>+B27+B54</f>
        <v>0</v>
      </c>
      <c r="D27" s="25" t="s">
        <v>61</v>
      </c>
      <c r="E27" s="43">
        <v>0</v>
      </c>
      <c r="G27" s="12"/>
      <c r="H27" s="12"/>
      <c r="R27" s="13"/>
      <c r="W27" s="11">
        <v>36886</v>
      </c>
      <c r="X27" s="14">
        <v>0</v>
      </c>
      <c r="Y27" s="14">
        <v>0</v>
      </c>
      <c r="Z27" s="13">
        <f t="shared" si="2"/>
        <v>399218.4192</v>
      </c>
      <c r="AA27" s="13"/>
      <c r="AB27" s="14">
        <v>0</v>
      </c>
      <c r="AC27" s="14">
        <v>0</v>
      </c>
      <c r="AD27" s="14">
        <v>1500</v>
      </c>
      <c r="AF27" s="11">
        <f t="shared" si="0"/>
        <v>36886</v>
      </c>
      <c r="AG27" s="12"/>
      <c r="AH27" s="12"/>
      <c r="AJ27" s="15">
        <f t="shared" si="3"/>
        <v>36886</v>
      </c>
      <c r="AK27" s="12"/>
      <c r="AL27" s="12"/>
      <c r="AM27" s="12"/>
    </row>
    <row r="28" spans="1:39" ht="13.5" thickBot="1" x14ac:dyDescent="0.25">
      <c r="A28" s="25"/>
      <c r="B28" s="43"/>
      <c r="D28" s="25" t="s">
        <v>43</v>
      </c>
      <c r="E28" s="26">
        <v>0</v>
      </c>
      <c r="G28" s="12"/>
      <c r="H28" s="12"/>
      <c r="R28" s="13"/>
      <c r="W28" s="11">
        <v>36887</v>
      </c>
      <c r="X28" s="14">
        <v>0</v>
      </c>
      <c r="Y28" s="14">
        <v>0</v>
      </c>
      <c r="Z28" s="13">
        <f t="shared" si="2"/>
        <v>399218.4192</v>
      </c>
      <c r="AA28" s="13"/>
      <c r="AB28" s="14">
        <v>0</v>
      </c>
      <c r="AC28" s="14">
        <v>0</v>
      </c>
      <c r="AD28" s="14">
        <v>1500</v>
      </c>
      <c r="AF28" s="11">
        <f t="shared" si="0"/>
        <v>36887</v>
      </c>
      <c r="AG28" s="12"/>
      <c r="AH28" s="12"/>
      <c r="AJ28" s="15">
        <f t="shared" si="3"/>
        <v>36887</v>
      </c>
      <c r="AK28" s="12"/>
      <c r="AL28" s="12"/>
      <c r="AM28" s="12"/>
    </row>
    <row r="29" spans="1:39" ht="13.5" thickBot="1" x14ac:dyDescent="0.25">
      <c r="A29" s="25" t="s">
        <v>39</v>
      </c>
      <c r="B29" s="43">
        <v>355784</v>
      </c>
      <c r="C29" s="14"/>
      <c r="D29" s="34" t="s">
        <v>44</v>
      </c>
      <c r="E29" s="35">
        <f>SUM(E16:E28)</f>
        <v>181000</v>
      </c>
      <c r="G29" s="12"/>
      <c r="H29" s="12"/>
      <c r="R29" s="13"/>
      <c r="W29" s="11">
        <v>36888</v>
      </c>
      <c r="X29" s="14">
        <v>0</v>
      </c>
      <c r="Y29" s="14">
        <v>0</v>
      </c>
      <c r="Z29" s="13">
        <f t="shared" si="2"/>
        <v>399218.4192</v>
      </c>
      <c r="AA29" s="13"/>
      <c r="AB29" s="14">
        <v>0</v>
      </c>
      <c r="AC29" s="14">
        <v>0</v>
      </c>
      <c r="AD29" s="14">
        <v>1500</v>
      </c>
      <c r="AF29" s="11">
        <f t="shared" si="0"/>
        <v>36888</v>
      </c>
      <c r="AG29" s="12"/>
      <c r="AH29" s="12"/>
      <c r="AJ29" s="15">
        <f t="shared" si="3"/>
        <v>36888</v>
      </c>
      <c r="AK29" s="12"/>
      <c r="AL29" s="12"/>
      <c r="AM29" s="12"/>
    </row>
    <row r="30" spans="1:39" ht="13.5" thickBot="1" x14ac:dyDescent="0.25">
      <c r="A30" s="25" t="s">
        <v>40</v>
      </c>
      <c r="B30" s="43">
        <v>0</v>
      </c>
      <c r="D30" s="31"/>
      <c r="E30" s="37"/>
      <c r="F30" s="14"/>
      <c r="G30" s="12"/>
      <c r="H30" s="12"/>
      <c r="W30" s="11">
        <v>36889</v>
      </c>
      <c r="X30" s="14">
        <v>0</v>
      </c>
      <c r="Y30" s="14">
        <v>0</v>
      </c>
      <c r="Z30" s="13">
        <f t="shared" si="2"/>
        <v>399218.4192</v>
      </c>
      <c r="AA30" s="13"/>
      <c r="AB30" s="14">
        <v>0</v>
      </c>
      <c r="AC30" s="14">
        <v>0</v>
      </c>
      <c r="AD30" s="14">
        <v>1500</v>
      </c>
      <c r="AF30" s="11">
        <f t="shared" si="0"/>
        <v>36889</v>
      </c>
      <c r="AG30" s="12"/>
      <c r="AH30" s="12"/>
      <c r="AJ30" s="15">
        <f t="shared" si="3"/>
        <v>36889</v>
      </c>
      <c r="AK30" s="12"/>
      <c r="AL30" s="12"/>
      <c r="AM30" s="12"/>
    </row>
    <row r="31" spans="1:39" x14ac:dyDescent="0.2">
      <c r="A31" s="25" t="s">
        <v>41</v>
      </c>
      <c r="B31" s="43">
        <v>0</v>
      </c>
      <c r="C31" s="14"/>
      <c r="E31" s="12"/>
      <c r="G31" s="12"/>
      <c r="H31" s="12"/>
      <c r="W31" s="11">
        <v>36890</v>
      </c>
      <c r="X31" s="14">
        <v>0</v>
      </c>
      <c r="Y31" s="14">
        <v>0</v>
      </c>
      <c r="Z31" s="13">
        <f t="shared" si="2"/>
        <v>399218.4192</v>
      </c>
      <c r="AA31" s="13"/>
      <c r="AB31" s="14">
        <v>0</v>
      </c>
      <c r="AC31" s="14">
        <v>0</v>
      </c>
      <c r="AD31" s="14">
        <v>1500</v>
      </c>
      <c r="AF31" s="11">
        <f t="shared" si="0"/>
        <v>36890</v>
      </c>
      <c r="AG31" s="12"/>
      <c r="AH31" s="12"/>
      <c r="AJ31" s="15">
        <f t="shared" si="3"/>
        <v>36890</v>
      </c>
      <c r="AK31" s="12"/>
      <c r="AL31" s="12"/>
      <c r="AM31" s="12"/>
    </row>
    <row r="32" spans="1:39" x14ac:dyDescent="0.2">
      <c r="A32" s="25" t="s">
        <v>42</v>
      </c>
      <c r="B32" s="43">
        <v>424539</v>
      </c>
      <c r="E32" s="12"/>
      <c r="G32" s="12"/>
      <c r="H32" s="12"/>
      <c r="W32" s="11">
        <v>36891</v>
      </c>
      <c r="X32" s="14">
        <v>0</v>
      </c>
      <c r="Y32" s="14">
        <v>0</v>
      </c>
      <c r="Z32" s="13">
        <f t="shared" si="2"/>
        <v>399218.4192</v>
      </c>
      <c r="AA32" s="13"/>
      <c r="AB32" s="14">
        <v>0</v>
      </c>
      <c r="AC32" s="14">
        <v>0</v>
      </c>
      <c r="AD32" s="14">
        <v>1500</v>
      </c>
      <c r="AF32" s="11">
        <f t="shared" si="0"/>
        <v>36891</v>
      </c>
      <c r="AG32" s="12"/>
      <c r="AH32" s="12"/>
      <c r="AJ32" s="15">
        <f t="shared" si="3"/>
        <v>36891</v>
      </c>
      <c r="AK32" s="12"/>
      <c r="AL32" s="12"/>
      <c r="AM32" s="12"/>
    </row>
    <row r="33" spans="1:39" x14ac:dyDescent="0.2">
      <c r="A33" s="25" t="s">
        <v>57</v>
      </c>
      <c r="B33" s="43">
        <v>0</v>
      </c>
      <c r="G33" s="12"/>
      <c r="H33" s="12"/>
      <c r="AF33" s="11"/>
      <c r="AG33" s="12"/>
      <c r="AJ33" s="15"/>
      <c r="AK33" s="12"/>
      <c r="AL33" s="12"/>
      <c r="AM33" s="12"/>
    </row>
    <row r="34" spans="1:39" x14ac:dyDescent="0.2">
      <c r="A34" s="25" t="s">
        <v>72</v>
      </c>
      <c r="B34" s="43">
        <v>0</v>
      </c>
      <c r="C34" s="14"/>
      <c r="G34" s="12"/>
      <c r="H34" s="12"/>
      <c r="W34" s="11"/>
      <c r="AF34" s="11"/>
      <c r="AG34" s="12"/>
      <c r="AJ34" s="15"/>
      <c r="AK34" s="12"/>
      <c r="AL34" s="12"/>
      <c r="AM34" s="12"/>
    </row>
    <row r="35" spans="1:39" x14ac:dyDescent="0.2">
      <c r="A35" s="25" t="s">
        <v>58</v>
      </c>
      <c r="B35" s="43">
        <v>47813</v>
      </c>
      <c r="G35" s="12"/>
      <c r="H35" s="12"/>
      <c r="W35" s="11"/>
      <c r="AF35" s="11"/>
      <c r="AJ35" s="15"/>
      <c r="AK35" s="12"/>
      <c r="AL35" s="12"/>
      <c r="AM35" s="12"/>
    </row>
    <row r="36" spans="1:39" x14ac:dyDescent="0.2">
      <c r="A36" s="25" t="s">
        <v>60</v>
      </c>
      <c r="B36" s="43">
        <v>0</v>
      </c>
      <c r="G36" s="12"/>
      <c r="H36" s="12"/>
      <c r="W36" s="11"/>
      <c r="AF36" s="11"/>
      <c r="AJ36" s="15"/>
      <c r="AK36" s="12"/>
      <c r="AL36" s="12"/>
      <c r="AM36" s="12"/>
    </row>
    <row r="37" spans="1:39" x14ac:dyDescent="0.2">
      <c r="A37" s="25" t="s">
        <v>61</v>
      </c>
      <c r="B37" s="43">
        <f>5050+10000</f>
        <v>15050</v>
      </c>
      <c r="C37" s="2" t="s">
        <v>17</v>
      </c>
      <c r="G37" s="12"/>
      <c r="H37" s="12"/>
      <c r="W37" s="11"/>
      <c r="AL37" s="12"/>
      <c r="AM37" s="12"/>
    </row>
    <row r="38" spans="1:39" x14ac:dyDescent="0.2">
      <c r="A38" s="25" t="s">
        <v>19</v>
      </c>
      <c r="B38" s="26">
        <v>0</v>
      </c>
      <c r="D38" s="12"/>
      <c r="E38" s="14"/>
      <c r="G38" s="12"/>
      <c r="H38" s="12"/>
      <c r="AL38" s="12"/>
      <c r="AM38" s="12"/>
    </row>
    <row r="39" spans="1:39" x14ac:dyDescent="0.2">
      <c r="A39" s="25" t="s">
        <v>24</v>
      </c>
      <c r="B39" s="36"/>
      <c r="G39" s="12"/>
      <c r="H39" s="12"/>
      <c r="AJ39" s="12"/>
      <c r="AK39" s="12"/>
      <c r="AL39" s="12"/>
      <c r="AM39" s="12"/>
    </row>
    <row r="40" spans="1:39" x14ac:dyDescent="0.2">
      <c r="A40" s="25" t="s">
        <v>71</v>
      </c>
      <c r="B40" s="26">
        <v>0</v>
      </c>
      <c r="G40" s="12"/>
      <c r="H40" s="12"/>
      <c r="AJ40" s="12"/>
      <c r="AK40" s="12"/>
      <c r="AL40" s="12"/>
      <c r="AM40" s="12"/>
    </row>
    <row r="41" spans="1:39" x14ac:dyDescent="0.2">
      <c r="A41" s="25" t="s">
        <v>29</v>
      </c>
      <c r="B41" s="26">
        <v>0</v>
      </c>
      <c r="G41" s="12"/>
      <c r="H41" s="12"/>
      <c r="AJ41" s="12"/>
      <c r="AK41" s="12"/>
      <c r="AL41" s="12"/>
      <c r="AM41" s="12"/>
    </row>
    <row r="42" spans="1:39" x14ac:dyDescent="0.2">
      <c r="A42" s="25" t="s">
        <v>45</v>
      </c>
      <c r="B42" s="26">
        <v>10</v>
      </c>
      <c r="AJ42" s="12"/>
      <c r="AK42" s="12"/>
      <c r="AL42" s="12"/>
      <c r="AM42" s="12"/>
    </row>
    <row r="43" spans="1:39" x14ac:dyDescent="0.2">
      <c r="A43" s="25" t="s">
        <v>46</v>
      </c>
      <c r="B43" s="26">
        <v>1000</v>
      </c>
      <c r="E43" s="12"/>
      <c r="AJ43" s="12"/>
      <c r="AK43" s="12"/>
      <c r="AL43" s="12"/>
      <c r="AM43" s="12"/>
    </row>
    <row r="44" spans="1:39" x14ac:dyDescent="0.2">
      <c r="A44" s="25" t="s">
        <v>47</v>
      </c>
      <c r="B44" s="26"/>
      <c r="C44" s="14"/>
      <c r="E44" s="12"/>
    </row>
    <row r="45" spans="1:39" x14ac:dyDescent="0.2">
      <c r="A45" s="25" t="s">
        <v>65</v>
      </c>
      <c r="B45" s="26">
        <v>35000</v>
      </c>
      <c r="E45" s="12"/>
    </row>
    <row r="46" spans="1:39" x14ac:dyDescent="0.2">
      <c r="A46" s="25" t="s">
        <v>32</v>
      </c>
      <c r="B46" s="26">
        <v>0</v>
      </c>
      <c r="C46" s="14"/>
      <c r="E46" s="12"/>
    </row>
    <row r="47" spans="1:39" x14ac:dyDescent="0.2">
      <c r="A47" s="25" t="s">
        <v>34</v>
      </c>
      <c r="B47" s="26">
        <v>0</v>
      </c>
    </row>
    <row r="48" spans="1:39" x14ac:dyDescent="0.2">
      <c r="A48" s="25" t="s">
        <v>48</v>
      </c>
      <c r="B48" s="26">
        <v>0</v>
      </c>
      <c r="C48" s="2" t="s">
        <v>17</v>
      </c>
      <c r="E48" s="12"/>
    </row>
    <row r="49" spans="1:5" x14ac:dyDescent="0.2">
      <c r="A49" s="25" t="s">
        <v>49</v>
      </c>
      <c r="B49" s="26">
        <v>0</v>
      </c>
      <c r="C49" s="14" t="s">
        <v>17</v>
      </c>
      <c r="E49" s="12"/>
    </row>
    <row r="50" spans="1:5" x14ac:dyDescent="0.2">
      <c r="A50" s="25" t="s">
        <v>50</v>
      </c>
      <c r="B50" s="26">
        <v>60000</v>
      </c>
      <c r="E50" s="12"/>
    </row>
    <row r="51" spans="1:5" x14ac:dyDescent="0.2">
      <c r="A51" s="25" t="s">
        <v>35</v>
      </c>
      <c r="B51" s="43">
        <v>0</v>
      </c>
      <c r="E51" s="12"/>
    </row>
    <row r="52" spans="1:5" x14ac:dyDescent="0.2">
      <c r="A52" s="25" t="s">
        <v>29</v>
      </c>
      <c r="B52" s="43">
        <f>240254+150746</f>
        <v>391000</v>
      </c>
      <c r="C52" s="14"/>
      <c r="E52" s="12"/>
    </row>
    <row r="53" spans="1:5" ht="13.5" thickBot="1" x14ac:dyDescent="0.25">
      <c r="A53" s="25" t="s">
        <v>43</v>
      </c>
      <c r="B53" s="43">
        <v>0</v>
      </c>
      <c r="E53" s="12"/>
    </row>
    <row r="54" spans="1:5" ht="13.5" thickBot="1" x14ac:dyDescent="0.25">
      <c r="A54" s="34" t="s">
        <v>44</v>
      </c>
      <c r="B54" s="35">
        <f>SUM(B29:B53)</f>
        <v>1330196</v>
      </c>
      <c r="C54" s="14"/>
      <c r="E54" s="12"/>
    </row>
    <row r="55" spans="1:5" ht="13.5" thickBot="1" x14ac:dyDescent="0.25">
      <c r="A55" s="31"/>
      <c r="B55" s="38"/>
      <c r="E55" s="12"/>
    </row>
    <row r="56" spans="1:5" x14ac:dyDescent="0.2">
      <c r="A56" s="27"/>
      <c r="B56" s="27"/>
      <c r="E56" s="12"/>
    </row>
    <row r="57" spans="1:5" x14ac:dyDescent="0.2">
      <c r="E57" s="12"/>
    </row>
  </sheetData>
  <phoneticPr fontId="0" type="noConversion"/>
  <pageMargins left="0.55000000000000004" right="0.3" top="1" bottom="0.5" header="0.5" footer="0.23"/>
  <pageSetup scale="4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WEEKEND</vt:lpstr>
      <vt:lpstr>DAILY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Felienne</cp:lastModifiedBy>
  <cp:lastPrinted>2000-11-30T23:59:26Z</cp:lastPrinted>
  <dcterms:created xsi:type="dcterms:W3CDTF">2000-09-26T13:26:15Z</dcterms:created>
  <dcterms:modified xsi:type="dcterms:W3CDTF">2014-09-05T06:39:51Z</dcterms:modified>
</cp:coreProperties>
</file>