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trlProps/ctrlProp9.xml" ContentType="application/vnd.ms-excel.controlproperties+xml"/>
  <Override PartName="/xl/ctrlProps/ctrlProp10.xml" ContentType="application/vnd.ms-excel.controlproperties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trlProps/ctrlProp11.xml" ContentType="application/vnd.ms-excel.controlproperties+xml"/>
  <Override PartName="/xl/ctrlProps/ctrlProp12.xml" ContentType="application/vnd.ms-excel.controlproperties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trlProps/ctrlProp15.xml" ContentType="application/vnd.ms-excel.controlproperties+xml"/>
  <Override PartName="/xl/ctrlProps/ctrlProp16.xml" ContentType="application/vnd.ms-excel.controlproperties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" windowWidth="14175" windowHeight="8580" activeTab="2"/>
  </bookViews>
  <sheets>
    <sheet name="Prices" sheetId="1" r:id="rId1"/>
    <sheet name="Tolls" sheetId="3" r:id="rId2"/>
    <sheet name="Kern - Opal to SoCal" sheetId="2" r:id="rId3"/>
    <sheet name="Kern - Opal to PG&amp;E" sheetId="5" r:id="rId4"/>
    <sheet name="TW - Perm to SoCal" sheetId="6" r:id="rId5"/>
    <sheet name="EPNG - Perm to SoCal" sheetId="7" r:id="rId6"/>
    <sheet name="EPNG - SJ to SoCal" sheetId="8" r:id="rId7"/>
    <sheet name="PGT - AECO to Malin" sheetId="9" r:id="rId8"/>
    <sheet name="PGT - Malin to PG&amp;E" sheetId="10" r:id="rId9"/>
    <sheet name="PGT - AECO to PG&amp;E" sheetId="11" r:id="rId10"/>
  </sheets>
  <calcPr calcId="152511" calcMode="manual" iterate="1"/>
</workbook>
</file>

<file path=xl/calcChain.xml><?xml version="1.0" encoding="utf-8"?>
<calcChain xmlns="http://schemas.openxmlformats.org/spreadsheetml/2006/main">
  <c r="G22" i="7" l="1"/>
  <c r="A23" i="7"/>
  <c r="G22" i="8"/>
  <c r="A23" i="8"/>
  <c r="G22" i="5"/>
  <c r="A23" i="5"/>
  <c r="G22" i="2"/>
  <c r="A23" i="2"/>
  <c r="A24" i="2"/>
  <c r="G22" i="9"/>
  <c r="A23" i="9"/>
  <c r="A24" i="9"/>
  <c r="G22" i="11"/>
  <c r="A23" i="11"/>
  <c r="G22" i="10"/>
  <c r="A23" i="10"/>
  <c r="D5" i="1"/>
  <c r="D8" i="1"/>
  <c r="E8" i="1"/>
  <c r="F8" i="1"/>
  <c r="E7" i="3" s="1"/>
  <c r="B9" i="1"/>
  <c r="B10" i="1" s="1"/>
  <c r="B11" i="1" s="1"/>
  <c r="B12" i="1" s="1"/>
  <c r="B13" i="1" s="1"/>
  <c r="B14" i="1" s="1"/>
  <c r="B15" i="1" s="1"/>
  <c r="B16" i="1" s="1"/>
  <c r="F9" i="1"/>
  <c r="A10" i="1"/>
  <c r="F10" i="1"/>
  <c r="N10" i="1" s="1"/>
  <c r="A11" i="1"/>
  <c r="A25" i="9" s="1"/>
  <c r="F11" i="1"/>
  <c r="N11" i="1" s="1"/>
  <c r="F12" i="1"/>
  <c r="N12" i="1" s="1"/>
  <c r="Y12" i="1"/>
  <c r="Y12" i="1" a="1"/>
  <c r="F13" i="1"/>
  <c r="N13" i="1" s="1"/>
  <c r="X13" i="1"/>
  <c r="X14" i="1" s="1"/>
  <c r="X15" i="1" s="1"/>
  <c r="X16" i="1" s="1"/>
  <c r="X17" i="1" s="1"/>
  <c r="X18" i="1" s="1"/>
  <c r="X19" i="1" s="1"/>
  <c r="X20" i="1" s="1"/>
  <c r="X21" i="1" s="1"/>
  <c r="X22" i="1" s="1"/>
  <c r="X23" i="1" s="1"/>
  <c r="X24" i="1" s="1"/>
  <c r="X25" i="1" s="1"/>
  <c r="X26" i="1" s="1"/>
  <c r="X27" i="1" s="1"/>
  <c r="X28" i="1" s="1"/>
  <c r="X29" i="1" s="1"/>
  <c r="X30" i="1" s="1"/>
  <c r="X31" i="1" s="1"/>
  <c r="F14" i="1"/>
  <c r="N14" i="1" s="1"/>
  <c r="F15" i="1"/>
  <c r="N15" i="1"/>
  <c r="F16" i="1"/>
  <c r="N16" i="1" s="1"/>
  <c r="Y16" i="1"/>
  <c r="F17" i="1"/>
  <c r="N17" i="1" s="1"/>
  <c r="F18" i="1"/>
  <c r="N18" i="1" s="1"/>
  <c r="F19" i="1"/>
  <c r="N19" i="1"/>
  <c r="F20" i="1"/>
  <c r="N20" i="1" s="1"/>
  <c r="Y20" i="1"/>
  <c r="F21" i="1"/>
  <c r="N21" i="1" s="1"/>
  <c r="F22" i="1"/>
  <c r="N22" i="1" s="1"/>
  <c r="F23" i="1"/>
  <c r="E23" i="3" s="1"/>
  <c r="N23" i="1"/>
  <c r="F24" i="1"/>
  <c r="N24" i="1" s="1"/>
  <c r="Y24" i="1"/>
  <c r="N25" i="1"/>
  <c r="Y25" i="1"/>
  <c r="N26" i="1"/>
  <c r="N27" i="1"/>
  <c r="Y27" i="1"/>
  <c r="N28" i="1"/>
  <c r="N29" i="1"/>
  <c r="Y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D4" i="3"/>
  <c r="E4" i="3"/>
  <c r="G4" i="3"/>
  <c r="I4" i="3"/>
  <c r="J4" i="3"/>
  <c r="L4" i="3"/>
  <c r="M4" i="3"/>
  <c r="N4" i="3"/>
  <c r="D5" i="3"/>
  <c r="D7" i="3" s="1"/>
  <c r="E5" i="3"/>
  <c r="G5" i="3"/>
  <c r="I5" i="3"/>
  <c r="J5" i="3"/>
  <c r="L5" i="3"/>
  <c r="M5" i="3"/>
  <c r="N5" i="3"/>
  <c r="B8" i="3"/>
  <c r="B9" i="3" s="1"/>
  <c r="B10" i="3" s="1"/>
  <c r="D8" i="3"/>
  <c r="F8" i="3"/>
  <c r="G8" i="3"/>
  <c r="H8" i="3"/>
  <c r="I8" i="3"/>
  <c r="J8" i="3"/>
  <c r="K8" i="3" s="1"/>
  <c r="L8" i="3"/>
  <c r="M8" i="3" s="1"/>
  <c r="N8" i="3"/>
  <c r="O8" i="3"/>
  <c r="P8" i="3" s="1"/>
  <c r="D9" i="3"/>
  <c r="G9" i="3"/>
  <c r="I9" i="3"/>
  <c r="J9" i="3"/>
  <c r="M9" i="3"/>
  <c r="N9" i="3"/>
  <c r="A10" i="3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D10" i="3"/>
  <c r="G10" i="3"/>
  <c r="I10" i="3"/>
  <c r="J10" i="3"/>
  <c r="L10" i="3"/>
  <c r="N10" i="3" s="1"/>
  <c r="M10" i="3"/>
  <c r="B11" i="3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D11" i="3"/>
  <c r="E11" i="3"/>
  <c r="G11" i="3"/>
  <c r="I11" i="3"/>
  <c r="J11" i="3"/>
  <c r="L11" i="3"/>
  <c r="M11" i="3"/>
  <c r="N11" i="3"/>
  <c r="D12" i="3"/>
  <c r="E12" i="3"/>
  <c r="G12" i="3"/>
  <c r="I12" i="3"/>
  <c r="J12" i="3"/>
  <c r="L12" i="3"/>
  <c r="N12" i="3" s="1"/>
  <c r="M12" i="3"/>
  <c r="AA12" i="3" a="1"/>
  <c r="AA18" i="3" s="1"/>
  <c r="D13" i="3"/>
  <c r="E13" i="3"/>
  <c r="G13" i="3"/>
  <c r="I13" i="3"/>
  <c r="J13" i="3"/>
  <c r="L13" i="3"/>
  <c r="N13" i="3" s="1"/>
  <c r="M13" i="3"/>
  <c r="Z13" i="3"/>
  <c r="AA13" i="3"/>
  <c r="D14" i="3"/>
  <c r="E14" i="3"/>
  <c r="G14" i="3"/>
  <c r="I14" i="3"/>
  <c r="J14" i="3"/>
  <c r="L14" i="3"/>
  <c r="N14" i="3" s="1"/>
  <c r="M14" i="3"/>
  <c r="Z14" i="3"/>
  <c r="Z15" i="3" s="1"/>
  <c r="Z16" i="3" s="1"/>
  <c r="Z17" i="3" s="1"/>
  <c r="Z18" i="3" s="1"/>
  <c r="Z19" i="3" s="1"/>
  <c r="Z20" i="3" s="1"/>
  <c r="Z21" i="3" s="1"/>
  <c r="Z22" i="3" s="1"/>
  <c r="Z23" i="3" s="1"/>
  <c r="Z24" i="3" s="1"/>
  <c r="Z25" i="3" s="1"/>
  <c r="Z26" i="3" s="1"/>
  <c r="Z27" i="3" s="1"/>
  <c r="Z28" i="3" s="1"/>
  <c r="Z29" i="3" s="1"/>
  <c r="Z30" i="3" s="1"/>
  <c r="Z31" i="3" s="1"/>
  <c r="D15" i="3"/>
  <c r="E15" i="3"/>
  <c r="G15" i="3"/>
  <c r="I15" i="3"/>
  <c r="J15" i="3"/>
  <c r="L15" i="3"/>
  <c r="N15" i="3" s="1"/>
  <c r="M15" i="3"/>
  <c r="D16" i="3"/>
  <c r="G16" i="3"/>
  <c r="I16" i="3"/>
  <c r="J16" i="3"/>
  <c r="L16" i="3"/>
  <c r="M16" i="3"/>
  <c r="N16" i="3"/>
  <c r="D17" i="3"/>
  <c r="E17" i="3"/>
  <c r="G17" i="3"/>
  <c r="I17" i="3"/>
  <c r="J17" i="3"/>
  <c r="L17" i="3"/>
  <c r="N17" i="3" s="1"/>
  <c r="M17" i="3"/>
  <c r="D18" i="3"/>
  <c r="G18" i="3"/>
  <c r="I18" i="3"/>
  <c r="J18" i="3"/>
  <c r="L18" i="3"/>
  <c r="M18" i="3"/>
  <c r="N18" i="3"/>
  <c r="D19" i="3"/>
  <c r="E19" i="3"/>
  <c r="G19" i="3"/>
  <c r="I19" i="3"/>
  <c r="J19" i="3"/>
  <c r="L19" i="3"/>
  <c r="N19" i="3" s="1"/>
  <c r="M19" i="3"/>
  <c r="D20" i="3"/>
  <c r="E20" i="3"/>
  <c r="G20" i="3"/>
  <c r="I20" i="3"/>
  <c r="J20" i="3"/>
  <c r="L20" i="3"/>
  <c r="N20" i="3" s="1"/>
  <c r="M20" i="3"/>
  <c r="D21" i="3"/>
  <c r="E21" i="3"/>
  <c r="G21" i="3"/>
  <c r="I21" i="3"/>
  <c r="J21" i="3"/>
  <c r="L21" i="3"/>
  <c r="N21" i="3" s="1"/>
  <c r="M21" i="3"/>
  <c r="D22" i="3"/>
  <c r="E22" i="3"/>
  <c r="G22" i="3"/>
  <c r="I22" i="3"/>
  <c r="J22" i="3"/>
  <c r="L22" i="3"/>
  <c r="N22" i="3" s="1"/>
  <c r="M22" i="3"/>
  <c r="D23" i="3"/>
  <c r="G23" i="3"/>
  <c r="I23" i="3"/>
  <c r="J23" i="3"/>
  <c r="L23" i="3"/>
  <c r="N23" i="3" s="1"/>
  <c r="M23" i="3"/>
  <c r="D24" i="3"/>
  <c r="E24" i="3"/>
  <c r="G24" i="3"/>
  <c r="I24" i="3"/>
  <c r="J24" i="3"/>
  <c r="L24" i="3"/>
  <c r="M24" i="3"/>
  <c r="N24" i="3"/>
  <c r="D25" i="3"/>
  <c r="E25" i="3"/>
  <c r="G25" i="3"/>
  <c r="I25" i="3"/>
  <c r="J25" i="3"/>
  <c r="L25" i="3"/>
  <c r="N25" i="3" s="1"/>
  <c r="M25" i="3"/>
  <c r="D26" i="3"/>
  <c r="E26" i="3"/>
  <c r="G26" i="3"/>
  <c r="I26" i="3"/>
  <c r="J26" i="3"/>
  <c r="L26" i="3"/>
  <c r="M26" i="3"/>
  <c r="N26" i="3"/>
  <c r="D27" i="3"/>
  <c r="E27" i="3"/>
  <c r="G27" i="3"/>
  <c r="I27" i="3"/>
  <c r="J27" i="3"/>
  <c r="L27" i="3"/>
  <c r="N27" i="3" s="1"/>
  <c r="M27" i="3"/>
  <c r="D28" i="3"/>
  <c r="E28" i="3"/>
  <c r="G28" i="3"/>
  <c r="I28" i="3"/>
  <c r="J28" i="3"/>
  <c r="L28" i="3"/>
  <c r="N28" i="3" s="1"/>
  <c r="M28" i="3"/>
  <c r="AA28" i="3"/>
  <c r="D29" i="3"/>
  <c r="E29" i="3"/>
  <c r="G29" i="3"/>
  <c r="I29" i="3"/>
  <c r="J29" i="3"/>
  <c r="L29" i="3"/>
  <c r="N29" i="3" s="1"/>
  <c r="M29" i="3"/>
  <c r="AA29" i="3"/>
  <c r="D30" i="3"/>
  <c r="E30" i="3"/>
  <c r="G30" i="3"/>
  <c r="I30" i="3"/>
  <c r="J30" i="3"/>
  <c r="L30" i="3"/>
  <c r="N30" i="3" s="1"/>
  <c r="M30" i="3"/>
  <c r="D31" i="3"/>
  <c r="E31" i="3"/>
  <c r="G31" i="3"/>
  <c r="I31" i="3"/>
  <c r="J31" i="3"/>
  <c r="L31" i="3"/>
  <c r="N31" i="3" s="1"/>
  <c r="M31" i="3"/>
  <c r="D32" i="3"/>
  <c r="E32" i="3"/>
  <c r="G32" i="3"/>
  <c r="I32" i="3"/>
  <c r="J32" i="3"/>
  <c r="L32" i="3"/>
  <c r="M32" i="3"/>
  <c r="N32" i="3"/>
  <c r="D33" i="3"/>
  <c r="E33" i="3"/>
  <c r="G33" i="3"/>
  <c r="I33" i="3"/>
  <c r="J33" i="3"/>
  <c r="L33" i="3"/>
  <c r="N33" i="3" s="1"/>
  <c r="M33" i="3"/>
  <c r="D34" i="3"/>
  <c r="E34" i="3"/>
  <c r="G34" i="3"/>
  <c r="I34" i="3"/>
  <c r="J34" i="3"/>
  <c r="L34" i="3"/>
  <c r="N34" i="3" s="1"/>
  <c r="M34" i="3"/>
  <c r="D35" i="3"/>
  <c r="E35" i="3"/>
  <c r="G35" i="3"/>
  <c r="I35" i="3"/>
  <c r="J35" i="3"/>
  <c r="L35" i="3"/>
  <c r="M35" i="3"/>
  <c r="N35" i="3"/>
  <c r="D36" i="3"/>
  <c r="E36" i="3"/>
  <c r="G36" i="3"/>
  <c r="I36" i="3"/>
  <c r="J36" i="3"/>
  <c r="L36" i="3"/>
  <c r="M36" i="3"/>
  <c r="N36" i="3"/>
  <c r="D37" i="3"/>
  <c r="E37" i="3"/>
  <c r="G37" i="3"/>
  <c r="I37" i="3"/>
  <c r="J37" i="3"/>
  <c r="L37" i="3"/>
  <c r="N37" i="3" s="1"/>
  <c r="M37" i="3"/>
  <c r="D38" i="3"/>
  <c r="E38" i="3"/>
  <c r="G38" i="3"/>
  <c r="I38" i="3"/>
  <c r="J38" i="3"/>
  <c r="L38" i="3"/>
  <c r="N38" i="3" s="1"/>
  <c r="M38" i="3"/>
  <c r="D39" i="3"/>
  <c r="E39" i="3"/>
  <c r="G39" i="3"/>
  <c r="I39" i="3"/>
  <c r="J39" i="3"/>
  <c r="L39" i="3"/>
  <c r="M39" i="3"/>
  <c r="N39" i="3"/>
  <c r="D40" i="3"/>
  <c r="E40" i="3"/>
  <c r="G40" i="3"/>
  <c r="I40" i="3"/>
  <c r="J40" i="3"/>
  <c r="L40" i="3"/>
  <c r="N40" i="3" s="1"/>
  <c r="M40" i="3"/>
  <c r="D41" i="3"/>
  <c r="E41" i="3"/>
  <c r="G41" i="3"/>
  <c r="I41" i="3"/>
  <c r="J41" i="3"/>
  <c r="L41" i="3"/>
  <c r="M41" i="3"/>
  <c r="N41" i="3"/>
  <c r="D42" i="3"/>
  <c r="E42" i="3"/>
  <c r="G42" i="3"/>
  <c r="I42" i="3"/>
  <c r="J42" i="3"/>
  <c r="L42" i="3"/>
  <c r="N42" i="3" s="1"/>
  <c r="M42" i="3"/>
  <c r="D43" i="3"/>
  <c r="E43" i="3"/>
  <c r="G43" i="3"/>
  <c r="I43" i="3"/>
  <c r="J43" i="3"/>
  <c r="L43" i="3"/>
  <c r="M43" i="3"/>
  <c r="N43" i="3"/>
  <c r="D44" i="3"/>
  <c r="E44" i="3"/>
  <c r="G44" i="3"/>
  <c r="I44" i="3"/>
  <c r="J44" i="3"/>
  <c r="L44" i="3"/>
  <c r="N44" i="3" s="1"/>
  <c r="M44" i="3"/>
  <c r="D45" i="3"/>
  <c r="E45" i="3"/>
  <c r="G45" i="3"/>
  <c r="I45" i="3"/>
  <c r="J45" i="3"/>
  <c r="L45" i="3"/>
  <c r="M45" i="3"/>
  <c r="N45" i="3"/>
  <c r="D46" i="3"/>
  <c r="E46" i="3"/>
  <c r="G46" i="3"/>
  <c r="I46" i="3"/>
  <c r="J46" i="3"/>
  <c r="L46" i="3"/>
  <c r="N46" i="3" s="1"/>
  <c r="M46" i="3"/>
  <c r="D47" i="3"/>
  <c r="E47" i="3"/>
  <c r="G47" i="3"/>
  <c r="I47" i="3"/>
  <c r="J47" i="3"/>
  <c r="L47" i="3"/>
  <c r="M47" i="3"/>
  <c r="N47" i="3"/>
  <c r="D48" i="3"/>
  <c r="E48" i="3"/>
  <c r="G48" i="3"/>
  <c r="I48" i="3"/>
  <c r="J48" i="3"/>
  <c r="L48" i="3"/>
  <c r="M48" i="3"/>
  <c r="N48" i="3"/>
  <c r="D49" i="3"/>
  <c r="E49" i="3"/>
  <c r="G49" i="3"/>
  <c r="I49" i="3"/>
  <c r="J49" i="3"/>
  <c r="L49" i="3"/>
  <c r="N49" i="3" s="1"/>
  <c r="M49" i="3"/>
  <c r="D50" i="3"/>
  <c r="E50" i="3"/>
  <c r="G50" i="3"/>
  <c r="I50" i="3"/>
  <c r="J50" i="3"/>
  <c r="L50" i="3"/>
  <c r="N50" i="3" s="1"/>
  <c r="M50" i="3"/>
  <c r="D51" i="3"/>
  <c r="E51" i="3"/>
  <c r="G51" i="3"/>
  <c r="I51" i="3"/>
  <c r="J51" i="3"/>
  <c r="L51" i="3"/>
  <c r="M51" i="3"/>
  <c r="N51" i="3"/>
  <c r="D52" i="3"/>
  <c r="E52" i="3"/>
  <c r="G52" i="3"/>
  <c r="I52" i="3"/>
  <c r="J52" i="3"/>
  <c r="L52" i="3"/>
  <c r="M52" i="3"/>
  <c r="N52" i="3"/>
  <c r="D53" i="3"/>
  <c r="E53" i="3"/>
  <c r="G53" i="3"/>
  <c r="I53" i="3"/>
  <c r="J53" i="3"/>
  <c r="L53" i="3"/>
  <c r="N53" i="3" s="1"/>
  <c r="M53" i="3"/>
  <c r="D54" i="3"/>
  <c r="E54" i="3"/>
  <c r="G54" i="3"/>
  <c r="I54" i="3"/>
  <c r="J54" i="3"/>
  <c r="L54" i="3"/>
  <c r="N54" i="3" s="1"/>
  <c r="M54" i="3"/>
  <c r="D55" i="3"/>
  <c r="E55" i="3"/>
  <c r="G55" i="3"/>
  <c r="I55" i="3"/>
  <c r="J55" i="3"/>
  <c r="L55" i="3"/>
  <c r="M55" i="3"/>
  <c r="N55" i="3"/>
  <c r="D56" i="3"/>
  <c r="E56" i="3"/>
  <c r="G56" i="3"/>
  <c r="I56" i="3"/>
  <c r="J56" i="3"/>
  <c r="L56" i="3"/>
  <c r="N56" i="3" s="1"/>
  <c r="M56" i="3"/>
  <c r="D57" i="3"/>
  <c r="E57" i="3"/>
  <c r="G57" i="3"/>
  <c r="I57" i="3"/>
  <c r="J57" i="3"/>
  <c r="L57" i="3"/>
  <c r="M57" i="3"/>
  <c r="N57" i="3"/>
  <c r="D58" i="3"/>
  <c r="E58" i="3"/>
  <c r="G58" i="3"/>
  <c r="I58" i="3"/>
  <c r="J58" i="3"/>
  <c r="L58" i="3"/>
  <c r="N58" i="3" s="1"/>
  <c r="M58" i="3"/>
  <c r="G22" i="6"/>
  <c r="A23" i="6"/>
  <c r="A24" i="6"/>
  <c r="H38" i="5" l="1"/>
  <c r="H27" i="5"/>
  <c r="H36" i="5"/>
  <c r="H40" i="5"/>
  <c r="H44" i="5"/>
  <c r="H48" i="5"/>
  <c r="H52" i="5"/>
  <c r="H56" i="5"/>
  <c r="H60" i="5"/>
  <c r="H64" i="5"/>
  <c r="H68" i="5"/>
  <c r="H72" i="5"/>
  <c r="H28" i="5"/>
  <c r="H34" i="5"/>
  <c r="H41" i="5"/>
  <c r="H21" i="5"/>
  <c r="H26" i="5"/>
  <c r="H43" i="5"/>
  <c r="H46" i="5"/>
  <c r="H49" i="5"/>
  <c r="H63" i="5"/>
  <c r="H66" i="5"/>
  <c r="H69" i="5"/>
  <c r="H31" i="5"/>
  <c r="H37" i="5"/>
  <c r="H47" i="5"/>
  <c r="H58" i="5"/>
  <c r="H45" i="5"/>
  <c r="H25" i="5"/>
  <c r="H35" i="5"/>
  <c r="H50" i="5"/>
  <c r="H71" i="5"/>
  <c r="H51" i="5"/>
  <c r="H53" i="5"/>
  <c r="H55" i="5"/>
  <c r="H61" i="5"/>
  <c r="H57" i="5"/>
  <c r="H65" i="5"/>
  <c r="H33" i="5"/>
  <c r="H39" i="5"/>
  <c r="H29" i="5"/>
  <c r="H59" i="5"/>
  <c r="H67" i="5"/>
  <c r="H54" i="5"/>
  <c r="H62" i="5"/>
  <c r="H70" i="5"/>
  <c r="H42" i="5"/>
  <c r="B17" i="1"/>
  <c r="C30" i="5"/>
  <c r="C30" i="6"/>
  <c r="C24" i="6"/>
  <c r="AA17" i="3"/>
  <c r="AA16" i="3"/>
  <c r="E16" i="3"/>
  <c r="H30" i="5" s="1"/>
  <c r="AA12" i="3"/>
  <c r="E10" i="3"/>
  <c r="H24" i="5" s="1"/>
  <c r="AA27" i="3"/>
  <c r="AA26" i="3"/>
  <c r="Y15" i="1"/>
  <c r="Y19" i="1"/>
  <c r="Y23" i="1"/>
  <c r="Y26" i="1"/>
  <c r="Y31" i="1"/>
  <c r="Y14" i="1"/>
  <c r="Y18" i="1"/>
  <c r="Y22" i="1"/>
  <c r="Y28" i="1"/>
  <c r="Y13" i="1"/>
  <c r="Y17" i="1"/>
  <c r="Y21" i="1"/>
  <c r="Y30" i="1"/>
  <c r="N9" i="1"/>
  <c r="E9" i="3"/>
  <c r="H23" i="5" s="1"/>
  <c r="AA21" i="3"/>
  <c r="AA20" i="3"/>
  <c r="C31" i="6"/>
  <c r="AA31" i="3"/>
  <c r="AA30" i="3"/>
  <c r="AA15" i="3"/>
  <c r="AA14" i="3"/>
  <c r="A25" i="7"/>
  <c r="A25" i="5"/>
  <c r="A25" i="2"/>
  <c r="A25" i="8"/>
  <c r="A12" i="1"/>
  <c r="A25" i="6"/>
  <c r="A25" i="11"/>
  <c r="A25" i="10"/>
  <c r="AA25" i="3"/>
  <c r="AA24" i="3"/>
  <c r="E30" i="5"/>
  <c r="AA23" i="3"/>
  <c r="AA22" i="3"/>
  <c r="AA19" i="3"/>
  <c r="E18" i="3"/>
  <c r="H32" i="5" s="1"/>
  <c r="G8" i="1"/>
  <c r="E5" i="1"/>
  <c r="C24" i="5"/>
  <c r="C28" i="5"/>
  <c r="C23" i="5"/>
  <c r="E25" i="5"/>
  <c r="C26" i="5"/>
  <c r="C29" i="5"/>
  <c r="C26" i="2"/>
  <c r="E24" i="5"/>
  <c r="C27" i="5"/>
  <c r="C31" i="5"/>
  <c r="C25" i="5"/>
  <c r="E27" i="5"/>
  <c r="E29" i="5"/>
  <c r="C31" i="2"/>
  <c r="C28" i="2"/>
  <c r="E28" i="5"/>
  <c r="C30" i="2"/>
  <c r="E26" i="5"/>
  <c r="F26" i="5" s="1"/>
  <c r="J26" i="5" s="1"/>
  <c r="C23" i="2"/>
  <c r="C27" i="2"/>
  <c r="E23" i="5"/>
  <c r="A24" i="8"/>
  <c r="A24" i="7"/>
  <c r="A24" i="5"/>
  <c r="A24" i="11"/>
  <c r="A24" i="10"/>
  <c r="C24" i="2" l="1"/>
  <c r="C28" i="6"/>
  <c r="E26" i="6"/>
  <c r="F26" i="6" s="1"/>
  <c r="B18" i="1"/>
  <c r="E31" i="5"/>
  <c r="F31" i="5" s="1"/>
  <c r="J31" i="5" s="1"/>
  <c r="F23" i="5"/>
  <c r="J23" i="5" s="1"/>
  <c r="H8" i="1"/>
  <c r="G7" i="3"/>
  <c r="E27" i="6"/>
  <c r="F27" i="6" s="1"/>
  <c r="C23" i="6"/>
  <c r="C27" i="6"/>
  <c r="C29" i="2"/>
  <c r="C25" i="6"/>
  <c r="C25" i="2"/>
  <c r="C32" i="2"/>
  <c r="C29" i="6"/>
  <c r="E31" i="6"/>
  <c r="F31" i="6" s="1"/>
  <c r="E25" i="6"/>
  <c r="F25" i="6" s="1"/>
  <c r="C26" i="6"/>
  <c r="E29" i="2"/>
  <c r="F29" i="2" s="1"/>
  <c r="E23" i="6"/>
  <c r="E28" i="6"/>
  <c r="F28" i="6" s="1"/>
  <c r="F28" i="5"/>
  <c r="J28" i="5" s="1"/>
  <c r="E24" i="2"/>
  <c r="F24" i="2" s="1"/>
  <c r="E24" i="6"/>
  <c r="F24" i="6" s="1"/>
  <c r="F5" i="1"/>
  <c r="F30" i="5"/>
  <c r="J30" i="5" s="1"/>
  <c r="F25" i="5"/>
  <c r="J25" i="5" s="1"/>
  <c r="F29" i="5"/>
  <c r="J29" i="5" s="1"/>
  <c r="F24" i="5"/>
  <c r="J24" i="5" s="1"/>
  <c r="A26" i="8"/>
  <c r="A26" i="7"/>
  <c r="A26" i="9"/>
  <c r="A26" i="5"/>
  <c r="A26" i="2"/>
  <c r="A26" i="11"/>
  <c r="A26" i="10"/>
  <c r="A26" i="6"/>
  <c r="A13" i="1"/>
  <c r="F27" i="5"/>
  <c r="J27" i="5" s="1"/>
  <c r="F21" i="5" l="1"/>
  <c r="J24" i="2"/>
  <c r="B19" i="1"/>
  <c r="C32" i="5"/>
  <c r="E32" i="5"/>
  <c r="F32" i="5" s="1"/>
  <c r="J32" i="5" s="1"/>
  <c r="C32" i="6"/>
  <c r="E33" i="6"/>
  <c r="E30" i="2"/>
  <c r="F30" i="2" s="1"/>
  <c r="F23" i="6"/>
  <c r="J23" i="6" s="1"/>
  <c r="H48" i="2"/>
  <c r="H45" i="2"/>
  <c r="H35" i="6"/>
  <c r="H46" i="6"/>
  <c r="H44" i="6"/>
  <c r="H53" i="2"/>
  <c r="H41" i="6"/>
  <c r="H48" i="6"/>
  <c r="H55" i="2"/>
  <c r="H32" i="6"/>
  <c r="H42" i="6"/>
  <c r="H69" i="6"/>
  <c r="H33" i="2"/>
  <c r="H40" i="2"/>
  <c r="H51" i="2"/>
  <c r="H32" i="2"/>
  <c r="H59" i="6"/>
  <c r="H39" i="6"/>
  <c r="H54" i="6"/>
  <c r="H52" i="6"/>
  <c r="H49" i="6"/>
  <c r="H64" i="6"/>
  <c r="H50" i="6"/>
  <c r="H30" i="2"/>
  <c r="H43" i="2"/>
  <c r="H24" i="2"/>
  <c r="H54" i="2"/>
  <c r="H35" i="2"/>
  <c r="H63" i="6"/>
  <c r="H43" i="6"/>
  <c r="H62" i="6"/>
  <c r="H68" i="6"/>
  <c r="H57" i="6"/>
  <c r="H58" i="2"/>
  <c r="H58" i="6"/>
  <c r="H25" i="2"/>
  <c r="H23" i="2"/>
  <c r="H60" i="6"/>
  <c r="H66" i="6"/>
  <c r="H46" i="2"/>
  <c r="H26" i="2"/>
  <c r="H57" i="2"/>
  <c r="H38" i="2"/>
  <c r="H66" i="2"/>
  <c r="H67" i="6"/>
  <c r="H47" i="6"/>
  <c r="H70" i="6"/>
  <c r="H65" i="6"/>
  <c r="H29" i="6"/>
  <c r="H34" i="2"/>
  <c r="H60" i="2"/>
  <c r="H29" i="2"/>
  <c r="H50" i="2"/>
  <c r="H27" i="6"/>
  <c r="H28" i="6"/>
  <c r="J28" i="6" s="1"/>
  <c r="H25" i="6"/>
  <c r="J25" i="6" s="1"/>
  <c r="H26" i="6"/>
  <c r="H53" i="6"/>
  <c r="H71" i="2"/>
  <c r="H41" i="2"/>
  <c r="H63" i="2"/>
  <c r="H44" i="2"/>
  <c r="H37" i="2"/>
  <c r="H64" i="2"/>
  <c r="H31" i="6"/>
  <c r="J31" i="6" s="1"/>
  <c r="H36" i="6"/>
  <c r="H33" i="6"/>
  <c r="H34" i="6"/>
  <c r="H61" i="6"/>
  <c r="H61" i="2"/>
  <c r="H40" i="6"/>
  <c r="H49" i="2"/>
  <c r="H68" i="2"/>
  <c r="H51" i="6"/>
  <c r="H67" i="2"/>
  <c r="H72" i="2"/>
  <c r="H55" i="6"/>
  <c r="H21" i="2"/>
  <c r="H28" i="2"/>
  <c r="H23" i="6"/>
  <c r="H52" i="2"/>
  <c r="H65" i="2"/>
  <c r="H62" i="2"/>
  <c r="H27" i="2"/>
  <c r="H30" i="6"/>
  <c r="H56" i="6"/>
  <c r="H59" i="2"/>
  <c r="H69" i="2"/>
  <c r="H70" i="2"/>
  <c r="H36" i="2"/>
  <c r="H38" i="6"/>
  <c r="H72" i="6"/>
  <c r="H21" i="6"/>
  <c r="H24" i="6"/>
  <c r="J24" i="6" s="1"/>
  <c r="H56" i="2"/>
  <c r="H39" i="2"/>
  <c r="H71" i="6"/>
  <c r="H47" i="2"/>
  <c r="H37" i="6"/>
  <c r="H31" i="2"/>
  <c r="H42" i="2"/>
  <c r="H45" i="6"/>
  <c r="E27" i="2"/>
  <c r="F27" i="2" s="1"/>
  <c r="G5" i="1"/>
  <c r="J26" i="6"/>
  <c r="J29" i="2"/>
  <c r="J27" i="6"/>
  <c r="A27" i="8"/>
  <c r="A27" i="7"/>
  <c r="A27" i="5"/>
  <c r="A27" i="2"/>
  <c r="A27" i="11"/>
  <c r="A27" i="9"/>
  <c r="A14" i="1"/>
  <c r="A27" i="10"/>
  <c r="A27" i="6"/>
  <c r="I8" i="1"/>
  <c r="E28" i="2"/>
  <c r="F28" i="2" s="1"/>
  <c r="J28" i="2" s="1"/>
  <c r="C30" i="7"/>
  <c r="E23" i="2"/>
  <c r="F23" i="2" s="1"/>
  <c r="J23" i="2" s="1"/>
  <c r="C25" i="7"/>
  <c r="C32" i="7"/>
  <c r="E26" i="2"/>
  <c r="F26" i="2" s="1"/>
  <c r="J26" i="2" s="1"/>
  <c r="C29" i="7"/>
  <c r="C27" i="7"/>
  <c r="E30" i="6"/>
  <c r="F30" i="6" s="1"/>
  <c r="J30" i="6" s="1"/>
  <c r="E31" i="2"/>
  <c r="F31" i="2" s="1"/>
  <c r="J31" i="2" s="1"/>
  <c r="E25" i="2"/>
  <c r="F25" i="2" s="1"/>
  <c r="J25" i="2" s="1"/>
  <c r="E33" i="2"/>
  <c r="E32" i="2"/>
  <c r="F32" i="2" s="1"/>
  <c r="E29" i="6"/>
  <c r="F29" i="6" s="1"/>
  <c r="C23" i="7"/>
  <c r="E32" i="6"/>
  <c r="F32" i="6" s="1"/>
  <c r="J32" i="6" s="1"/>
  <c r="J29" i="6" l="1"/>
  <c r="B20" i="1"/>
  <c r="C33" i="5"/>
  <c r="E33" i="5"/>
  <c r="F33" i="5" s="1"/>
  <c r="J33" i="5" s="1"/>
  <c r="C33" i="2"/>
  <c r="C33" i="6"/>
  <c r="C32" i="8"/>
  <c r="J27" i="2"/>
  <c r="H5" i="1"/>
  <c r="J8" i="1"/>
  <c r="C31" i="7"/>
  <c r="C24" i="7"/>
  <c r="C28" i="7"/>
  <c r="C27" i="8"/>
  <c r="C25" i="8"/>
  <c r="C30" i="8"/>
  <c r="C29" i="8"/>
  <c r="C26" i="7"/>
  <c r="C33" i="7"/>
  <c r="C23" i="8"/>
  <c r="C24" i="8"/>
  <c r="J32" i="2"/>
  <c r="F33" i="2"/>
  <c r="J33" i="2" s="1"/>
  <c r="J30" i="2"/>
  <c r="F33" i="6"/>
  <c r="J33" i="6" s="1"/>
  <c r="A28" i="8"/>
  <c r="A28" i="7"/>
  <c r="A28" i="5"/>
  <c r="A28" i="11"/>
  <c r="A28" i="10"/>
  <c r="A28" i="6"/>
  <c r="A15" i="1"/>
  <c r="A28" i="9"/>
  <c r="A28" i="2"/>
  <c r="I5" i="1" l="1"/>
  <c r="F21" i="6"/>
  <c r="B21" i="1"/>
  <c r="E34" i="5"/>
  <c r="C34" i="5"/>
  <c r="C34" i="6"/>
  <c r="C34" i="2"/>
  <c r="E34" i="6"/>
  <c r="E34" i="2"/>
  <c r="C34" i="7"/>
  <c r="C34" i="8"/>
  <c r="A29" i="5"/>
  <c r="A29" i="7"/>
  <c r="A29" i="8"/>
  <c r="A29" i="9"/>
  <c r="A29" i="11"/>
  <c r="A16" i="1"/>
  <c r="A29" i="6"/>
  <c r="A29" i="2"/>
  <c r="A29" i="10"/>
  <c r="F21" i="2"/>
  <c r="E30" i="8"/>
  <c r="F30" i="8" s="1"/>
  <c r="K8" i="1"/>
  <c r="J7" i="3"/>
  <c r="E32" i="7"/>
  <c r="F32" i="7" s="1"/>
  <c r="C35" i="8"/>
  <c r="E33" i="8"/>
  <c r="E24" i="8"/>
  <c r="F24" i="8" s="1"/>
  <c r="C33" i="8"/>
  <c r="E26" i="8"/>
  <c r="C28" i="8"/>
  <c r="C31" i="8"/>
  <c r="E30" i="7"/>
  <c r="F30" i="7" s="1"/>
  <c r="E26" i="7"/>
  <c r="F26" i="7" s="1"/>
  <c r="C26" i="8"/>
  <c r="E25" i="7"/>
  <c r="F25" i="7" s="1"/>
  <c r="E35" i="7"/>
  <c r="E24" i="7"/>
  <c r="F24" i="7" s="1"/>
  <c r="F34" i="5" l="1"/>
  <c r="J34" i="5" s="1"/>
  <c r="B22" i="1"/>
  <c r="C36" i="9" s="1"/>
  <c r="C35" i="5"/>
  <c r="C35" i="2"/>
  <c r="E35" i="5"/>
  <c r="E35" i="2"/>
  <c r="F35" i="2" s="1"/>
  <c r="J35" i="2" s="1"/>
  <c r="C35" i="6"/>
  <c r="E35" i="6"/>
  <c r="F35" i="6" s="1"/>
  <c r="J35" i="6" s="1"/>
  <c r="C35" i="7"/>
  <c r="F35" i="7" s="1"/>
  <c r="F33" i="8"/>
  <c r="L8" i="1"/>
  <c r="C32" i="11"/>
  <c r="E27" i="7"/>
  <c r="F27" i="7" s="1"/>
  <c r="E32" i="8"/>
  <c r="F32" i="8" s="1"/>
  <c r="E23" i="7"/>
  <c r="F23" i="7" s="1"/>
  <c r="C24" i="9"/>
  <c r="C27" i="9"/>
  <c r="E36" i="8"/>
  <c r="I7" i="3"/>
  <c r="E33" i="7"/>
  <c r="F33" i="7" s="1"/>
  <c r="E34" i="8"/>
  <c r="F34" i="8" s="1"/>
  <c r="E23" i="8"/>
  <c r="F23" i="8" s="1"/>
  <c r="E25" i="8"/>
  <c r="F25" i="8" s="1"/>
  <c r="E29" i="8"/>
  <c r="F29" i="8" s="1"/>
  <c r="C31" i="11"/>
  <c r="C28" i="9"/>
  <c r="C34" i="11"/>
  <c r="C25" i="9"/>
  <c r="E31" i="8"/>
  <c r="F31" i="8" s="1"/>
  <c r="C30" i="11"/>
  <c r="E34" i="7"/>
  <c r="F34" i="7" s="1"/>
  <c r="E27" i="8"/>
  <c r="F27" i="8" s="1"/>
  <c r="C36" i="11"/>
  <c r="E28" i="7"/>
  <c r="F28" i="7" s="1"/>
  <c r="E28" i="8"/>
  <c r="F28" i="8" s="1"/>
  <c r="C33" i="11"/>
  <c r="C23" i="11"/>
  <c r="C26" i="9"/>
  <c r="E29" i="7"/>
  <c r="F29" i="7" s="1"/>
  <c r="E35" i="8"/>
  <c r="F35" i="8" s="1"/>
  <c r="C28" i="11"/>
  <c r="C31" i="9"/>
  <c r="E36" i="7"/>
  <c r="C30" i="9"/>
  <c r="C26" i="11"/>
  <c r="C34" i="9"/>
  <c r="C32" i="9"/>
  <c r="E31" i="7"/>
  <c r="F31" i="7" s="1"/>
  <c r="F34" i="2"/>
  <c r="J34" i="2" s="1"/>
  <c r="J5" i="1"/>
  <c r="A30" i="8"/>
  <c r="A30" i="5"/>
  <c r="A30" i="7"/>
  <c r="A30" i="2"/>
  <c r="A30" i="9"/>
  <c r="A30" i="11"/>
  <c r="A30" i="10"/>
  <c r="A30" i="6"/>
  <c r="A17" i="1"/>
  <c r="F26" i="8"/>
  <c r="F34" i="6"/>
  <c r="J34" i="6" s="1"/>
  <c r="J29" i="8" l="1"/>
  <c r="H25" i="7"/>
  <c r="J25" i="7" s="1"/>
  <c r="H40" i="7"/>
  <c r="H62" i="8"/>
  <c r="H36" i="8"/>
  <c r="H28" i="8"/>
  <c r="H31" i="7"/>
  <c r="H38" i="7"/>
  <c r="H21" i="7"/>
  <c r="H23" i="7"/>
  <c r="H59" i="7"/>
  <c r="H68" i="7"/>
  <c r="H44" i="7"/>
  <c r="H58" i="7"/>
  <c r="H26" i="8"/>
  <c r="H51" i="7"/>
  <c r="H39" i="8"/>
  <c r="H33" i="8"/>
  <c r="J33" i="8" s="1"/>
  <c r="H47" i="8"/>
  <c r="H33" i="7"/>
  <c r="H68" i="8"/>
  <c r="H39" i="7"/>
  <c r="H36" i="7"/>
  <c r="H57" i="7"/>
  <c r="H30" i="8"/>
  <c r="J30" i="8" s="1"/>
  <c r="H45" i="8"/>
  <c r="H34" i="7"/>
  <c r="H41" i="7"/>
  <c r="H50" i="8"/>
  <c r="H21" i="8"/>
  <c r="H55" i="7"/>
  <c r="H71" i="7"/>
  <c r="H67" i="7"/>
  <c r="H41" i="8"/>
  <c r="H46" i="8"/>
  <c r="H42" i="7"/>
  <c r="H42" i="8"/>
  <c r="H29" i="8"/>
  <c r="H67" i="8"/>
  <c r="H48" i="7"/>
  <c r="H32" i="8"/>
  <c r="H55" i="8"/>
  <c r="H63" i="7"/>
  <c r="H49" i="8"/>
  <c r="H65" i="7"/>
  <c r="H48" i="8"/>
  <c r="H72" i="7"/>
  <c r="H72" i="8"/>
  <c r="H24" i="7"/>
  <c r="J24" i="7" s="1"/>
  <c r="H26" i="7"/>
  <c r="J26" i="7" s="1"/>
  <c r="H23" i="8"/>
  <c r="H58" i="8"/>
  <c r="H66" i="7"/>
  <c r="H71" i="8"/>
  <c r="H66" i="8"/>
  <c r="H57" i="8"/>
  <c r="H37" i="8"/>
  <c r="H46" i="7"/>
  <c r="H53" i="8"/>
  <c r="H64" i="7"/>
  <c r="H25" i="8"/>
  <c r="J25" i="8" s="1"/>
  <c r="H43" i="8"/>
  <c r="H37" i="7"/>
  <c r="H56" i="7"/>
  <c r="H49" i="7"/>
  <c r="H64" i="8"/>
  <c r="H52" i="8"/>
  <c r="H70" i="7"/>
  <c r="H69" i="8"/>
  <c r="H24" i="8"/>
  <c r="J24" i="8" s="1"/>
  <c r="H44" i="8"/>
  <c r="H32" i="7"/>
  <c r="J32" i="7" s="1"/>
  <c r="H29" i="7"/>
  <c r="H30" i="7"/>
  <c r="J30" i="7" s="1"/>
  <c r="H54" i="8"/>
  <c r="H69" i="7"/>
  <c r="H27" i="8"/>
  <c r="J27" i="8" s="1"/>
  <c r="H53" i="7"/>
  <c r="H45" i="7"/>
  <c r="H43" i="7"/>
  <c r="H50" i="7"/>
  <c r="H38" i="8"/>
  <c r="H34" i="8"/>
  <c r="H65" i="8"/>
  <c r="H59" i="8"/>
  <c r="H61" i="7"/>
  <c r="H62" i="7"/>
  <c r="H27" i="7"/>
  <c r="J27" i="7" s="1"/>
  <c r="H35" i="7"/>
  <c r="J35" i="7" s="1"/>
  <c r="H63" i="8"/>
  <c r="H47" i="7"/>
  <c r="H60" i="7"/>
  <c r="H61" i="8"/>
  <c r="H56" i="8"/>
  <c r="H70" i="8"/>
  <c r="H60" i="8"/>
  <c r="H28" i="7"/>
  <c r="H35" i="8"/>
  <c r="J35" i="8" s="1"/>
  <c r="H51" i="8"/>
  <c r="H54" i="7"/>
  <c r="H40" i="8"/>
  <c r="H31" i="8"/>
  <c r="J31" i="8" s="1"/>
  <c r="H52" i="7"/>
  <c r="J34" i="7"/>
  <c r="J23" i="7"/>
  <c r="C25" i="11"/>
  <c r="F35" i="5"/>
  <c r="J35" i="5" s="1"/>
  <c r="J32" i="8"/>
  <c r="J29" i="7"/>
  <c r="M8" i="1"/>
  <c r="C23" i="9"/>
  <c r="E34" i="9"/>
  <c r="F34" i="9" s="1"/>
  <c r="C27" i="11"/>
  <c r="E32" i="9"/>
  <c r="F32" i="9" s="1"/>
  <c r="C30" i="10"/>
  <c r="C24" i="11"/>
  <c r="C35" i="9"/>
  <c r="C37" i="9"/>
  <c r="C27" i="10"/>
  <c r="C35" i="11"/>
  <c r="C28" i="10"/>
  <c r="C29" i="9"/>
  <c r="C33" i="9"/>
  <c r="A31" i="8"/>
  <c r="A31" i="7"/>
  <c r="A31" i="9"/>
  <c r="A31" i="2"/>
  <c r="A31" i="11"/>
  <c r="A31" i="6"/>
  <c r="A31" i="10"/>
  <c r="A31" i="5"/>
  <c r="A18" i="1"/>
  <c r="J23" i="8"/>
  <c r="K5" i="1"/>
  <c r="F21" i="7"/>
  <c r="J28" i="8"/>
  <c r="J33" i="7"/>
  <c r="J34" i="8"/>
  <c r="J31" i="7"/>
  <c r="J26" i="8"/>
  <c r="J28" i="7"/>
  <c r="B23" i="1"/>
  <c r="C37" i="11" s="1"/>
  <c r="E36" i="5"/>
  <c r="F36" i="5" s="1"/>
  <c r="J36" i="5" s="1"/>
  <c r="C36" i="5"/>
  <c r="C36" i="2"/>
  <c r="C36" i="6"/>
  <c r="E36" i="6"/>
  <c r="F36" i="6" s="1"/>
  <c r="J36" i="6" s="1"/>
  <c r="E36" i="2"/>
  <c r="C36" i="7"/>
  <c r="F36" i="7" s="1"/>
  <c r="J36" i="7" s="1"/>
  <c r="C36" i="8"/>
  <c r="F36" i="8" s="1"/>
  <c r="J36" i="8" s="1"/>
  <c r="E27" i="10" l="1"/>
  <c r="F27" i="10" s="1"/>
  <c r="E29" i="9"/>
  <c r="F29" i="9" s="1"/>
  <c r="F36" i="2"/>
  <c r="J36" i="2" s="1"/>
  <c r="E29" i="11"/>
  <c r="E37" i="9"/>
  <c r="F37" i="9" s="1"/>
  <c r="C29" i="10"/>
  <c r="L7" i="3"/>
  <c r="E24" i="9"/>
  <c r="F24" i="9" s="1"/>
  <c r="E25" i="9"/>
  <c r="F25" i="9" s="1"/>
  <c r="E28" i="10"/>
  <c r="F28" i="10" s="1"/>
  <c r="E36" i="9"/>
  <c r="F36" i="9" s="1"/>
  <c r="E26" i="9"/>
  <c r="F26" i="9" s="1"/>
  <c r="A32" i="8"/>
  <c r="A32" i="7"/>
  <c r="A32" i="5"/>
  <c r="A32" i="11"/>
  <c r="A32" i="2"/>
  <c r="A32" i="9"/>
  <c r="A32" i="10"/>
  <c r="A19" i="1"/>
  <c r="A32" i="6"/>
  <c r="M7" i="3"/>
  <c r="N8" i="1"/>
  <c r="C26" i="10"/>
  <c r="E30" i="10"/>
  <c r="F30" i="10" s="1"/>
  <c r="E33" i="9"/>
  <c r="F33" i="9" s="1"/>
  <c r="C25" i="10"/>
  <c r="E33" i="10"/>
  <c r="F33" i="10" s="1"/>
  <c r="E26" i="11"/>
  <c r="F26" i="11" s="1"/>
  <c r="E32" i="10"/>
  <c r="E30" i="11"/>
  <c r="F30" i="11" s="1"/>
  <c r="C23" i="10"/>
  <c r="E27" i="9"/>
  <c r="F27" i="9" s="1"/>
  <c r="C35" i="10"/>
  <c r="E27" i="11"/>
  <c r="F27" i="11" s="1"/>
  <c r="E32" i="11"/>
  <c r="F32" i="11" s="1"/>
  <c r="C34" i="10"/>
  <c r="E37" i="10"/>
  <c r="E31" i="11"/>
  <c r="F31" i="11" s="1"/>
  <c r="E37" i="11"/>
  <c r="F37" i="11" s="1"/>
  <c r="C31" i="10"/>
  <c r="E35" i="9"/>
  <c r="F35" i="9" s="1"/>
  <c r="E30" i="9"/>
  <c r="F30" i="9" s="1"/>
  <c r="C37" i="10"/>
  <c r="E25" i="10"/>
  <c r="F25" i="10" s="1"/>
  <c r="E23" i="10"/>
  <c r="F23" i="10" s="1"/>
  <c r="E35" i="11"/>
  <c r="F35" i="11" s="1"/>
  <c r="B24" i="1"/>
  <c r="E38" i="11" s="1"/>
  <c r="C37" i="5"/>
  <c r="C37" i="6"/>
  <c r="E37" i="5"/>
  <c r="E37" i="6"/>
  <c r="F37" i="6" s="1"/>
  <c r="J37" i="6" s="1"/>
  <c r="C37" i="2"/>
  <c r="E37" i="2"/>
  <c r="F37" i="2" s="1"/>
  <c r="J37" i="2" s="1"/>
  <c r="C37" i="7"/>
  <c r="C37" i="8"/>
  <c r="E37" i="7"/>
  <c r="E37" i="8"/>
  <c r="E23" i="9"/>
  <c r="F23" i="9" s="1"/>
  <c r="E31" i="9"/>
  <c r="F31" i="9" s="1"/>
  <c r="L5" i="1"/>
  <c r="M5" i="1" s="1"/>
  <c r="N5" i="1" s="1"/>
  <c r="F21" i="11"/>
  <c r="E35" i="10"/>
  <c r="F35" i="10" s="1"/>
  <c r="E25" i="11"/>
  <c r="F25" i="11" s="1"/>
  <c r="E34" i="11"/>
  <c r="F34" i="11" s="1"/>
  <c r="C36" i="10"/>
  <c r="C32" i="10"/>
  <c r="C33" i="10"/>
  <c r="H37" i="9" l="1"/>
  <c r="H47" i="10"/>
  <c r="H66" i="11"/>
  <c r="H40" i="10"/>
  <c r="H63" i="11"/>
  <c r="H34" i="10"/>
  <c r="H29" i="10"/>
  <c r="H66" i="9"/>
  <c r="H51" i="9"/>
  <c r="H65" i="11"/>
  <c r="H50" i="11"/>
  <c r="H70" i="10"/>
  <c r="H32" i="10"/>
  <c r="H57" i="9"/>
  <c r="H63" i="9"/>
  <c r="H53" i="10"/>
  <c r="H70" i="11"/>
  <c r="H45" i="10"/>
  <c r="H47" i="9"/>
  <c r="H48" i="10"/>
  <c r="H54" i="10"/>
  <c r="H62" i="11"/>
  <c r="H71" i="10"/>
  <c r="H39" i="10"/>
  <c r="H35" i="10"/>
  <c r="H63" i="10"/>
  <c r="H36" i="10"/>
  <c r="H42" i="10"/>
  <c r="H67" i="9"/>
  <c r="H28" i="10"/>
  <c r="H62" i="10"/>
  <c r="H69" i="10"/>
  <c r="H68" i="10"/>
  <c r="H37" i="10"/>
  <c r="H42" i="11"/>
  <c r="H35" i="11"/>
  <c r="J35" i="11" s="1"/>
  <c r="H24" i="9"/>
  <c r="H43" i="10"/>
  <c r="H25" i="10"/>
  <c r="J25" i="10" s="1"/>
  <c r="H33" i="9"/>
  <c r="J33" i="9" s="1"/>
  <c r="H28" i="11"/>
  <c r="H42" i="9"/>
  <c r="H64" i="10"/>
  <c r="H34" i="9"/>
  <c r="J34" i="9" s="1"/>
  <c r="H24" i="10"/>
  <c r="H59" i="9"/>
  <c r="H29" i="11"/>
  <c r="H33" i="10"/>
  <c r="J33" i="10" s="1"/>
  <c r="H48" i="9"/>
  <c r="H70" i="9"/>
  <c r="H31" i="10"/>
  <c r="H29" i="9"/>
  <c r="J29" i="9" s="1"/>
  <c r="H61" i="11"/>
  <c r="H51" i="10"/>
  <c r="H43" i="9"/>
  <c r="H46" i="10"/>
  <c r="H55" i="9"/>
  <c r="H60" i="9"/>
  <c r="H66" i="10"/>
  <c r="H40" i="9"/>
  <c r="H48" i="11"/>
  <c r="H56" i="9"/>
  <c r="H53" i="9"/>
  <c r="H61" i="10"/>
  <c r="H38" i="9"/>
  <c r="H61" i="9"/>
  <c r="H49" i="9"/>
  <c r="H64" i="9"/>
  <c r="H41" i="9"/>
  <c r="H71" i="9"/>
  <c r="H26" i="9"/>
  <c r="J26" i="9" s="1"/>
  <c r="H50" i="9"/>
  <c r="H65" i="9"/>
  <c r="H62" i="9"/>
  <c r="H46" i="9"/>
  <c r="H23" i="9"/>
  <c r="J23" i="9" s="1"/>
  <c r="H30" i="9"/>
  <c r="J30" i="9" s="1"/>
  <c r="H30" i="10"/>
  <c r="H69" i="9"/>
  <c r="H45" i="9"/>
  <c r="H41" i="11"/>
  <c r="H27" i="10"/>
  <c r="H52" i="10"/>
  <c r="H44" i="9"/>
  <c r="H56" i="10"/>
  <c r="H46" i="11"/>
  <c r="H38" i="11"/>
  <c r="H50" i="10"/>
  <c r="H27" i="9"/>
  <c r="H28" i="9"/>
  <c r="H54" i="9"/>
  <c r="H68" i="9"/>
  <c r="H21" i="9"/>
  <c r="H67" i="10"/>
  <c r="H33" i="11"/>
  <c r="H58" i="9"/>
  <c r="H26" i="10"/>
  <c r="H41" i="10"/>
  <c r="H27" i="11"/>
  <c r="J27" i="11" s="1"/>
  <c r="H52" i="9"/>
  <c r="H38" i="10"/>
  <c r="H58" i="10"/>
  <c r="H57" i="10"/>
  <c r="H35" i="9"/>
  <c r="H71" i="11"/>
  <c r="H53" i="11"/>
  <c r="H31" i="9"/>
  <c r="H23" i="10"/>
  <c r="H60" i="10"/>
  <c r="H36" i="9"/>
  <c r="J36" i="9" s="1"/>
  <c r="H44" i="10"/>
  <c r="H21" i="10"/>
  <c r="H39" i="9"/>
  <c r="H59" i="10"/>
  <c r="H25" i="9"/>
  <c r="H72" i="9"/>
  <c r="H55" i="10"/>
  <c r="H47" i="11"/>
  <c r="H65" i="10"/>
  <c r="H72" i="10"/>
  <c r="H32" i="9"/>
  <c r="J32" i="9" s="1"/>
  <c r="H49" i="10"/>
  <c r="E38" i="10"/>
  <c r="F21" i="9"/>
  <c r="F21" i="8"/>
  <c r="F21" i="10"/>
  <c r="F37" i="10"/>
  <c r="J27" i="9"/>
  <c r="F32" i="10"/>
  <c r="J32" i="10" s="1"/>
  <c r="J31" i="9"/>
  <c r="E39" i="11"/>
  <c r="C29" i="11"/>
  <c r="F29" i="11" s="1"/>
  <c r="J29" i="11" s="1"/>
  <c r="E24" i="11"/>
  <c r="F24" i="11" s="1"/>
  <c r="E29" i="10"/>
  <c r="F29" i="10" s="1"/>
  <c r="J29" i="10" s="1"/>
  <c r="E38" i="9"/>
  <c r="F38" i="9" s="1"/>
  <c r="J38" i="9" s="1"/>
  <c r="E36" i="11"/>
  <c r="F36" i="11" s="1"/>
  <c r="E28" i="9"/>
  <c r="F28" i="9" s="1"/>
  <c r="J28" i="9" s="1"/>
  <c r="E33" i="11"/>
  <c r="F33" i="11" s="1"/>
  <c r="E36" i="10"/>
  <c r="F36" i="10" s="1"/>
  <c r="J36" i="10" s="1"/>
  <c r="C38" i="10"/>
  <c r="E28" i="11"/>
  <c r="F28" i="11" s="1"/>
  <c r="C24" i="10"/>
  <c r="E24" i="10"/>
  <c r="N7" i="3"/>
  <c r="H32" i="11" s="1"/>
  <c r="J32" i="11" s="1"/>
  <c r="E23" i="11"/>
  <c r="F23" i="11" s="1"/>
  <c r="E34" i="10"/>
  <c r="F34" i="10" s="1"/>
  <c r="J34" i="10" s="1"/>
  <c r="E31" i="10"/>
  <c r="F31" i="10" s="1"/>
  <c r="J31" i="10" s="1"/>
  <c r="E26" i="10"/>
  <c r="F26" i="10" s="1"/>
  <c r="J26" i="10" s="1"/>
  <c r="J35" i="10"/>
  <c r="B25" i="1"/>
  <c r="E38" i="5"/>
  <c r="C38" i="5"/>
  <c r="C38" i="6"/>
  <c r="C38" i="2"/>
  <c r="E38" i="6"/>
  <c r="F38" i="6" s="1"/>
  <c r="J38" i="6" s="1"/>
  <c r="E38" i="2"/>
  <c r="C38" i="7"/>
  <c r="C38" i="8"/>
  <c r="E38" i="7"/>
  <c r="E38" i="8"/>
  <c r="F38" i="8" s="1"/>
  <c r="J38" i="8" s="1"/>
  <c r="C38" i="9"/>
  <c r="C38" i="11"/>
  <c r="F38" i="11" s="1"/>
  <c r="J38" i="11" s="1"/>
  <c r="J35" i="9"/>
  <c r="J24" i="9"/>
  <c r="F37" i="5"/>
  <c r="J37" i="5" s="1"/>
  <c r="J28" i="10"/>
  <c r="J37" i="9"/>
  <c r="J23" i="10"/>
  <c r="F37" i="8"/>
  <c r="J37" i="8" s="1"/>
  <c r="F37" i="7"/>
  <c r="J37" i="7" s="1"/>
  <c r="J30" i="10"/>
  <c r="A33" i="5"/>
  <c r="A33" i="7"/>
  <c r="A33" i="2"/>
  <c r="A33" i="8"/>
  <c r="A33" i="11"/>
  <c r="A33" i="10"/>
  <c r="A20" i="1"/>
  <c r="A33" i="6"/>
  <c r="A33" i="9"/>
  <c r="J25" i="9"/>
  <c r="J27" i="10"/>
  <c r="F38" i="10" l="1"/>
  <c r="J38" i="10" s="1"/>
  <c r="J33" i="11"/>
  <c r="F38" i="2"/>
  <c r="J38" i="2" s="1"/>
  <c r="F39" i="11"/>
  <c r="J39" i="11" s="1"/>
  <c r="J37" i="10"/>
  <c r="H60" i="11"/>
  <c r="H69" i="11"/>
  <c r="H30" i="11"/>
  <c r="J30" i="11" s="1"/>
  <c r="H39" i="11"/>
  <c r="H64" i="11"/>
  <c r="F38" i="5"/>
  <c r="J38" i="5" s="1"/>
  <c r="J36" i="11"/>
  <c r="H72" i="11"/>
  <c r="H34" i="11"/>
  <c r="J34" i="11" s="1"/>
  <c r="H68" i="11"/>
  <c r="H24" i="11"/>
  <c r="H56" i="11"/>
  <c r="H45" i="11"/>
  <c r="H57" i="11"/>
  <c r="H51" i="11"/>
  <c r="A34" i="9"/>
  <c r="A34" i="8"/>
  <c r="A34" i="5"/>
  <c r="A34" i="2"/>
  <c r="A34" i="7"/>
  <c r="A34" i="6"/>
  <c r="A34" i="11"/>
  <c r="A21" i="1"/>
  <c r="A34" i="10"/>
  <c r="F38" i="7"/>
  <c r="J38" i="7" s="1"/>
  <c r="F24" i="10"/>
  <c r="J24" i="10" s="1"/>
  <c r="J24" i="11"/>
  <c r="B26" i="1"/>
  <c r="C39" i="5"/>
  <c r="E39" i="5"/>
  <c r="C39" i="2"/>
  <c r="C39" i="6"/>
  <c r="E39" i="6"/>
  <c r="F39" i="6" s="1"/>
  <c r="J39" i="6" s="1"/>
  <c r="E39" i="2"/>
  <c r="C39" i="7"/>
  <c r="C39" i="8"/>
  <c r="E39" i="8"/>
  <c r="F39" i="8" s="1"/>
  <c r="J39" i="8" s="1"/>
  <c r="E39" i="7"/>
  <c r="C39" i="10"/>
  <c r="C39" i="11"/>
  <c r="C39" i="9"/>
  <c r="E39" i="9"/>
  <c r="F39" i="9" s="1"/>
  <c r="J39" i="9" s="1"/>
  <c r="E39" i="10"/>
  <c r="H55" i="11"/>
  <c r="H31" i="11"/>
  <c r="J31" i="11" s="1"/>
  <c r="H44" i="11"/>
  <c r="H37" i="11"/>
  <c r="J37" i="11" s="1"/>
  <c r="H49" i="11"/>
  <c r="H21" i="11"/>
  <c r="H23" i="11"/>
  <c r="H36" i="11"/>
  <c r="J23" i="11"/>
  <c r="J28" i="11"/>
  <c r="H43" i="11"/>
  <c r="H58" i="11"/>
  <c r="H52" i="11"/>
  <c r="H67" i="11"/>
  <c r="H26" i="11"/>
  <c r="J26" i="11" s="1"/>
  <c r="H59" i="11"/>
  <c r="H40" i="11"/>
  <c r="H54" i="11"/>
  <c r="H25" i="11"/>
  <c r="J25" i="11" s="1"/>
  <c r="F39" i="10" l="1"/>
  <c r="J39" i="10" s="1"/>
  <c r="F39" i="2"/>
  <c r="J39" i="2" s="1"/>
  <c r="F39" i="7"/>
  <c r="J39" i="7" s="1"/>
  <c r="F39" i="5"/>
  <c r="J39" i="5" s="1"/>
  <c r="A35" i="8"/>
  <c r="A35" i="7"/>
  <c r="A35" i="5"/>
  <c r="A35" i="2"/>
  <c r="A35" i="11"/>
  <c r="A35" i="9"/>
  <c r="A22" i="1"/>
  <c r="A35" i="10"/>
  <c r="A35" i="6"/>
  <c r="B27" i="1"/>
  <c r="C40" i="5"/>
  <c r="E40" i="5"/>
  <c r="F40" i="5" s="1"/>
  <c r="J40" i="5" s="1"/>
  <c r="C40" i="6"/>
  <c r="C40" i="2"/>
  <c r="E40" i="2"/>
  <c r="F40" i="2" s="1"/>
  <c r="J40" i="2" s="1"/>
  <c r="E40" i="6"/>
  <c r="F40" i="6" s="1"/>
  <c r="J40" i="6" s="1"/>
  <c r="C40" i="7"/>
  <c r="C40" i="8"/>
  <c r="C40" i="9"/>
  <c r="C40" i="11"/>
  <c r="E40" i="8"/>
  <c r="F40" i="8" s="1"/>
  <c r="J40" i="8" s="1"/>
  <c r="E40" i="7"/>
  <c r="F40" i="7" s="1"/>
  <c r="J40" i="7" s="1"/>
  <c r="E40" i="9"/>
  <c r="F40" i="9" s="1"/>
  <c r="J40" i="9" s="1"/>
  <c r="C40" i="10"/>
  <c r="E40" i="11"/>
  <c r="E40" i="10"/>
  <c r="A36" i="8" l="1"/>
  <c r="A36" i="7"/>
  <c r="A36" i="5"/>
  <c r="A36" i="2"/>
  <c r="A36" i="11"/>
  <c r="A36" i="10"/>
  <c r="A36" i="6"/>
  <c r="A36" i="9"/>
  <c r="A23" i="1"/>
  <c r="F40" i="10"/>
  <c r="J40" i="10" s="1"/>
  <c r="B28" i="1"/>
  <c r="C41" i="5"/>
  <c r="E41" i="5"/>
  <c r="C41" i="2"/>
  <c r="C41" i="6"/>
  <c r="E41" i="6"/>
  <c r="F41" i="6" s="1"/>
  <c r="J41" i="6" s="1"/>
  <c r="E41" i="2"/>
  <c r="F41" i="2" s="1"/>
  <c r="J41" i="2" s="1"/>
  <c r="C41" i="7"/>
  <c r="E41" i="8"/>
  <c r="C41" i="8"/>
  <c r="E41" i="7"/>
  <c r="C41" i="9"/>
  <c r="C41" i="11"/>
  <c r="E41" i="10"/>
  <c r="C41" i="10"/>
  <c r="E41" i="11"/>
  <c r="F41" i="11" s="1"/>
  <c r="J41" i="11" s="1"/>
  <c r="E41" i="9"/>
  <c r="F41" i="9" s="1"/>
  <c r="J41" i="9" s="1"/>
  <c r="F40" i="11"/>
  <c r="J40" i="11" s="1"/>
  <c r="F41" i="8" l="1"/>
  <c r="J41" i="8" s="1"/>
  <c r="B29" i="1"/>
  <c r="C42" i="5"/>
  <c r="E42" i="5"/>
  <c r="C42" i="2"/>
  <c r="E42" i="6"/>
  <c r="C42" i="6"/>
  <c r="C42" i="7"/>
  <c r="E42" i="2"/>
  <c r="F42" i="2" s="1"/>
  <c r="J42" i="2" s="1"/>
  <c r="C42" i="8"/>
  <c r="E42" i="8"/>
  <c r="F42" i="8" s="1"/>
  <c r="J42" i="8" s="1"/>
  <c r="C42" i="11"/>
  <c r="C42" i="9"/>
  <c r="E42" i="7"/>
  <c r="E42" i="10"/>
  <c r="C42" i="10"/>
  <c r="E42" i="11"/>
  <c r="E42" i="9"/>
  <c r="F42" i="9" s="1"/>
  <c r="J42" i="9" s="1"/>
  <c r="A37" i="8"/>
  <c r="A37" i="5"/>
  <c r="A37" i="7"/>
  <c r="A37" i="9"/>
  <c r="A24" i="1"/>
  <c r="A37" i="6"/>
  <c r="A37" i="2"/>
  <c r="A37" i="11"/>
  <c r="A37" i="10"/>
  <c r="F41" i="10"/>
  <c r="J41" i="10" s="1"/>
  <c r="F41" i="7"/>
  <c r="J41" i="7" s="1"/>
  <c r="F41" i="5"/>
  <c r="J41" i="5" s="1"/>
  <c r="F42" i="5" l="1"/>
  <c r="J42" i="5" s="1"/>
  <c r="B30" i="1"/>
  <c r="C43" i="5"/>
  <c r="E43" i="5"/>
  <c r="F43" i="5" s="1"/>
  <c r="J43" i="5" s="1"/>
  <c r="E43" i="2"/>
  <c r="C43" i="2"/>
  <c r="C43" i="6"/>
  <c r="E43" i="6"/>
  <c r="F43" i="6" s="1"/>
  <c r="J43" i="6" s="1"/>
  <c r="C43" i="8"/>
  <c r="C43" i="7"/>
  <c r="E43" i="8"/>
  <c r="F43" i="8" s="1"/>
  <c r="J43" i="8" s="1"/>
  <c r="E43" i="7"/>
  <c r="F43" i="7" s="1"/>
  <c r="J43" i="7" s="1"/>
  <c r="C43" i="11"/>
  <c r="C43" i="9"/>
  <c r="E43" i="10"/>
  <c r="C43" i="10"/>
  <c r="E43" i="9"/>
  <c r="F43" i="9" s="1"/>
  <c r="J43" i="9" s="1"/>
  <c r="E43" i="11"/>
  <c r="F43" i="11" s="1"/>
  <c r="J43" i="11" s="1"/>
  <c r="F42" i="11"/>
  <c r="J42" i="11" s="1"/>
  <c r="A38" i="8"/>
  <c r="A38" i="5"/>
  <c r="A38" i="7"/>
  <c r="A38" i="9"/>
  <c r="A38" i="2"/>
  <c r="A38" i="6"/>
  <c r="A38" i="11"/>
  <c r="A38" i="10"/>
  <c r="A25" i="1"/>
  <c r="F42" i="10"/>
  <c r="J42" i="10" s="1"/>
  <c r="F42" i="7"/>
  <c r="J42" i="7" s="1"/>
  <c r="F42" i="6"/>
  <c r="J42" i="6" s="1"/>
  <c r="F43" i="10" l="1"/>
  <c r="J43" i="10" s="1"/>
  <c r="F43" i="2"/>
  <c r="J43" i="2" s="1"/>
  <c r="A39" i="8"/>
  <c r="A39" i="7"/>
  <c r="A39" i="5"/>
  <c r="A39" i="2"/>
  <c r="A39" i="11"/>
  <c r="A39" i="9"/>
  <c r="A39" i="10"/>
  <c r="A26" i="1"/>
  <c r="A39" i="6"/>
  <c r="B31" i="1"/>
  <c r="E44" i="5"/>
  <c r="C44" i="5"/>
  <c r="E44" i="6"/>
  <c r="C44" i="2"/>
  <c r="C44" i="6"/>
  <c r="E44" i="2"/>
  <c r="F44" i="2" s="1"/>
  <c r="J44" i="2" s="1"/>
  <c r="C44" i="7"/>
  <c r="C44" i="8"/>
  <c r="E44" i="8"/>
  <c r="C44" i="9"/>
  <c r="E44" i="7"/>
  <c r="C44" i="11"/>
  <c r="E44" i="11"/>
  <c r="F44" i="11" s="1"/>
  <c r="J44" i="11" s="1"/>
  <c r="C44" i="10"/>
  <c r="E44" i="10"/>
  <c r="F44" i="10" s="1"/>
  <c r="J44" i="10" s="1"/>
  <c r="E44" i="9"/>
  <c r="F44" i="9" s="1"/>
  <c r="J44" i="9" s="1"/>
  <c r="B32" i="1" l="1"/>
  <c r="C45" i="5"/>
  <c r="E45" i="5"/>
  <c r="F45" i="5" s="1"/>
  <c r="J45" i="5" s="1"/>
  <c r="C45" i="2"/>
  <c r="C45" i="6"/>
  <c r="E45" i="6"/>
  <c r="F45" i="6" s="1"/>
  <c r="J45" i="6" s="1"/>
  <c r="E45" i="2"/>
  <c r="C45" i="8"/>
  <c r="C45" i="7"/>
  <c r="E45" i="8"/>
  <c r="F45" i="8" s="1"/>
  <c r="J45" i="8" s="1"/>
  <c r="E45" i="7"/>
  <c r="F45" i="7" s="1"/>
  <c r="J45" i="7" s="1"/>
  <c r="C45" i="11"/>
  <c r="C45" i="9"/>
  <c r="E45" i="9"/>
  <c r="F45" i="9" s="1"/>
  <c r="J45" i="9" s="1"/>
  <c r="C45" i="10"/>
  <c r="E45" i="10"/>
  <c r="F45" i="10" s="1"/>
  <c r="J45" i="10" s="1"/>
  <c r="E45" i="11"/>
  <c r="A40" i="8"/>
  <c r="A40" i="7"/>
  <c r="A40" i="5"/>
  <c r="A40" i="11"/>
  <c r="A27" i="1"/>
  <c r="A40" i="2"/>
  <c r="A40" i="9"/>
  <c r="A40" i="10"/>
  <c r="A40" i="6"/>
  <c r="F44" i="7"/>
  <c r="J44" i="7" s="1"/>
  <c r="F44" i="6"/>
  <c r="J44" i="6" s="1"/>
  <c r="F44" i="8"/>
  <c r="J44" i="8" s="1"/>
  <c r="F44" i="5"/>
  <c r="J44" i="5" s="1"/>
  <c r="F45" i="2" l="1"/>
  <c r="J45" i="2" s="1"/>
  <c r="A41" i="8"/>
  <c r="A41" i="7"/>
  <c r="A41" i="5"/>
  <c r="A41" i="2"/>
  <c r="A41" i="6"/>
  <c r="A41" i="9"/>
  <c r="A41" i="11"/>
  <c r="A41" i="10"/>
  <c r="A28" i="1"/>
  <c r="F45" i="11"/>
  <c r="J45" i="11" s="1"/>
  <c r="B33" i="1"/>
  <c r="C46" i="5"/>
  <c r="E46" i="5"/>
  <c r="F46" i="5" s="1"/>
  <c r="J46" i="5" s="1"/>
  <c r="C46" i="2"/>
  <c r="C46" i="6"/>
  <c r="E46" i="6"/>
  <c r="F46" i="6" s="1"/>
  <c r="J46" i="6" s="1"/>
  <c r="E46" i="2"/>
  <c r="F46" i="2" s="1"/>
  <c r="J46" i="2" s="1"/>
  <c r="C46" i="7"/>
  <c r="C46" i="8"/>
  <c r="E46" i="8"/>
  <c r="E46" i="7"/>
  <c r="C46" i="11"/>
  <c r="C46" i="9"/>
  <c r="E46" i="9"/>
  <c r="F46" i="9" s="1"/>
  <c r="J46" i="9" s="1"/>
  <c r="E46" i="10"/>
  <c r="C46" i="10"/>
  <c r="E46" i="11"/>
  <c r="F46" i="11" s="1"/>
  <c r="J46" i="11" s="1"/>
  <c r="B34" i="1" l="1"/>
  <c r="E47" i="5"/>
  <c r="C47" i="6"/>
  <c r="C47" i="5"/>
  <c r="C47" i="2"/>
  <c r="E47" i="2"/>
  <c r="F47" i="2" s="1"/>
  <c r="J47" i="2" s="1"/>
  <c r="E47" i="6"/>
  <c r="C47" i="7"/>
  <c r="E47" i="8"/>
  <c r="C47" i="8"/>
  <c r="E47" i="7"/>
  <c r="F47" i="7" s="1"/>
  <c r="J47" i="7" s="1"/>
  <c r="C47" i="11"/>
  <c r="C47" i="9"/>
  <c r="E47" i="9"/>
  <c r="F47" i="9" s="1"/>
  <c r="J47" i="9" s="1"/>
  <c r="E47" i="11"/>
  <c r="C47" i="10"/>
  <c r="E47" i="10"/>
  <c r="F46" i="10"/>
  <c r="J46" i="10" s="1"/>
  <c r="A42" i="5"/>
  <c r="A42" i="8"/>
  <c r="A42" i="9"/>
  <c r="A42" i="7"/>
  <c r="A42" i="11"/>
  <c r="A42" i="2"/>
  <c r="A42" i="10"/>
  <c r="A42" i="6"/>
  <c r="A29" i="1"/>
  <c r="F46" i="7"/>
  <c r="J46" i="7" s="1"/>
  <c r="F46" i="8"/>
  <c r="J46" i="8" s="1"/>
  <c r="A43" i="8" l="1"/>
  <c r="A43" i="7"/>
  <c r="A43" i="5"/>
  <c r="A30" i="1"/>
  <c r="A43" i="9"/>
  <c r="A43" i="11"/>
  <c r="A43" i="10"/>
  <c r="A43" i="2"/>
  <c r="A43" i="6"/>
  <c r="F47" i="11"/>
  <c r="J47" i="11" s="1"/>
  <c r="F47" i="6"/>
  <c r="J47" i="6" s="1"/>
  <c r="F47" i="5"/>
  <c r="J47" i="5" s="1"/>
  <c r="F47" i="10"/>
  <c r="J47" i="10" s="1"/>
  <c r="F47" i="8"/>
  <c r="J47" i="8" s="1"/>
  <c r="B35" i="1"/>
  <c r="C48" i="5"/>
  <c r="E48" i="5"/>
  <c r="C48" i="2"/>
  <c r="E48" i="2"/>
  <c r="C48" i="6"/>
  <c r="E48" i="6"/>
  <c r="C48" i="8"/>
  <c r="C48" i="7"/>
  <c r="E48" i="8"/>
  <c r="F48" i="8" s="1"/>
  <c r="J48" i="8" s="1"/>
  <c r="E48" i="7"/>
  <c r="F48" i="7" s="1"/>
  <c r="J48" i="7" s="1"/>
  <c r="C48" i="9"/>
  <c r="C48" i="11"/>
  <c r="C48" i="10"/>
  <c r="E48" i="9"/>
  <c r="E48" i="10"/>
  <c r="E48" i="11"/>
  <c r="A44" i="8" l="1"/>
  <c r="A44" i="7"/>
  <c r="A44" i="2"/>
  <c r="A44" i="11"/>
  <c r="A44" i="5"/>
  <c r="A44" i="10"/>
  <c r="A44" i="6"/>
  <c r="A44" i="9"/>
  <c r="A31" i="1"/>
  <c r="F48" i="11"/>
  <c r="J48" i="11" s="1"/>
  <c r="B36" i="1"/>
  <c r="C49" i="5"/>
  <c r="E49" i="5"/>
  <c r="C49" i="2"/>
  <c r="C49" i="6"/>
  <c r="E49" i="6"/>
  <c r="F49" i="6" s="1"/>
  <c r="J49" i="6" s="1"/>
  <c r="E49" i="2"/>
  <c r="F49" i="2" s="1"/>
  <c r="J49" i="2" s="1"/>
  <c r="C49" i="8"/>
  <c r="C49" i="7"/>
  <c r="E49" i="8"/>
  <c r="F49" i="8" s="1"/>
  <c r="J49" i="8" s="1"/>
  <c r="E49" i="7"/>
  <c r="C49" i="9"/>
  <c r="C49" i="11"/>
  <c r="C49" i="10"/>
  <c r="E49" i="9"/>
  <c r="F49" i="9" s="1"/>
  <c r="J49" i="9" s="1"/>
  <c r="E49" i="10"/>
  <c r="F49" i="10" s="1"/>
  <c r="J49" i="10" s="1"/>
  <c r="E49" i="11"/>
  <c r="F49" i="11" s="1"/>
  <c r="J49" i="11" s="1"/>
  <c r="F48" i="10"/>
  <c r="J48" i="10" s="1"/>
  <c r="F48" i="9"/>
  <c r="J48" i="9" s="1"/>
  <c r="F48" i="6"/>
  <c r="J48" i="6" s="1"/>
  <c r="F48" i="2"/>
  <c r="J48" i="2" s="1"/>
  <c r="F48" i="5"/>
  <c r="J48" i="5" s="1"/>
  <c r="F49" i="7" l="1"/>
  <c r="J49" i="7" s="1"/>
  <c r="F49" i="5"/>
  <c r="J49" i="5" s="1"/>
  <c r="B37" i="1"/>
  <c r="C50" i="5"/>
  <c r="E50" i="5"/>
  <c r="C50" i="2"/>
  <c r="C50" i="6"/>
  <c r="E50" i="6"/>
  <c r="F50" i="6" s="1"/>
  <c r="J50" i="6" s="1"/>
  <c r="E50" i="2"/>
  <c r="F50" i="2" s="1"/>
  <c r="J50" i="2" s="1"/>
  <c r="C50" i="7"/>
  <c r="C50" i="8"/>
  <c r="E50" i="8"/>
  <c r="F50" i="8" s="1"/>
  <c r="J50" i="8" s="1"/>
  <c r="C50" i="9"/>
  <c r="C50" i="11"/>
  <c r="E50" i="7"/>
  <c r="E50" i="10"/>
  <c r="E50" i="9"/>
  <c r="F50" i="9" s="1"/>
  <c r="J50" i="9" s="1"/>
  <c r="C50" i="10"/>
  <c r="E50" i="11"/>
  <c r="F50" i="11" s="1"/>
  <c r="J50" i="11" s="1"/>
  <c r="A45" i="8"/>
  <c r="A45" i="11"/>
  <c r="A45" i="2"/>
  <c r="A45" i="9"/>
  <c r="A45" i="7"/>
  <c r="A45" i="5"/>
  <c r="A45" i="10"/>
  <c r="A45" i="6"/>
  <c r="A32" i="1"/>
  <c r="F50" i="10" l="1"/>
  <c r="J50" i="10" s="1"/>
  <c r="F50" i="7"/>
  <c r="J50" i="7" s="1"/>
  <c r="F50" i="5"/>
  <c r="J50" i="5" s="1"/>
  <c r="A46" i="5"/>
  <c r="A46" i="8"/>
  <c r="A46" i="7"/>
  <c r="A46" i="2"/>
  <c r="A46" i="11"/>
  <c r="A46" i="10"/>
  <c r="A33" i="1"/>
  <c r="A46" i="6"/>
  <c r="A46" i="9"/>
  <c r="B38" i="1"/>
  <c r="E51" i="5"/>
  <c r="C51" i="2"/>
  <c r="C51" i="5"/>
  <c r="C51" i="6"/>
  <c r="E51" i="6"/>
  <c r="F51" i="6" s="1"/>
  <c r="J51" i="6" s="1"/>
  <c r="E51" i="2"/>
  <c r="F51" i="2" s="1"/>
  <c r="J51" i="2" s="1"/>
  <c r="C51" i="8"/>
  <c r="C51" i="7"/>
  <c r="E51" i="8"/>
  <c r="E51" i="7"/>
  <c r="F51" i="7" s="1"/>
  <c r="J51" i="7" s="1"/>
  <c r="C51" i="9"/>
  <c r="C51" i="11"/>
  <c r="C51" i="10"/>
  <c r="E51" i="10"/>
  <c r="F51" i="10" s="1"/>
  <c r="J51" i="10" s="1"/>
  <c r="E51" i="9"/>
  <c r="F51" i="9" s="1"/>
  <c r="J51" i="9" s="1"/>
  <c r="E51" i="11"/>
  <c r="F51" i="8" l="1"/>
  <c r="J51" i="8" s="1"/>
  <c r="F51" i="5"/>
  <c r="J51" i="5" s="1"/>
  <c r="F51" i="11"/>
  <c r="J51" i="11" s="1"/>
  <c r="B39" i="1"/>
  <c r="C52" i="5"/>
  <c r="E52" i="5"/>
  <c r="F52" i="5" s="1"/>
  <c r="J52" i="5" s="1"/>
  <c r="C52" i="6"/>
  <c r="C52" i="2"/>
  <c r="E52" i="6"/>
  <c r="F52" i="6" s="1"/>
  <c r="J52" i="6" s="1"/>
  <c r="E52" i="2"/>
  <c r="C52" i="7"/>
  <c r="C52" i="8"/>
  <c r="E52" i="8"/>
  <c r="E52" i="7"/>
  <c r="C52" i="11"/>
  <c r="C52" i="9"/>
  <c r="E52" i="9"/>
  <c r="F52" i="9" s="1"/>
  <c r="J52" i="9" s="1"/>
  <c r="E52" i="11"/>
  <c r="F52" i="11" s="1"/>
  <c r="J52" i="11" s="1"/>
  <c r="C52" i="10"/>
  <c r="E52" i="10"/>
  <c r="F52" i="10" s="1"/>
  <c r="J52" i="10" s="1"/>
  <c r="A47" i="8"/>
  <c r="A47" i="7"/>
  <c r="A47" i="2"/>
  <c r="A47" i="9"/>
  <c r="A47" i="11"/>
  <c r="A34" i="1"/>
  <c r="A47" i="5"/>
  <c r="A47" i="10"/>
  <c r="A47" i="6"/>
  <c r="F52" i="7" l="1"/>
  <c r="J52" i="7" s="1"/>
  <c r="F52" i="8"/>
  <c r="J52" i="8" s="1"/>
  <c r="B40" i="1"/>
  <c r="E53" i="5"/>
  <c r="F53" i="5" s="1"/>
  <c r="J53" i="5" s="1"/>
  <c r="C53" i="5"/>
  <c r="C53" i="6"/>
  <c r="E53" i="6"/>
  <c r="F53" i="6" s="1"/>
  <c r="J53" i="6" s="1"/>
  <c r="C53" i="2"/>
  <c r="E53" i="2"/>
  <c r="F53" i="2" s="1"/>
  <c r="J53" i="2" s="1"/>
  <c r="C53" i="7"/>
  <c r="E53" i="8"/>
  <c r="C53" i="8"/>
  <c r="E53" i="7"/>
  <c r="C53" i="9"/>
  <c r="C53" i="11"/>
  <c r="E53" i="9"/>
  <c r="F53" i="9" s="1"/>
  <c r="J53" i="9" s="1"/>
  <c r="C53" i="10"/>
  <c r="E53" i="10"/>
  <c r="F53" i="10" s="1"/>
  <c r="J53" i="10" s="1"/>
  <c r="E53" i="11"/>
  <c r="F53" i="11" s="1"/>
  <c r="J53" i="11" s="1"/>
  <c r="A48" i="8"/>
  <c r="A48" i="7"/>
  <c r="A48" i="5"/>
  <c r="A48" i="11"/>
  <c r="A48" i="2"/>
  <c r="A48" i="9"/>
  <c r="A48" i="6"/>
  <c r="A35" i="1"/>
  <c r="A48" i="10"/>
  <c r="F52" i="2"/>
  <c r="J52" i="2" s="1"/>
  <c r="A49" i="7" l="1"/>
  <c r="A49" i="8"/>
  <c r="A49" i="5"/>
  <c r="A49" i="2"/>
  <c r="A49" i="9"/>
  <c r="A49" i="6"/>
  <c r="A49" i="11"/>
  <c r="A36" i="1"/>
  <c r="A49" i="10"/>
  <c r="B41" i="1"/>
  <c r="C54" i="5"/>
  <c r="E54" i="5"/>
  <c r="F54" i="5" s="1"/>
  <c r="J54" i="5" s="1"/>
  <c r="C54" i="6"/>
  <c r="C54" i="2"/>
  <c r="E54" i="2"/>
  <c r="F54" i="2" s="1"/>
  <c r="J54" i="2" s="1"/>
  <c r="E54" i="6"/>
  <c r="F54" i="6" s="1"/>
  <c r="J54" i="6" s="1"/>
  <c r="C54" i="7"/>
  <c r="C54" i="8"/>
  <c r="C54" i="9"/>
  <c r="E54" i="7"/>
  <c r="F54" i="7" s="1"/>
  <c r="J54" i="7" s="1"/>
  <c r="E54" i="8"/>
  <c r="C54" i="11"/>
  <c r="E54" i="11"/>
  <c r="F54" i="11" s="1"/>
  <c r="J54" i="11" s="1"/>
  <c r="E54" i="9"/>
  <c r="E54" i="10"/>
  <c r="C54" i="10"/>
  <c r="F53" i="7"/>
  <c r="J53" i="7" s="1"/>
  <c r="F53" i="8"/>
  <c r="J53" i="8" s="1"/>
  <c r="F54" i="9" l="1"/>
  <c r="J54" i="9" s="1"/>
  <c r="A50" i="5"/>
  <c r="A50" i="8"/>
  <c r="A50" i="2"/>
  <c r="A50" i="9"/>
  <c r="A50" i="11"/>
  <c r="A50" i="7"/>
  <c r="A37" i="1"/>
  <c r="A50" i="10"/>
  <c r="A50" i="6"/>
  <c r="F54" i="8"/>
  <c r="J54" i="8" s="1"/>
  <c r="B42" i="1"/>
  <c r="C55" i="5"/>
  <c r="E55" i="5"/>
  <c r="F55" i="5" s="1"/>
  <c r="J55" i="5" s="1"/>
  <c r="C55" i="2"/>
  <c r="C55" i="6"/>
  <c r="E55" i="2"/>
  <c r="F55" i="2" s="1"/>
  <c r="J55" i="2" s="1"/>
  <c r="E55" i="6"/>
  <c r="C55" i="8"/>
  <c r="C55" i="7"/>
  <c r="E55" i="7"/>
  <c r="C55" i="9"/>
  <c r="E55" i="8"/>
  <c r="C55" i="11"/>
  <c r="E55" i="10"/>
  <c r="E55" i="11"/>
  <c r="C55" i="10"/>
  <c r="E55" i="9"/>
  <c r="F55" i="9" s="1"/>
  <c r="J55" i="9" s="1"/>
  <c r="F54" i="10"/>
  <c r="J54" i="10" s="1"/>
  <c r="A51" i="8" l="1"/>
  <c r="A51" i="7"/>
  <c r="A51" i="2"/>
  <c r="A51" i="5"/>
  <c r="A51" i="11"/>
  <c r="A51" i="9"/>
  <c r="A38" i="1"/>
  <c r="A51" i="6"/>
  <c r="A51" i="10"/>
  <c r="F55" i="8"/>
  <c r="J55" i="8" s="1"/>
  <c r="F55" i="7"/>
  <c r="J55" i="7" s="1"/>
  <c r="B43" i="1"/>
  <c r="C56" i="5"/>
  <c r="E56" i="5"/>
  <c r="F56" i="5" s="1"/>
  <c r="J56" i="5" s="1"/>
  <c r="C56" i="6"/>
  <c r="C56" i="2"/>
  <c r="E56" i="6"/>
  <c r="F56" i="6" s="1"/>
  <c r="J56" i="6" s="1"/>
  <c r="E56" i="2"/>
  <c r="C56" i="8"/>
  <c r="C56" i="7"/>
  <c r="E56" i="7"/>
  <c r="E56" i="8"/>
  <c r="C56" i="9"/>
  <c r="C56" i="11"/>
  <c r="E56" i="9"/>
  <c r="F56" i="9" s="1"/>
  <c r="J56" i="9" s="1"/>
  <c r="C56" i="10"/>
  <c r="E56" i="11"/>
  <c r="E56" i="10"/>
  <c r="F56" i="10" s="1"/>
  <c r="J56" i="10" s="1"/>
  <c r="F55" i="11"/>
  <c r="J55" i="11" s="1"/>
  <c r="F55" i="6"/>
  <c r="J55" i="6" s="1"/>
  <c r="F55" i="10"/>
  <c r="J55" i="10" s="1"/>
  <c r="A52" i="8" l="1"/>
  <c r="A52" i="7"/>
  <c r="A52" i="2"/>
  <c r="A52" i="11"/>
  <c r="A52" i="9"/>
  <c r="A52" i="10"/>
  <c r="A52" i="6"/>
  <c r="A39" i="1"/>
  <c r="A52" i="5"/>
  <c r="F56" i="8"/>
  <c r="J56" i="8" s="1"/>
  <c r="F56" i="7"/>
  <c r="J56" i="7" s="1"/>
  <c r="F56" i="11"/>
  <c r="J56" i="11" s="1"/>
  <c r="B44" i="1"/>
  <c r="C57" i="5"/>
  <c r="E57" i="5"/>
  <c r="F57" i="5" s="1"/>
  <c r="J57" i="5" s="1"/>
  <c r="C57" i="2"/>
  <c r="C57" i="6"/>
  <c r="E57" i="6"/>
  <c r="F57" i="6" s="1"/>
  <c r="J57" i="6" s="1"/>
  <c r="E57" i="2"/>
  <c r="F57" i="2" s="1"/>
  <c r="J57" i="2" s="1"/>
  <c r="C57" i="7"/>
  <c r="C57" i="8"/>
  <c r="E57" i="7"/>
  <c r="E57" i="8"/>
  <c r="F57" i="8" s="1"/>
  <c r="J57" i="8" s="1"/>
  <c r="C57" i="9"/>
  <c r="C57" i="11"/>
  <c r="E57" i="11"/>
  <c r="F57" i="11" s="1"/>
  <c r="J57" i="11" s="1"/>
  <c r="C57" i="10"/>
  <c r="E57" i="9"/>
  <c r="F57" i="9" s="1"/>
  <c r="J57" i="9" s="1"/>
  <c r="E57" i="10"/>
  <c r="F56" i="2"/>
  <c r="J56" i="2" s="1"/>
  <c r="A53" i="8" l="1"/>
  <c r="A53" i="7"/>
  <c r="A53" i="5"/>
  <c r="A53" i="2"/>
  <c r="A53" i="9"/>
  <c r="A53" i="11"/>
  <c r="A53" i="6"/>
  <c r="A53" i="10"/>
  <c r="A40" i="1"/>
  <c r="F57" i="7"/>
  <c r="J57" i="7" s="1"/>
  <c r="F57" i="10"/>
  <c r="J57" i="10" s="1"/>
  <c r="B45" i="1"/>
  <c r="E58" i="5"/>
  <c r="C58" i="2"/>
  <c r="C58" i="5"/>
  <c r="E58" i="2"/>
  <c r="F58" i="2" s="1"/>
  <c r="J58" i="2" s="1"/>
  <c r="E58" i="6"/>
  <c r="F58" i="6" s="1"/>
  <c r="J58" i="6" s="1"/>
  <c r="C58" i="6"/>
  <c r="C58" i="7"/>
  <c r="C58" i="8"/>
  <c r="E58" i="7"/>
  <c r="C58" i="11"/>
  <c r="E58" i="8"/>
  <c r="C58" i="9"/>
  <c r="E58" i="10"/>
  <c r="E58" i="11"/>
  <c r="F58" i="11" s="1"/>
  <c r="J58" i="11" s="1"/>
  <c r="E58" i="9"/>
  <c r="F58" i="9" s="1"/>
  <c r="J58" i="9" s="1"/>
  <c r="C58" i="10"/>
  <c r="B46" i="1" l="1"/>
  <c r="E59" i="5"/>
  <c r="C59" i="5"/>
  <c r="C59" i="2"/>
  <c r="C59" i="6"/>
  <c r="E59" i="2"/>
  <c r="C59" i="7"/>
  <c r="E59" i="6"/>
  <c r="F59" i="6" s="1"/>
  <c r="J59" i="6" s="1"/>
  <c r="C59" i="8"/>
  <c r="E59" i="8"/>
  <c r="F59" i="8" s="1"/>
  <c r="J59" i="8" s="1"/>
  <c r="E59" i="7"/>
  <c r="F59" i="7" s="1"/>
  <c r="J59" i="7" s="1"/>
  <c r="C59" i="9"/>
  <c r="C59" i="11"/>
  <c r="E59" i="11"/>
  <c r="F59" i="11" s="1"/>
  <c r="J59" i="11" s="1"/>
  <c r="E59" i="10"/>
  <c r="E59" i="9"/>
  <c r="C59" i="10"/>
  <c r="F58" i="10"/>
  <c r="J58" i="10" s="1"/>
  <c r="F58" i="8"/>
  <c r="J58" i="8" s="1"/>
  <c r="F58" i="7"/>
  <c r="J58" i="7" s="1"/>
  <c r="F58" i="5"/>
  <c r="J58" i="5" s="1"/>
  <c r="A54" i="8"/>
  <c r="A54" i="5"/>
  <c r="A54" i="2"/>
  <c r="A54" i="7"/>
  <c r="A54" i="11"/>
  <c r="A54" i="9"/>
  <c r="A54" i="10"/>
  <c r="A41" i="1"/>
  <c r="A54" i="6"/>
  <c r="F59" i="5" l="1"/>
  <c r="J59" i="5" s="1"/>
  <c r="F59" i="9"/>
  <c r="J59" i="9" s="1"/>
  <c r="F59" i="10"/>
  <c r="J59" i="10" s="1"/>
  <c r="F59" i="2"/>
  <c r="J59" i="2" s="1"/>
  <c r="A55" i="8"/>
  <c r="A55" i="7"/>
  <c r="A55" i="5"/>
  <c r="A55" i="2"/>
  <c r="A55" i="11"/>
  <c r="A42" i="1"/>
  <c r="A55" i="9"/>
  <c r="A55" i="10"/>
  <c r="A55" i="6"/>
  <c r="B47" i="1"/>
  <c r="C60" i="5"/>
  <c r="E60" i="5"/>
  <c r="F60" i="5" s="1"/>
  <c r="J60" i="5" s="1"/>
  <c r="C60" i="2"/>
  <c r="C60" i="6"/>
  <c r="E60" i="6"/>
  <c r="E60" i="2"/>
  <c r="F60" i="2" s="1"/>
  <c r="J60" i="2" s="1"/>
  <c r="C60" i="7"/>
  <c r="C60" i="8"/>
  <c r="E60" i="8"/>
  <c r="F60" i="8" s="1"/>
  <c r="J60" i="8" s="1"/>
  <c r="E60" i="7"/>
  <c r="F60" i="7" s="1"/>
  <c r="J60" i="7" s="1"/>
  <c r="C60" i="9"/>
  <c r="C60" i="11"/>
  <c r="E60" i="11"/>
  <c r="F60" i="11" s="1"/>
  <c r="J60" i="11" s="1"/>
  <c r="E60" i="9"/>
  <c r="F60" i="9" s="1"/>
  <c r="J60" i="9" s="1"/>
  <c r="C60" i="10"/>
  <c r="E60" i="10"/>
  <c r="F60" i="10" s="1"/>
  <c r="J60" i="10" s="1"/>
  <c r="F60" i="6" l="1"/>
  <c r="J60" i="6" s="1"/>
  <c r="A56" i="8"/>
  <c r="A56" i="7"/>
  <c r="A56" i="5"/>
  <c r="A56" i="2"/>
  <c r="A56" i="11"/>
  <c r="A56" i="9"/>
  <c r="A56" i="10"/>
  <c r="A43" i="1"/>
  <c r="A56" i="6"/>
  <c r="B48" i="1"/>
  <c r="C61" i="2"/>
  <c r="C61" i="5"/>
  <c r="E61" i="5"/>
  <c r="F61" i="5" s="1"/>
  <c r="J61" i="5" s="1"/>
  <c r="E61" i="6"/>
  <c r="C61" i="6"/>
  <c r="E61" i="2"/>
  <c r="F61" i="2" s="1"/>
  <c r="J61" i="2" s="1"/>
  <c r="C61" i="7"/>
  <c r="C61" i="8"/>
  <c r="E61" i="7"/>
  <c r="F61" i="7" s="1"/>
  <c r="J61" i="7" s="1"/>
  <c r="C61" i="11"/>
  <c r="E61" i="8"/>
  <c r="C61" i="9"/>
  <c r="E61" i="9"/>
  <c r="F61" i="9" s="1"/>
  <c r="J61" i="9" s="1"/>
  <c r="E61" i="11"/>
  <c r="F61" i="11" s="1"/>
  <c r="J61" i="11" s="1"/>
  <c r="C61" i="10"/>
  <c r="E61" i="10"/>
  <c r="F61" i="10" s="1"/>
  <c r="J61" i="10" s="1"/>
  <c r="B49" i="1" l="1"/>
  <c r="C62" i="5"/>
  <c r="E62" i="5"/>
  <c r="F62" i="5" s="1"/>
  <c r="J62" i="5" s="1"/>
  <c r="C62" i="2"/>
  <c r="C62" i="6"/>
  <c r="E62" i="6"/>
  <c r="F62" i="6" s="1"/>
  <c r="J62" i="6" s="1"/>
  <c r="E62" i="2"/>
  <c r="C62" i="7"/>
  <c r="C62" i="8"/>
  <c r="E62" i="7"/>
  <c r="F62" i="7" s="1"/>
  <c r="J62" i="7" s="1"/>
  <c r="E62" i="8"/>
  <c r="F62" i="8" s="1"/>
  <c r="J62" i="8" s="1"/>
  <c r="C62" i="9"/>
  <c r="C62" i="10"/>
  <c r="C62" i="11"/>
  <c r="E62" i="10"/>
  <c r="F62" i="10" s="1"/>
  <c r="J62" i="10" s="1"/>
  <c r="E62" i="9"/>
  <c r="E62" i="11"/>
  <c r="F62" i="11" s="1"/>
  <c r="J62" i="11" s="1"/>
  <c r="A57" i="7"/>
  <c r="A57" i="8"/>
  <c r="A57" i="5"/>
  <c r="A57" i="2"/>
  <c r="A57" i="11"/>
  <c r="A57" i="6"/>
  <c r="A57" i="9"/>
  <c r="A44" i="1"/>
  <c r="A57" i="10"/>
  <c r="F61" i="6"/>
  <c r="J61" i="6" s="1"/>
  <c r="F61" i="8"/>
  <c r="J61" i="8" s="1"/>
  <c r="A58" i="5" l="1"/>
  <c r="A58" i="7"/>
  <c r="A58" i="8"/>
  <c r="A58" i="2"/>
  <c r="A58" i="11"/>
  <c r="A45" i="1"/>
  <c r="A58" i="9"/>
  <c r="A58" i="10"/>
  <c r="A58" i="6"/>
  <c r="B50" i="1"/>
  <c r="C63" i="5"/>
  <c r="E63" i="5"/>
  <c r="F63" i="5" s="1"/>
  <c r="J63" i="5" s="1"/>
  <c r="C63" i="6"/>
  <c r="C63" i="2"/>
  <c r="E63" i="6"/>
  <c r="F63" i="6" s="1"/>
  <c r="J63" i="6" s="1"/>
  <c r="E63" i="2"/>
  <c r="F63" i="2" s="1"/>
  <c r="J63" i="2" s="1"/>
  <c r="C63" i="7"/>
  <c r="C63" i="8"/>
  <c r="E63" i="8"/>
  <c r="F63" i="8" s="1"/>
  <c r="J63" i="8" s="1"/>
  <c r="E63" i="7"/>
  <c r="F63" i="7" s="1"/>
  <c r="J63" i="7" s="1"/>
  <c r="C63" i="11"/>
  <c r="C63" i="9"/>
  <c r="E63" i="9"/>
  <c r="F63" i="9" s="1"/>
  <c r="J63" i="9" s="1"/>
  <c r="C63" i="10"/>
  <c r="E63" i="11"/>
  <c r="F63" i="11" s="1"/>
  <c r="J63" i="11" s="1"/>
  <c r="E63" i="10"/>
  <c r="F63" i="10" s="1"/>
  <c r="J63" i="10" s="1"/>
  <c r="F62" i="9"/>
  <c r="J62" i="9" s="1"/>
  <c r="F62" i="2"/>
  <c r="J62" i="2" s="1"/>
  <c r="A59" i="8" l="1"/>
  <c r="A59" i="7"/>
  <c r="A59" i="5"/>
  <c r="A59" i="2"/>
  <c r="A59" i="9"/>
  <c r="A59" i="11"/>
  <c r="A59" i="10"/>
  <c r="A46" i="1"/>
  <c r="A59" i="6"/>
  <c r="B51" i="1"/>
  <c r="E64" i="5"/>
  <c r="C64" i="5"/>
  <c r="C64" i="6"/>
  <c r="C64" i="2"/>
  <c r="E64" i="6"/>
  <c r="F64" i="6" s="1"/>
  <c r="J64" i="6" s="1"/>
  <c r="C64" i="7"/>
  <c r="E64" i="2"/>
  <c r="F64" i="2" s="1"/>
  <c r="J64" i="2" s="1"/>
  <c r="E64" i="7"/>
  <c r="C64" i="8"/>
  <c r="C64" i="11"/>
  <c r="E64" i="8"/>
  <c r="C64" i="9"/>
  <c r="E64" i="10"/>
  <c r="E64" i="9"/>
  <c r="F64" i="9" s="1"/>
  <c r="J64" i="9" s="1"/>
  <c r="C64" i="10"/>
  <c r="E64" i="11"/>
  <c r="A60" i="8" l="1"/>
  <c r="A60" i="7"/>
  <c r="A60" i="11"/>
  <c r="A60" i="2"/>
  <c r="A60" i="9"/>
  <c r="A60" i="5"/>
  <c r="A60" i="6"/>
  <c r="A60" i="10"/>
  <c r="A47" i="1"/>
  <c r="F64" i="10"/>
  <c r="J64" i="10" s="1"/>
  <c r="F64" i="8"/>
  <c r="J64" i="8" s="1"/>
  <c r="F64" i="5"/>
  <c r="J64" i="5" s="1"/>
  <c r="F64" i="7"/>
  <c r="J64" i="7" s="1"/>
  <c r="B52" i="1"/>
  <c r="E65" i="5"/>
  <c r="C65" i="5"/>
  <c r="C65" i="2"/>
  <c r="C65" i="6"/>
  <c r="E65" i="6"/>
  <c r="F65" i="6" s="1"/>
  <c r="J65" i="6" s="1"/>
  <c r="E65" i="2"/>
  <c r="F65" i="2" s="1"/>
  <c r="J65" i="2" s="1"/>
  <c r="C65" i="7"/>
  <c r="C65" i="8"/>
  <c r="E65" i="7"/>
  <c r="F65" i="7" s="1"/>
  <c r="J65" i="7" s="1"/>
  <c r="E65" i="8"/>
  <c r="F65" i="8" s="1"/>
  <c r="J65" i="8" s="1"/>
  <c r="C65" i="11"/>
  <c r="C65" i="10"/>
  <c r="C65" i="9"/>
  <c r="E65" i="9"/>
  <c r="F65" i="9" s="1"/>
  <c r="J65" i="9" s="1"/>
  <c r="E65" i="11"/>
  <c r="E65" i="10"/>
  <c r="F64" i="11"/>
  <c r="J64" i="11" s="1"/>
  <c r="A61" i="8" l="1"/>
  <c r="A61" i="7"/>
  <c r="A61" i="5"/>
  <c r="A61" i="2"/>
  <c r="A61" i="11"/>
  <c r="A61" i="6"/>
  <c r="A48" i="1"/>
  <c r="A61" i="9"/>
  <c r="A61" i="10"/>
  <c r="F65" i="5"/>
  <c r="J65" i="5" s="1"/>
  <c r="F65" i="10"/>
  <c r="J65" i="10" s="1"/>
  <c r="B53" i="1"/>
  <c r="E66" i="5"/>
  <c r="C66" i="5"/>
  <c r="C66" i="6"/>
  <c r="C66" i="2"/>
  <c r="E66" i="6"/>
  <c r="F66" i="6" s="1"/>
  <c r="J66" i="6" s="1"/>
  <c r="E66" i="2"/>
  <c r="F66" i="2" s="1"/>
  <c r="J66" i="2" s="1"/>
  <c r="C66" i="7"/>
  <c r="C66" i="8"/>
  <c r="E66" i="7"/>
  <c r="C66" i="9"/>
  <c r="E66" i="8"/>
  <c r="C66" i="11"/>
  <c r="E66" i="9"/>
  <c r="F66" i="9" s="1"/>
  <c r="J66" i="9" s="1"/>
  <c r="C66" i="10"/>
  <c r="E66" i="11"/>
  <c r="F66" i="11" s="1"/>
  <c r="J66" i="11" s="1"/>
  <c r="E66" i="10"/>
  <c r="F66" i="10" s="1"/>
  <c r="J66" i="10" s="1"/>
  <c r="F65" i="11"/>
  <c r="J65" i="11" s="1"/>
  <c r="B54" i="1" l="1"/>
  <c r="C67" i="5"/>
  <c r="E67" i="5"/>
  <c r="F67" i="5" s="1"/>
  <c r="J67" i="5" s="1"/>
  <c r="C67" i="2"/>
  <c r="C67" i="6"/>
  <c r="E67" i="6"/>
  <c r="F67" i="6" s="1"/>
  <c r="J67" i="6" s="1"/>
  <c r="E67" i="2"/>
  <c r="C67" i="8"/>
  <c r="C67" i="7"/>
  <c r="E67" i="8"/>
  <c r="F67" i="8" s="1"/>
  <c r="J67" i="8" s="1"/>
  <c r="E67" i="7"/>
  <c r="F67" i="7" s="1"/>
  <c r="J67" i="7" s="1"/>
  <c r="C67" i="11"/>
  <c r="C67" i="9"/>
  <c r="C67" i="10"/>
  <c r="E67" i="11"/>
  <c r="E67" i="9"/>
  <c r="F67" i="9" s="1"/>
  <c r="J67" i="9" s="1"/>
  <c r="E67" i="10"/>
  <c r="F67" i="10" s="1"/>
  <c r="J67" i="10" s="1"/>
  <c r="F66" i="8"/>
  <c r="J66" i="8" s="1"/>
  <c r="A62" i="8"/>
  <c r="A62" i="5"/>
  <c r="A62" i="2"/>
  <c r="A62" i="9"/>
  <c r="A62" i="11"/>
  <c r="A62" i="7"/>
  <c r="A62" i="10"/>
  <c r="A49" i="1"/>
  <c r="A62" i="6"/>
  <c r="F66" i="7"/>
  <c r="J66" i="7" s="1"/>
  <c r="F66" i="5"/>
  <c r="J66" i="5" s="1"/>
  <c r="A63" i="8" l="1"/>
  <c r="A63" i="7"/>
  <c r="A63" i="2"/>
  <c r="A63" i="5"/>
  <c r="A50" i="1"/>
  <c r="A63" i="9"/>
  <c r="A63" i="6"/>
  <c r="A63" i="11"/>
  <c r="A63" i="10"/>
  <c r="B55" i="1"/>
  <c r="E68" i="5"/>
  <c r="C68" i="5"/>
  <c r="C68" i="2"/>
  <c r="E68" i="6"/>
  <c r="C68" i="6"/>
  <c r="C68" i="7"/>
  <c r="E68" i="2"/>
  <c r="F68" i="2" s="1"/>
  <c r="J68" i="2" s="1"/>
  <c r="C68" i="8"/>
  <c r="C68" i="11"/>
  <c r="E68" i="8"/>
  <c r="F68" i="8" s="1"/>
  <c r="J68" i="8" s="1"/>
  <c r="E68" i="7"/>
  <c r="C68" i="9"/>
  <c r="C68" i="10"/>
  <c r="E68" i="10"/>
  <c r="F68" i="10" s="1"/>
  <c r="J68" i="10" s="1"/>
  <c r="E68" i="11"/>
  <c r="E68" i="9"/>
  <c r="F68" i="9" s="1"/>
  <c r="J68" i="9" s="1"/>
  <c r="F67" i="11"/>
  <c r="J67" i="11" s="1"/>
  <c r="F67" i="2"/>
  <c r="J67" i="2" s="1"/>
  <c r="F68" i="6" l="1"/>
  <c r="J68" i="6" s="1"/>
  <c r="F68" i="7"/>
  <c r="J68" i="7" s="1"/>
  <c r="A64" i="8"/>
  <c r="A64" i="7"/>
  <c r="A64" i="5"/>
  <c r="A64" i="11"/>
  <c r="A64" i="9"/>
  <c r="A64" i="2"/>
  <c r="A64" i="10"/>
  <c r="A51" i="1"/>
  <c r="A64" i="6"/>
  <c r="F68" i="5"/>
  <c r="J68" i="5" s="1"/>
  <c r="B56" i="1"/>
  <c r="C69" i="5"/>
  <c r="E69" i="5"/>
  <c r="F69" i="5" s="1"/>
  <c r="J69" i="5" s="1"/>
  <c r="C69" i="2"/>
  <c r="C69" i="6"/>
  <c r="E69" i="6"/>
  <c r="F69" i="6" s="1"/>
  <c r="J69" i="6" s="1"/>
  <c r="E69" i="2"/>
  <c r="C69" i="8"/>
  <c r="C69" i="7"/>
  <c r="E69" i="8"/>
  <c r="E69" i="7"/>
  <c r="F69" i="7" s="1"/>
  <c r="J69" i="7" s="1"/>
  <c r="C69" i="9"/>
  <c r="C69" i="11"/>
  <c r="E69" i="11"/>
  <c r="F69" i="11" s="1"/>
  <c r="J69" i="11" s="1"/>
  <c r="C69" i="10"/>
  <c r="E69" i="9"/>
  <c r="F69" i="9" s="1"/>
  <c r="J69" i="9" s="1"/>
  <c r="E69" i="10"/>
  <c r="F68" i="11"/>
  <c r="J68" i="11" s="1"/>
  <c r="F69" i="8" l="1"/>
  <c r="J69" i="8" s="1"/>
  <c r="F69" i="10"/>
  <c r="J69" i="10" s="1"/>
  <c r="B57" i="1"/>
  <c r="E70" i="5"/>
  <c r="F70" i="5" s="1"/>
  <c r="J70" i="5" s="1"/>
  <c r="C70" i="5"/>
  <c r="E70" i="6"/>
  <c r="E70" i="2"/>
  <c r="C70" i="6"/>
  <c r="C70" i="2"/>
  <c r="C70" i="7"/>
  <c r="C70" i="8"/>
  <c r="E70" i="8"/>
  <c r="F70" i="8" s="1"/>
  <c r="J70" i="8" s="1"/>
  <c r="E70" i="7"/>
  <c r="C70" i="11"/>
  <c r="C70" i="9"/>
  <c r="E70" i="10"/>
  <c r="F70" i="10" s="1"/>
  <c r="J70" i="10" s="1"/>
  <c r="E70" i="9"/>
  <c r="F70" i="9" s="1"/>
  <c r="J70" i="9" s="1"/>
  <c r="E70" i="11"/>
  <c r="F70" i="11" s="1"/>
  <c r="J70" i="11" s="1"/>
  <c r="C70" i="10"/>
  <c r="F69" i="2"/>
  <c r="J69" i="2" s="1"/>
  <c r="A65" i="7"/>
  <c r="A65" i="8"/>
  <c r="A65" i="5"/>
  <c r="A65" i="2"/>
  <c r="A65" i="9"/>
  <c r="A65" i="10"/>
  <c r="A65" i="6"/>
  <c r="A52" i="1"/>
  <c r="A65" i="11"/>
  <c r="F70" i="2" l="1"/>
  <c r="J70" i="2" s="1"/>
  <c r="F70" i="6"/>
  <c r="J70" i="6" s="1"/>
  <c r="F70" i="7"/>
  <c r="J70" i="7" s="1"/>
  <c r="A66" i="5"/>
  <c r="A66" i="8"/>
  <c r="A66" i="7"/>
  <c r="A66" i="2"/>
  <c r="A66" i="9"/>
  <c r="A66" i="11"/>
  <c r="A53" i="1"/>
  <c r="A66" i="10"/>
  <c r="A66" i="6"/>
  <c r="B58" i="1"/>
  <c r="C71" i="2"/>
  <c r="E71" i="5"/>
  <c r="C71" i="5"/>
  <c r="C71" i="6"/>
  <c r="E71" i="2"/>
  <c r="F71" i="2" s="1"/>
  <c r="J71" i="2" s="1"/>
  <c r="C71" i="7"/>
  <c r="E71" i="6"/>
  <c r="F71" i="6" s="1"/>
  <c r="J71" i="6" s="1"/>
  <c r="E71" i="7"/>
  <c r="C71" i="8"/>
  <c r="E71" i="8"/>
  <c r="F71" i="8" s="1"/>
  <c r="J71" i="8" s="1"/>
  <c r="C71" i="9"/>
  <c r="C71" i="11"/>
  <c r="E71" i="9"/>
  <c r="F71" i="9" s="1"/>
  <c r="J71" i="9" s="1"/>
  <c r="C71" i="10"/>
  <c r="E71" i="11"/>
  <c r="F71" i="11" s="1"/>
  <c r="J71" i="11" s="1"/>
  <c r="E71" i="10"/>
  <c r="A67" i="8" l="1"/>
  <c r="A67" i="7"/>
  <c r="A67" i="5"/>
  <c r="A67" i="2"/>
  <c r="A67" i="9"/>
  <c r="A67" i="11"/>
  <c r="A54" i="1"/>
  <c r="A67" i="10"/>
  <c r="A67" i="6"/>
  <c r="F71" i="5"/>
  <c r="J71" i="5" s="1"/>
  <c r="F71" i="10"/>
  <c r="J71" i="10" s="1"/>
  <c r="F71" i="7"/>
  <c r="J71" i="7" s="1"/>
  <c r="E72" i="5"/>
  <c r="C72" i="5"/>
  <c r="C72" i="2"/>
  <c r="E72" i="6"/>
  <c r="C72" i="6"/>
  <c r="C72" i="7"/>
  <c r="E72" i="2"/>
  <c r="F72" i="2" s="1"/>
  <c r="J72" i="2" s="1"/>
  <c r="C72" i="8"/>
  <c r="C72" i="11"/>
  <c r="E72" i="8"/>
  <c r="E72" i="7"/>
  <c r="C72" i="9"/>
  <c r="E72" i="9"/>
  <c r="F72" i="9" s="1"/>
  <c r="J72" i="9" s="1"/>
  <c r="E72" i="11"/>
  <c r="F72" i="11" s="1"/>
  <c r="J72" i="11" s="1"/>
  <c r="E72" i="10"/>
  <c r="C72" i="10"/>
  <c r="F72" i="10" l="1"/>
  <c r="J72" i="10" s="1"/>
  <c r="F72" i="6"/>
  <c r="J72" i="6" s="1"/>
  <c r="F72" i="7"/>
  <c r="J72" i="7" s="1"/>
  <c r="A68" i="8"/>
  <c r="A68" i="7"/>
  <c r="A68" i="5"/>
  <c r="A68" i="11"/>
  <c r="A68" i="2"/>
  <c r="A68" i="10"/>
  <c r="A68" i="6"/>
  <c r="A55" i="1"/>
  <c r="A68" i="9"/>
  <c r="F72" i="8"/>
  <c r="J72" i="8" s="1"/>
  <c r="F72" i="5"/>
  <c r="J72" i="5" s="1"/>
  <c r="A69" i="8" l="1"/>
  <c r="A69" i="7"/>
  <c r="A69" i="5"/>
  <c r="A69" i="2"/>
  <c r="A69" i="9"/>
  <c r="A69" i="6"/>
  <c r="A56" i="1"/>
  <c r="A69" i="10"/>
  <c r="A69" i="11"/>
  <c r="A70" i="8" l="1"/>
  <c r="A70" i="5"/>
  <c r="A70" i="7"/>
  <c r="A70" i="2"/>
  <c r="A70" i="9"/>
  <c r="A70" i="10"/>
  <c r="A70" i="11"/>
  <c r="A57" i="1"/>
  <c r="A70" i="6"/>
  <c r="A71" i="8" l="1"/>
  <c r="A71" i="7"/>
  <c r="A71" i="5"/>
  <c r="A71" i="2"/>
  <c r="A71" i="11"/>
  <c r="A71" i="10"/>
  <c r="A58" i="1"/>
  <c r="A71" i="6"/>
  <c r="A71" i="9"/>
  <c r="A72" i="8" l="1"/>
  <c r="A72" i="7"/>
  <c r="A72" i="5"/>
  <c r="A72" i="11"/>
  <c r="A72" i="2"/>
  <c r="A72" i="9"/>
  <c r="A72" i="6"/>
  <c r="A72" i="10"/>
</calcChain>
</file>

<file path=xl/sharedStrings.xml><?xml version="1.0" encoding="utf-8"?>
<sst xmlns="http://schemas.openxmlformats.org/spreadsheetml/2006/main" count="70" uniqueCount="32">
  <si>
    <t>OPAL</t>
  </si>
  <si>
    <t>SoCal</t>
  </si>
  <si>
    <t>Kern</t>
  </si>
  <si>
    <t>Transwestern</t>
  </si>
  <si>
    <t>Permian</t>
  </si>
  <si>
    <t>El Paso</t>
  </si>
  <si>
    <t>San Juan</t>
  </si>
  <si>
    <t>PGT</t>
  </si>
  <si>
    <t>AECO</t>
  </si>
  <si>
    <t>Malin</t>
  </si>
  <si>
    <t>NYMEX</t>
  </si>
  <si>
    <t>Receipt Point</t>
  </si>
  <si>
    <t>Delivery Point</t>
  </si>
  <si>
    <t>PRICES</t>
  </si>
  <si>
    <t>TRANSPORT RATES</t>
  </si>
  <si>
    <t>Receipt</t>
  </si>
  <si>
    <t>Delivery</t>
  </si>
  <si>
    <t>PG&amp;E</t>
  </si>
  <si>
    <t>NGW EPNG PERMIAN</t>
  </si>
  <si>
    <t>IF TW PERMIAN</t>
  </si>
  <si>
    <t>IF KERN WYOMING</t>
  </si>
  <si>
    <t>NGW EPNG SAN JUAN</t>
  </si>
  <si>
    <t>NGW TW SOCAL BORDER</t>
  </si>
  <si>
    <t>NGW EPNG SOCAL BORDER</t>
  </si>
  <si>
    <t>Tranport Value</t>
  </si>
  <si>
    <t>Spread vs Transport</t>
  </si>
  <si>
    <t>NGW PGT MALIN</t>
  </si>
  <si>
    <t>NGI (Kern) SOCAL BORDER</t>
  </si>
  <si>
    <t>Kern/PG&amp;E</t>
  </si>
  <si>
    <t>PG&amp;E Daily Avg. (Kern)</t>
  </si>
  <si>
    <t>PG&amp;E Daily Avg. (PGT)</t>
  </si>
  <si>
    <t>AECO (PGT)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</si>
</sst>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0_);_(* \(#,##0.000\);_(* &quot;-&quot;??_);_(@_)"/>
    <numFmt numFmtId="166" formatCode="_(* #,##0_);_(* \(#,##0\);_(* &quot;-&quot;??_);_(@_)"/>
    <numFmt numFmtId="168" formatCode="&quot;$&quot;#,##0.000_);\(&quot;$&quot;#,##0.000\)"/>
  </numFmts>
  <fonts count="13" x14ac:knownFonts="1">
    <font>
      <sz val="10"/>
      <name val="Arial Narrow"/>
    </font>
    <font>
      <sz val="10"/>
      <name val="Arial Narrow"/>
    </font>
    <font>
      <b/>
      <sz val="10"/>
      <name val="Arial Narrow"/>
      <family val="2"/>
    </font>
    <font>
      <b/>
      <sz val="10"/>
      <color indexed="12"/>
      <name val="Arial Narrow"/>
      <family val="2"/>
    </font>
    <font>
      <sz val="8"/>
      <name val="Arial Narrow"/>
      <family val="2"/>
    </font>
    <font>
      <sz val="10"/>
      <color indexed="12"/>
      <name val="Arial Narrow"/>
      <family val="2"/>
    </font>
    <font>
      <sz val="8"/>
      <color indexed="22"/>
      <name val="Arial Narrow"/>
      <family val="2"/>
    </font>
    <font>
      <sz val="8"/>
      <color indexed="44"/>
      <name val="Arial Narrow"/>
      <family val="2"/>
    </font>
    <font>
      <sz val="10"/>
      <color indexed="9"/>
      <name val="Arial Narrow"/>
      <family val="2"/>
    </font>
    <font>
      <b/>
      <sz val="10"/>
      <color indexed="9"/>
      <name val="Arial Narrow"/>
      <family val="2"/>
    </font>
    <font>
      <sz val="10"/>
      <color indexed="8"/>
      <name val="Arial Narrow"/>
      <family val="2"/>
    </font>
    <font>
      <b/>
      <sz val="14"/>
      <color indexed="9"/>
      <name val="Arial"/>
      <family val="2"/>
    </font>
    <font>
      <sz val="8"/>
      <color indexed="12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3">
    <xf numFmtId="0" fontId="0" fillId="0" borderId="0" xfId="0"/>
    <xf numFmtId="17" fontId="2" fillId="0" borderId="0" xfId="0" applyNumberFormat="1" applyFont="1" applyAlignment="1">
      <alignment horizontal="center"/>
    </xf>
    <xf numFmtId="17" fontId="3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64" fontId="5" fillId="0" borderId="0" xfId="1" applyNumberFormat="1" applyFont="1"/>
    <xf numFmtId="0" fontId="4" fillId="0" borderId="1" xfId="0" applyFont="1" applyBorder="1" applyAlignment="1">
      <alignment horizontal="center" wrapText="1"/>
    </xf>
    <xf numFmtId="0" fontId="6" fillId="0" borderId="1" xfId="0" applyNumberFormat="1" applyFont="1" applyBorder="1" applyAlignment="1">
      <alignment horizontal="center" wrapText="1"/>
    </xf>
    <xf numFmtId="0" fontId="6" fillId="0" borderId="0" xfId="0" applyNumberFormat="1" applyFont="1" applyAlignment="1">
      <alignment horizontal="center"/>
    </xf>
    <xf numFmtId="0" fontId="2" fillId="3" borderId="0" xfId="0" applyFont="1" applyFill="1"/>
    <xf numFmtId="0" fontId="4" fillId="0" borderId="0" xfId="0" applyFont="1" applyBorder="1" applyAlignment="1">
      <alignment horizontal="center" wrapText="1"/>
    </xf>
    <xf numFmtId="0" fontId="7" fillId="0" borderId="0" xfId="0" applyNumberFormat="1" applyFont="1" applyAlignment="1">
      <alignment horizontal="center"/>
    </xf>
    <xf numFmtId="0" fontId="9" fillId="4" borderId="0" xfId="0" applyFont="1" applyFill="1"/>
    <xf numFmtId="166" fontId="8" fillId="4" borderId="0" xfId="1" applyNumberFormat="1" applyFont="1" applyFill="1"/>
    <xf numFmtId="164" fontId="8" fillId="4" borderId="0" xfId="1" applyNumberFormat="1" applyFont="1" applyFill="1"/>
    <xf numFmtId="168" fontId="0" fillId="0" borderId="0" xfId="2" applyNumberFormat="1" applyFont="1" applyAlignment="1">
      <alignment horizontal="center"/>
    </xf>
    <xf numFmtId="168" fontId="0" fillId="0" borderId="0" xfId="0" applyNumberFormat="1" applyAlignment="1">
      <alignment horizontal="center"/>
    </xf>
    <xf numFmtId="164" fontId="10" fillId="0" borderId="0" xfId="1" applyNumberFormat="1" applyFont="1"/>
    <xf numFmtId="0" fontId="4" fillId="0" borderId="2" xfId="0" applyFont="1" applyBorder="1" applyAlignment="1">
      <alignment horizontal="center" wrapText="1"/>
    </xf>
    <xf numFmtId="0" fontId="7" fillId="0" borderId="2" xfId="0" applyNumberFormat="1" applyFont="1" applyBorder="1" applyAlignment="1">
      <alignment horizontal="center"/>
    </xf>
    <xf numFmtId="0" fontId="6" fillId="0" borderId="2" xfId="0" applyNumberFormat="1" applyFont="1" applyBorder="1" applyAlignment="1">
      <alignment horizontal="center"/>
    </xf>
    <xf numFmtId="0" fontId="11" fillId="7" borderId="0" xfId="0" applyFont="1" applyFill="1"/>
    <xf numFmtId="168" fontId="1" fillId="0" borderId="0" xfId="2" applyNumberFormat="1" applyAlignment="1">
      <alignment horizontal="center"/>
    </xf>
    <xf numFmtId="0" fontId="7" fillId="0" borderId="0" xfId="0" applyNumberFormat="1" applyFont="1" applyBorder="1" applyAlignment="1">
      <alignment horizontal="center"/>
    </xf>
    <xf numFmtId="0" fontId="6" fillId="0" borderId="0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 wrapText="1"/>
    </xf>
    <xf numFmtId="0" fontId="2" fillId="0" borderId="0" xfId="0" applyFont="1" applyAlignment="1">
      <alignment vertical="center"/>
    </xf>
    <xf numFmtId="164" fontId="5" fillId="8" borderId="0" xfId="1" applyNumberFormat="1" applyFont="1" applyFill="1"/>
    <xf numFmtId="0" fontId="9" fillId="5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330661237813876"/>
          <c:y val="9.7473096008249674E-2"/>
          <c:w val="0.78427496561846888"/>
          <c:h val="0.56317788804766478"/>
        </c:manualLayout>
      </c:layout>
      <c:areaChart>
        <c:grouping val="stacked"/>
        <c:varyColors val="0"/>
        <c:ser>
          <c:idx val="2"/>
          <c:order val="2"/>
          <c:tx>
            <c:strRef>
              <c:f>'Kern - Opal to SoCal'!$J$21</c:f>
              <c:strCache>
                <c:ptCount val="1"/>
                <c:pt idx="0">
                  <c:v>Tranport Value</c:v>
                </c:pt>
              </c:strCache>
            </c:strRef>
          </c:tx>
          <c:spPr>
            <a:solidFill>
              <a:srgbClr val="969696"/>
            </a:solidFill>
            <a:ln w="25400">
              <a:noFill/>
            </a:ln>
          </c:spPr>
          <c:val>
            <c:numRef>
              <c:f>'Kern - Opal to SoCal'!$J$23:$J$72</c:f>
              <c:numCache>
                <c:formatCode>"$"#,##0.000_);\("$"#,##0.000\)</c:formatCode>
                <c:ptCount val="50"/>
                <c:pt idx="0">
                  <c:v>-0.629</c:v>
                </c:pt>
                <c:pt idx="1">
                  <c:v>-0.41900000000000015</c:v>
                </c:pt>
                <c:pt idx="2">
                  <c:v>-0.41</c:v>
                </c:pt>
                <c:pt idx="3">
                  <c:v>-0.32450000000000012</c:v>
                </c:pt>
                <c:pt idx="4">
                  <c:v>-0.34849999999999992</c:v>
                </c:pt>
                <c:pt idx="5">
                  <c:v>-0.32649999999999985</c:v>
                </c:pt>
                <c:pt idx="6">
                  <c:v>-0.32350000000000012</c:v>
                </c:pt>
                <c:pt idx="7">
                  <c:v>-0.30649999999999983</c:v>
                </c:pt>
                <c:pt idx="8">
                  <c:v>-0.40149999999999997</c:v>
                </c:pt>
                <c:pt idx="9">
                  <c:v>-0.27600000000000002</c:v>
                </c:pt>
                <c:pt idx="10">
                  <c:v>-0.22699999999999998</c:v>
                </c:pt>
                <c:pt idx="11">
                  <c:v>-0.40400000000000014</c:v>
                </c:pt>
                <c:pt idx="12">
                  <c:v>-0.33849999999999963</c:v>
                </c:pt>
                <c:pt idx="13">
                  <c:v>-0.25750000000000028</c:v>
                </c:pt>
                <c:pt idx="14">
                  <c:v>-0.22749999999999976</c:v>
                </c:pt>
                <c:pt idx="15">
                  <c:v>-0.25149999999999978</c:v>
                </c:pt>
                <c:pt idx="16">
                  <c:v>-0.24</c:v>
                </c:pt>
                <c:pt idx="17">
                  <c:v>-0.25850000000000006</c:v>
                </c:pt>
                <c:pt idx="18">
                  <c:v>-0.42249999999999971</c:v>
                </c:pt>
                <c:pt idx="19">
                  <c:v>-0.14100000000000013</c:v>
                </c:pt>
                <c:pt idx="20">
                  <c:v>-5.3500000000000103E-2</c:v>
                </c:pt>
                <c:pt idx="21">
                  <c:v>-0.55849999999999977</c:v>
                </c:pt>
                <c:pt idx="22">
                  <c:v>-0.14349999999999996</c:v>
                </c:pt>
                <c:pt idx="23">
                  <c:v>-0.19350000000000023</c:v>
                </c:pt>
                <c:pt idx="24">
                  <c:v>-0.191</c:v>
                </c:pt>
                <c:pt idx="25">
                  <c:v>-0.31749999999999989</c:v>
                </c:pt>
                <c:pt idx="26">
                  <c:v>-0.3025000000000001</c:v>
                </c:pt>
                <c:pt idx="27">
                  <c:v>-0.33699999999999991</c:v>
                </c:pt>
                <c:pt idx="28">
                  <c:v>-0.42200000000000015</c:v>
                </c:pt>
                <c:pt idx="29">
                  <c:v>-0.34799999999999986</c:v>
                </c:pt>
                <c:pt idx="30">
                  <c:v>-0.28250000000000003</c:v>
                </c:pt>
                <c:pt idx="31">
                  <c:v>-0.36650000000000038</c:v>
                </c:pt>
                <c:pt idx="32">
                  <c:v>-0.36249999999999982</c:v>
                </c:pt>
                <c:pt idx="33">
                  <c:v>-0.27750000000000008</c:v>
                </c:pt>
                <c:pt idx="34">
                  <c:v>-0.34799999999999986</c:v>
                </c:pt>
                <c:pt idx="35">
                  <c:v>-0.16849999999999971</c:v>
                </c:pt>
                <c:pt idx="36">
                  <c:v>-0.29300000000000026</c:v>
                </c:pt>
                <c:pt idx="37">
                  <c:v>-0.3855000000000004</c:v>
                </c:pt>
                <c:pt idx="38">
                  <c:v>-0.33450000000000013</c:v>
                </c:pt>
                <c:pt idx="39">
                  <c:v>-0.27350000000000008</c:v>
                </c:pt>
                <c:pt idx="40">
                  <c:v>-0.37850000000000006</c:v>
                </c:pt>
                <c:pt idx="41">
                  <c:v>-0.40000000000000058</c:v>
                </c:pt>
                <c:pt idx="42">
                  <c:v>-6.2000000000000055E-2</c:v>
                </c:pt>
                <c:pt idx="43">
                  <c:v>0.18599999999999972</c:v>
                </c:pt>
                <c:pt idx="44">
                  <c:v>1.8805000000000001</c:v>
                </c:pt>
                <c:pt idx="45">
                  <c:v>-0.24249999999999972</c:v>
                </c:pt>
                <c:pt idx="46">
                  <c:v>0.13300000000000023</c:v>
                </c:pt>
                <c:pt idx="47">
                  <c:v>6.8005000000000013</c:v>
                </c:pt>
                <c:pt idx="48">
                  <c:v>5.2984999999999998</c:v>
                </c:pt>
                <c:pt idx="49">
                  <c:v>4.9409999999999998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392160"/>
        <c:axId val="150392720"/>
      </c:areaChart>
      <c:lineChart>
        <c:grouping val="standard"/>
        <c:varyColors val="0"/>
        <c:ser>
          <c:idx val="0"/>
          <c:order val="0"/>
          <c:tx>
            <c:strRef>
              <c:f>'Kern - Opal to SoCal'!$F$21</c:f>
              <c:strCache>
                <c:ptCount val="1"/>
                <c:pt idx="0">
                  <c:v>Permian/SoCal Spread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'Kern - Opal to SoCal'!$A$23:$A$72</c:f>
              <c:numCache>
                <c:formatCode>mmm\-yy</c:formatCode>
                <c:ptCount val="50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  <c:pt idx="48">
                  <c:v>36892</c:v>
                </c:pt>
                <c:pt idx="49">
                  <c:v>36923</c:v>
                </c:pt>
              </c:numCache>
            </c:numRef>
          </c:cat>
          <c:val>
            <c:numRef>
              <c:f>'Kern - Opal to SoCal'!$F$23:$F$72</c:f>
              <c:numCache>
                <c:formatCode>"$"#,##0.000_);\("$"#,##0.000\)</c:formatCode>
                <c:ptCount val="50"/>
                <c:pt idx="0">
                  <c:v>-4.0000000000000036E-2</c:v>
                </c:pt>
                <c:pt idx="1">
                  <c:v>8.9999999999999858E-2</c:v>
                </c:pt>
                <c:pt idx="2">
                  <c:v>5.0000000000000044E-2</c:v>
                </c:pt>
                <c:pt idx="3">
                  <c:v>0.1399999999999999</c:v>
                </c:pt>
                <c:pt idx="4">
                  <c:v>0.13000000000000012</c:v>
                </c:pt>
                <c:pt idx="5">
                  <c:v>0.16000000000000014</c:v>
                </c:pt>
                <c:pt idx="6">
                  <c:v>0.15999999999999992</c:v>
                </c:pt>
                <c:pt idx="7">
                  <c:v>0.18000000000000016</c:v>
                </c:pt>
                <c:pt idx="8">
                  <c:v>0.10000000000000009</c:v>
                </c:pt>
                <c:pt idx="9">
                  <c:v>0.25</c:v>
                </c:pt>
                <c:pt idx="10">
                  <c:v>0.31000000000000005</c:v>
                </c:pt>
                <c:pt idx="11">
                  <c:v>8.9999999999999858E-2</c:v>
                </c:pt>
                <c:pt idx="12">
                  <c:v>0.15000000000000036</c:v>
                </c:pt>
                <c:pt idx="13">
                  <c:v>0.21999999999999975</c:v>
                </c:pt>
                <c:pt idx="14">
                  <c:v>0.26000000000000023</c:v>
                </c:pt>
                <c:pt idx="15">
                  <c:v>0.24000000000000021</c:v>
                </c:pt>
                <c:pt idx="16">
                  <c:v>0.25</c:v>
                </c:pt>
                <c:pt idx="17">
                  <c:v>0.21999999999999997</c:v>
                </c:pt>
                <c:pt idx="18">
                  <c:v>7.0000000000000284E-2</c:v>
                </c:pt>
                <c:pt idx="19">
                  <c:v>0.33999999999999986</c:v>
                </c:pt>
                <c:pt idx="20">
                  <c:v>0.40999999999999992</c:v>
                </c:pt>
                <c:pt idx="21">
                  <c:v>-6.999999999999984E-2</c:v>
                </c:pt>
                <c:pt idx="22">
                  <c:v>0.34000000000000008</c:v>
                </c:pt>
                <c:pt idx="23">
                  <c:v>0.28999999999999981</c:v>
                </c:pt>
                <c:pt idx="24">
                  <c:v>0.28000000000000003</c:v>
                </c:pt>
                <c:pt idx="25">
                  <c:v>0.15000000000000013</c:v>
                </c:pt>
                <c:pt idx="26">
                  <c:v>0.15999999999999992</c:v>
                </c:pt>
                <c:pt idx="27">
                  <c:v>0.13000000000000012</c:v>
                </c:pt>
                <c:pt idx="28">
                  <c:v>6.999999999999984E-2</c:v>
                </c:pt>
                <c:pt idx="29">
                  <c:v>0.14000000000000012</c:v>
                </c:pt>
                <c:pt idx="30">
                  <c:v>0.20999999999999996</c:v>
                </c:pt>
                <c:pt idx="31">
                  <c:v>0.13999999999999968</c:v>
                </c:pt>
                <c:pt idx="32">
                  <c:v>0.16000000000000014</c:v>
                </c:pt>
                <c:pt idx="33">
                  <c:v>0.22999999999999998</c:v>
                </c:pt>
                <c:pt idx="34">
                  <c:v>0.18000000000000016</c:v>
                </c:pt>
                <c:pt idx="35">
                  <c:v>0.32000000000000028</c:v>
                </c:pt>
                <c:pt idx="36">
                  <c:v>0.19999999999999973</c:v>
                </c:pt>
                <c:pt idx="37">
                  <c:v>0.11999999999999966</c:v>
                </c:pt>
                <c:pt idx="38">
                  <c:v>0.16999999999999993</c:v>
                </c:pt>
                <c:pt idx="39">
                  <c:v>0.25</c:v>
                </c:pt>
                <c:pt idx="40">
                  <c:v>0.14999999999999991</c:v>
                </c:pt>
                <c:pt idx="41">
                  <c:v>0.1899999999999995</c:v>
                </c:pt>
                <c:pt idx="42">
                  <c:v>0.54</c:v>
                </c:pt>
                <c:pt idx="43">
                  <c:v>0.75999999999999979</c:v>
                </c:pt>
                <c:pt idx="44">
                  <c:v>2.4900000000000002</c:v>
                </c:pt>
                <c:pt idx="45">
                  <c:v>0.40000000000000036</c:v>
                </c:pt>
                <c:pt idx="46">
                  <c:v>0.74000000000000021</c:v>
                </c:pt>
                <c:pt idx="47">
                  <c:v>7.5000000000000009</c:v>
                </c:pt>
                <c:pt idx="48">
                  <c:v>6.18</c:v>
                </c:pt>
                <c:pt idx="49">
                  <c:v>5.67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'Kern - Opal to SoCal'!$H$21</c:f>
              <c:strCache>
                <c:ptCount val="1"/>
                <c:pt idx="0">
                  <c:v>Transwestern Toll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'Kern - Opal to SoCal'!$H$23:$H$72</c:f>
              <c:numCache>
                <c:formatCode>"$"#,##0.000_);\("$"#,##0.000\)</c:formatCode>
                <c:ptCount val="50"/>
                <c:pt idx="0">
                  <c:v>0.58899999999999997</c:v>
                </c:pt>
                <c:pt idx="1">
                  <c:v>0.50900000000000001</c:v>
                </c:pt>
                <c:pt idx="2">
                  <c:v>0.46</c:v>
                </c:pt>
                <c:pt idx="3">
                  <c:v>0.46450000000000002</c:v>
                </c:pt>
                <c:pt idx="4">
                  <c:v>0.47850000000000004</c:v>
                </c:pt>
                <c:pt idx="5">
                  <c:v>0.48649999999999999</c:v>
                </c:pt>
                <c:pt idx="6">
                  <c:v>0.48350000000000004</c:v>
                </c:pt>
                <c:pt idx="7">
                  <c:v>0.48649999999999999</c:v>
                </c:pt>
                <c:pt idx="8">
                  <c:v>0.50150000000000006</c:v>
                </c:pt>
                <c:pt idx="9">
                  <c:v>0.52600000000000002</c:v>
                </c:pt>
                <c:pt idx="10">
                  <c:v>0.53700000000000003</c:v>
                </c:pt>
                <c:pt idx="11">
                  <c:v>0.49399999999999999</c:v>
                </c:pt>
                <c:pt idx="12">
                  <c:v>0.48849999999999999</c:v>
                </c:pt>
                <c:pt idx="13">
                  <c:v>0.47750000000000004</c:v>
                </c:pt>
                <c:pt idx="14">
                  <c:v>0.48749999999999999</c:v>
                </c:pt>
                <c:pt idx="15">
                  <c:v>0.49149999999999999</c:v>
                </c:pt>
                <c:pt idx="16">
                  <c:v>0.49</c:v>
                </c:pt>
                <c:pt idx="17">
                  <c:v>0.47850000000000004</c:v>
                </c:pt>
                <c:pt idx="18">
                  <c:v>0.49249999999999999</c:v>
                </c:pt>
                <c:pt idx="19">
                  <c:v>0.48099999999999998</c:v>
                </c:pt>
                <c:pt idx="20">
                  <c:v>0.46350000000000002</c:v>
                </c:pt>
                <c:pt idx="21">
                  <c:v>0.48849999999999999</c:v>
                </c:pt>
                <c:pt idx="22">
                  <c:v>0.48350000000000004</c:v>
                </c:pt>
                <c:pt idx="23">
                  <c:v>0.48350000000000004</c:v>
                </c:pt>
                <c:pt idx="24">
                  <c:v>0.47100000000000003</c:v>
                </c:pt>
                <c:pt idx="25">
                  <c:v>0.46750000000000003</c:v>
                </c:pt>
                <c:pt idx="26">
                  <c:v>0.46250000000000002</c:v>
                </c:pt>
                <c:pt idx="27">
                  <c:v>0.46700000000000003</c:v>
                </c:pt>
                <c:pt idx="28">
                  <c:v>0.49199999999999999</c:v>
                </c:pt>
                <c:pt idx="29">
                  <c:v>0.48799999999999999</c:v>
                </c:pt>
                <c:pt idx="30">
                  <c:v>0.49249999999999999</c:v>
                </c:pt>
                <c:pt idx="31">
                  <c:v>0.50650000000000006</c:v>
                </c:pt>
                <c:pt idx="32">
                  <c:v>0.52249999999999996</c:v>
                </c:pt>
                <c:pt idx="33">
                  <c:v>0.50750000000000006</c:v>
                </c:pt>
                <c:pt idx="34">
                  <c:v>0.52800000000000002</c:v>
                </c:pt>
                <c:pt idx="35">
                  <c:v>0.48849999999999999</c:v>
                </c:pt>
                <c:pt idx="36">
                  <c:v>0.49299999999999999</c:v>
                </c:pt>
                <c:pt idx="37">
                  <c:v>0.50550000000000006</c:v>
                </c:pt>
                <c:pt idx="38">
                  <c:v>0.50450000000000006</c:v>
                </c:pt>
                <c:pt idx="39">
                  <c:v>0.52350000000000008</c:v>
                </c:pt>
                <c:pt idx="40">
                  <c:v>0.52849999999999997</c:v>
                </c:pt>
                <c:pt idx="41">
                  <c:v>0.59000000000000008</c:v>
                </c:pt>
                <c:pt idx="42">
                  <c:v>0.60200000000000009</c:v>
                </c:pt>
                <c:pt idx="43">
                  <c:v>0.57400000000000007</c:v>
                </c:pt>
                <c:pt idx="44">
                  <c:v>0.60950000000000004</c:v>
                </c:pt>
                <c:pt idx="45">
                  <c:v>0.64250000000000007</c:v>
                </c:pt>
                <c:pt idx="46">
                  <c:v>0.60699999999999998</c:v>
                </c:pt>
                <c:pt idx="47">
                  <c:v>0.69950000000000001</c:v>
                </c:pt>
                <c:pt idx="48">
                  <c:v>0.88149999999999995</c:v>
                </c:pt>
                <c:pt idx="49">
                  <c:v>0.72900000000000009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392160"/>
        <c:axId val="150392720"/>
      </c:lineChart>
      <c:dateAx>
        <c:axId val="15039216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50392720"/>
        <c:crosses val="autoZero"/>
        <c:auto val="1"/>
        <c:lblOffset val="100"/>
        <c:baseTimeUnit val="months"/>
        <c:majorUnit val="4"/>
        <c:majorTimeUnit val="months"/>
        <c:minorUnit val="2"/>
        <c:minorTimeUnit val="months"/>
      </c:dateAx>
      <c:valAx>
        <c:axId val="150392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$/MMBtu</a:t>
                </a:r>
              </a:p>
            </c:rich>
          </c:tx>
          <c:layout>
            <c:manualLayout>
              <c:xMode val="edge"/>
              <c:yMode val="edge"/>
              <c:x val="3.2258096272224937E-2"/>
              <c:y val="0.28519905869080459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_);\(#,##0.0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50392160"/>
        <c:crosses val="autoZero"/>
        <c:crossBetween val="midCat"/>
      </c:valAx>
      <c:spPr>
        <a:gradFill rotWithShape="0">
          <a:gsLst>
            <a:gs pos="0">
              <a:srgbClr xmlns:mc="http://schemas.openxmlformats.org/markup-compatibility/2006" xmlns:a14="http://schemas.microsoft.com/office/drawing/2010/main" val="C0C0C0" mc:Ignorable="a14" a14:legacySpreadsheetColorIndex="22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xmlns:mc="http://schemas.openxmlformats.org/markup-compatibility/2006" xmlns:a14="http://schemas.microsoft.com/office/drawing/2010/main" val="C0C0C0" mc:Ignorable="a14" a14:legacySpreadsheetColorIndex="22"/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338726746320907"/>
          <c:y val="0.8844780934081915"/>
          <c:w val="0.76411365544832832"/>
          <c:h val="9.025286667430525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40" b="0" i="0" u="none" strike="noStrike" baseline="0">
              <a:solidFill>
                <a:srgbClr val="000000"/>
              </a:solidFill>
              <a:latin typeface="Arial Narrow"/>
              <a:ea typeface="Arial Narrow"/>
              <a:cs typeface="Arial Narrow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733887441216688"/>
          <c:y val="9.7473096008249674E-2"/>
          <c:w val="0.7802427035844407"/>
          <c:h val="0.56317788804766478"/>
        </c:manualLayout>
      </c:layout>
      <c:areaChart>
        <c:grouping val="stacked"/>
        <c:varyColors val="0"/>
        <c:ser>
          <c:idx val="2"/>
          <c:order val="2"/>
          <c:tx>
            <c:strRef>
              <c:f>'Kern - Opal to PG&amp;E'!$J$21</c:f>
              <c:strCache>
                <c:ptCount val="1"/>
                <c:pt idx="0">
                  <c:v>Tranport Value</c:v>
                </c:pt>
              </c:strCache>
            </c:strRef>
          </c:tx>
          <c:spPr>
            <a:solidFill>
              <a:srgbClr val="969696"/>
            </a:solidFill>
            <a:ln w="25400">
              <a:noFill/>
            </a:ln>
          </c:spPr>
          <c:val>
            <c:numRef>
              <c:f>'Kern - Opal to PG&amp;E'!$J$23:$J$72</c:f>
              <c:numCache>
                <c:formatCode>"$"#,##0.000_);\("$"#,##0.000\)</c:formatCode>
                <c:ptCount val="50"/>
                <c:pt idx="0">
                  <c:v>-1.0017475</c:v>
                </c:pt>
                <c:pt idx="1">
                  <c:v>-0.60831502513966407</c:v>
                </c:pt>
                <c:pt idx="2">
                  <c:v>-0.54016221621621585</c:v>
                </c:pt>
                <c:pt idx="3">
                  <c:v>-0.16068318877551024</c:v>
                </c:pt>
                <c:pt idx="4">
                  <c:v>-0.37867980332986528</c:v>
                </c:pt>
                <c:pt idx="5">
                  <c:v>-9.2954523456790117E-2</c:v>
                </c:pt>
                <c:pt idx="6">
                  <c:v>-0.25669180033733929</c:v>
                </c:pt>
                <c:pt idx="7">
                  <c:v>-0.11469999190229663</c:v>
                </c:pt>
                <c:pt idx="8">
                  <c:v>-0.21492192522441667</c:v>
                </c:pt>
                <c:pt idx="9">
                  <c:v>0.25445693336808595</c:v>
                </c:pt>
                <c:pt idx="10">
                  <c:v>-1.101867982456141</c:v>
                </c:pt>
                <c:pt idx="11">
                  <c:v>-0.50245077016129014</c:v>
                </c:pt>
                <c:pt idx="12">
                  <c:v>-0.61537019574468066</c:v>
                </c:pt>
                <c:pt idx="13">
                  <c:v>-0.46996999521072658</c:v>
                </c:pt>
                <c:pt idx="14">
                  <c:v>-0.23931080815109285</c:v>
                </c:pt>
                <c:pt idx="15">
                  <c:v>-0.49988593412162152</c:v>
                </c:pt>
                <c:pt idx="16">
                  <c:v>-0.57759550000000004</c:v>
                </c:pt>
                <c:pt idx="17">
                  <c:v>-0.42948873333333348</c:v>
                </c:pt>
                <c:pt idx="18">
                  <c:v>-4.2114516666666657E-2</c:v>
                </c:pt>
                <c:pt idx="19">
                  <c:v>-0.19234788709677531</c:v>
                </c:pt>
                <c:pt idx="20">
                  <c:v>-0.14282275862069105</c:v>
                </c:pt>
                <c:pt idx="21">
                  <c:v>-0.11421666129032193</c:v>
                </c:pt>
                <c:pt idx="22">
                  <c:v>-0.27957112499999881</c:v>
                </c:pt>
                <c:pt idx="23">
                  <c:v>-0.31526443103448298</c:v>
                </c:pt>
                <c:pt idx="24">
                  <c:v>-0.58230749999999987</c:v>
                </c:pt>
                <c:pt idx="25">
                  <c:v>-0.54575699999999949</c:v>
                </c:pt>
                <c:pt idx="26">
                  <c:v>-0.44037000000000004</c:v>
                </c:pt>
                <c:pt idx="27">
                  <c:v>-0.11826575000000017</c:v>
                </c:pt>
                <c:pt idx="28">
                  <c:v>-0.44409651612903289</c:v>
                </c:pt>
                <c:pt idx="29">
                  <c:v>-0.34622106666666641</c:v>
                </c:pt>
                <c:pt idx="30">
                  <c:v>-0.38903945161290321</c:v>
                </c:pt>
                <c:pt idx="31">
                  <c:v>-0.30890806451612973</c:v>
                </c:pt>
                <c:pt idx="32">
                  <c:v>-0.65119845000000043</c:v>
                </c:pt>
                <c:pt idx="33">
                  <c:v>-0.11562485483870977</c:v>
                </c:pt>
                <c:pt idx="34">
                  <c:v>-1.0763426666666671</c:v>
                </c:pt>
                <c:pt idx="35">
                  <c:v>-0.45840608064516142</c:v>
                </c:pt>
                <c:pt idx="36">
                  <c:v>-0.5806026451612899</c:v>
                </c:pt>
                <c:pt idx="37">
                  <c:v>-0.5594091896551705</c:v>
                </c:pt>
                <c:pt idx="38">
                  <c:v>-0.2636305000000001</c:v>
                </c:pt>
                <c:pt idx="39">
                  <c:v>-0.50108450000000015</c:v>
                </c:pt>
                <c:pt idx="40">
                  <c:v>4.2872870967742283E-2</c:v>
                </c:pt>
                <c:pt idx="41">
                  <c:v>0.13314979999999965</c:v>
                </c:pt>
                <c:pt idx="42">
                  <c:v>-0.47962241935483851</c:v>
                </c:pt>
                <c:pt idx="43">
                  <c:v>0.82660301612903153</c:v>
                </c:pt>
                <c:pt idx="44">
                  <c:v>1.5086775666666681</c:v>
                </c:pt>
                <c:pt idx="45">
                  <c:v>0.33605261290322674</c:v>
                </c:pt>
                <c:pt idx="46">
                  <c:v>4.3914857166666659</c:v>
                </c:pt>
                <c:pt idx="47">
                  <c:v>13.737447419354837</c:v>
                </c:pt>
                <c:pt idx="48">
                  <c:v>0.8771664354838693</c:v>
                </c:pt>
                <c:pt idx="49">
                  <c:v>3.7562598181818156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388240"/>
        <c:axId val="150388800"/>
      </c:areaChart>
      <c:lineChart>
        <c:grouping val="standard"/>
        <c:varyColors val="0"/>
        <c:ser>
          <c:idx val="0"/>
          <c:order val="0"/>
          <c:tx>
            <c:strRef>
              <c:f>'Kern - Opal to PG&amp;E'!$F$21</c:f>
              <c:strCache>
                <c:ptCount val="1"/>
                <c:pt idx="0">
                  <c:v>OPAL/PG&amp;E Spread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'Kern - Opal to PG&amp;E'!$A$23:$A$72</c:f>
              <c:numCache>
                <c:formatCode>mmm\-yy</c:formatCode>
                <c:ptCount val="50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  <c:pt idx="48">
                  <c:v>36892</c:v>
                </c:pt>
                <c:pt idx="49">
                  <c:v>36923</c:v>
                </c:pt>
              </c:numCache>
            </c:numRef>
          </c:cat>
          <c:val>
            <c:numRef>
              <c:f>'Kern - Opal to PG&amp;E'!$F$23:$F$72</c:f>
              <c:numCache>
                <c:formatCode>"$"#,##0.000_);\("$"#,##0.000\)</c:formatCode>
                <c:ptCount val="50"/>
                <c:pt idx="0">
                  <c:v>-7.5000000000000178E-2</c:v>
                </c:pt>
                <c:pt idx="1">
                  <c:v>0.27105746209098225</c:v>
                </c:pt>
                <c:pt idx="2">
                  <c:v>0.30513513513513546</c:v>
                </c:pt>
                <c:pt idx="3">
                  <c:v>0.69142128279883375</c:v>
                </c:pt>
                <c:pt idx="4">
                  <c:v>0.4765408057083389</c:v>
                </c:pt>
                <c:pt idx="5">
                  <c:v>0.76101234567901233</c:v>
                </c:pt>
                <c:pt idx="6">
                  <c:v>0.59377187434113421</c:v>
                </c:pt>
                <c:pt idx="7">
                  <c:v>0.73589273861675286</c:v>
                </c:pt>
                <c:pt idx="8">
                  <c:v>0.63765798922800698</c:v>
                </c:pt>
                <c:pt idx="9">
                  <c:v>1.132296393965412</c:v>
                </c:pt>
                <c:pt idx="10">
                  <c:v>-0.21491228070175517</c:v>
                </c:pt>
                <c:pt idx="11">
                  <c:v>0.35995967741935497</c:v>
                </c:pt>
                <c:pt idx="12">
                  <c:v>0.24885106382978739</c:v>
                </c:pt>
                <c:pt idx="13">
                  <c:v>0.38551860974274899</c:v>
                </c:pt>
                <c:pt idx="14">
                  <c:v>0.62521868787276391</c:v>
                </c:pt>
                <c:pt idx="15">
                  <c:v>0.36163851351351362</c:v>
                </c:pt>
                <c:pt idx="16">
                  <c:v>0.28499999999999992</c:v>
                </c:pt>
                <c:pt idx="17">
                  <c:v>0.42533333333333312</c:v>
                </c:pt>
                <c:pt idx="18">
                  <c:v>0.8171666666666666</c:v>
                </c:pt>
                <c:pt idx="19">
                  <c:v>0.66822580645161178</c:v>
                </c:pt>
                <c:pt idx="20">
                  <c:v>0.71413793103448131</c:v>
                </c:pt>
                <c:pt idx="21">
                  <c:v>0.74467741935483933</c:v>
                </c:pt>
                <c:pt idx="22">
                  <c:v>0.58839285714285827</c:v>
                </c:pt>
                <c:pt idx="23">
                  <c:v>0.55189655172413765</c:v>
                </c:pt>
                <c:pt idx="24">
                  <c:v>0.27500000000000013</c:v>
                </c:pt>
                <c:pt idx="25">
                  <c:v>0.30714285714285761</c:v>
                </c:pt>
                <c:pt idx="26">
                  <c:v>0.40999999999999992</c:v>
                </c:pt>
                <c:pt idx="27">
                  <c:v>0.73749999999999982</c:v>
                </c:pt>
                <c:pt idx="28">
                  <c:v>0.42096774193548314</c:v>
                </c:pt>
                <c:pt idx="29">
                  <c:v>0.51866666666666683</c:v>
                </c:pt>
                <c:pt idx="30">
                  <c:v>0.47709677419354835</c:v>
                </c:pt>
                <c:pt idx="31">
                  <c:v>0.56387096774193468</c:v>
                </c:pt>
                <c:pt idx="32">
                  <c:v>0.22849999999999948</c:v>
                </c:pt>
                <c:pt idx="33">
                  <c:v>0.766290322580645</c:v>
                </c:pt>
                <c:pt idx="34">
                  <c:v>-0.1933333333333338</c:v>
                </c:pt>
                <c:pt idx="35">
                  <c:v>0.4098387096774192</c:v>
                </c:pt>
                <c:pt idx="36">
                  <c:v>0.28870967741935516</c:v>
                </c:pt>
                <c:pt idx="37">
                  <c:v>0.31603448275862256</c:v>
                </c:pt>
                <c:pt idx="38">
                  <c:v>0.61499999999999977</c:v>
                </c:pt>
                <c:pt idx="39">
                  <c:v>0.38499999999999979</c:v>
                </c:pt>
                <c:pt idx="40">
                  <c:v>0.93774193548387119</c:v>
                </c:pt>
                <c:pt idx="41">
                  <c:v>1.0559999999999996</c:v>
                </c:pt>
                <c:pt idx="42">
                  <c:v>0.44516129032258078</c:v>
                </c:pt>
                <c:pt idx="43">
                  <c:v>1.7440322580645153</c:v>
                </c:pt>
                <c:pt idx="44">
                  <c:v>2.4463333333333348</c:v>
                </c:pt>
                <c:pt idx="45">
                  <c:v>1.2832258064516138</c:v>
                </c:pt>
                <c:pt idx="46">
                  <c:v>5.3968333333333325</c:v>
                </c:pt>
                <c:pt idx="47">
                  <c:v>14.924838709677417</c:v>
                </c:pt>
                <c:pt idx="48">
                  <c:v>1.9688709677419336</c:v>
                </c:pt>
                <c:pt idx="49">
                  <c:v>4.8154545454545428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'Kern - Opal to PG&amp;E'!$H$21</c:f>
              <c:strCache>
                <c:ptCount val="1"/>
                <c:pt idx="0">
                  <c:v>Kern/PG&amp;E Toll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'Kern - Opal to PG&amp;E'!$H$23:$H$72</c:f>
              <c:numCache>
                <c:formatCode>"$"#,##0.000_);\("$"#,##0.000\)</c:formatCode>
                <c:ptCount val="50"/>
                <c:pt idx="0">
                  <c:v>0.92674749999999995</c:v>
                </c:pt>
                <c:pt idx="1">
                  <c:v>0.87937248723064632</c:v>
                </c:pt>
                <c:pt idx="2">
                  <c:v>0.84529735135135131</c:v>
                </c:pt>
                <c:pt idx="3">
                  <c:v>0.85210447157434399</c:v>
                </c:pt>
                <c:pt idx="4">
                  <c:v>0.85522060903820418</c:v>
                </c:pt>
                <c:pt idx="5">
                  <c:v>0.85396686913580244</c:v>
                </c:pt>
                <c:pt idx="6">
                  <c:v>0.8504636746784735</c:v>
                </c:pt>
                <c:pt idx="7">
                  <c:v>0.85059273051904949</c:v>
                </c:pt>
                <c:pt idx="8">
                  <c:v>0.85257991445242365</c:v>
                </c:pt>
                <c:pt idx="9">
                  <c:v>0.87783946059732609</c:v>
                </c:pt>
                <c:pt idx="10">
                  <c:v>0.88695570175438587</c:v>
                </c:pt>
                <c:pt idx="11">
                  <c:v>0.86241044758064511</c:v>
                </c:pt>
                <c:pt idx="12">
                  <c:v>0.86422125957446805</c:v>
                </c:pt>
                <c:pt idx="13">
                  <c:v>0.85548860495347556</c:v>
                </c:pt>
                <c:pt idx="14">
                  <c:v>0.86452949602385676</c:v>
                </c:pt>
                <c:pt idx="15">
                  <c:v>0.86152444763513514</c:v>
                </c:pt>
                <c:pt idx="16">
                  <c:v>0.86259549999999996</c:v>
                </c:pt>
                <c:pt idx="17">
                  <c:v>0.8548220666666666</c:v>
                </c:pt>
                <c:pt idx="18">
                  <c:v>0.85928118333333325</c:v>
                </c:pt>
                <c:pt idx="19">
                  <c:v>0.86057369354838709</c:v>
                </c:pt>
                <c:pt idx="20">
                  <c:v>0.85696068965517236</c:v>
                </c:pt>
                <c:pt idx="21">
                  <c:v>0.85889408064516126</c:v>
                </c:pt>
                <c:pt idx="22">
                  <c:v>0.86796398214285708</c:v>
                </c:pt>
                <c:pt idx="23">
                  <c:v>0.86716098275862064</c:v>
                </c:pt>
                <c:pt idx="24">
                  <c:v>0.8573075</c:v>
                </c:pt>
                <c:pt idx="25">
                  <c:v>0.8528998571428571</c:v>
                </c:pt>
                <c:pt idx="26">
                  <c:v>0.85036999999999996</c:v>
                </c:pt>
                <c:pt idx="27">
                  <c:v>0.85576574999999999</c:v>
                </c:pt>
                <c:pt idx="28">
                  <c:v>0.86506425806451603</c:v>
                </c:pt>
                <c:pt idx="29">
                  <c:v>0.86488773333333324</c:v>
                </c:pt>
                <c:pt idx="30">
                  <c:v>0.86613622580645155</c:v>
                </c:pt>
                <c:pt idx="31">
                  <c:v>0.87277903225806441</c:v>
                </c:pt>
                <c:pt idx="32">
                  <c:v>0.87969844999999991</c:v>
                </c:pt>
                <c:pt idx="33">
                  <c:v>0.88191517741935477</c:v>
                </c:pt>
                <c:pt idx="34">
                  <c:v>0.8830093333333332</c:v>
                </c:pt>
                <c:pt idx="35">
                  <c:v>0.86824479032258062</c:v>
                </c:pt>
                <c:pt idx="36">
                  <c:v>0.86931232258064506</c:v>
                </c:pt>
                <c:pt idx="37">
                  <c:v>0.87544367241379306</c:v>
                </c:pt>
                <c:pt idx="38">
                  <c:v>0.87863049999999987</c:v>
                </c:pt>
                <c:pt idx="39">
                  <c:v>0.88608449999999994</c:v>
                </c:pt>
                <c:pt idx="40">
                  <c:v>0.89486906451612891</c:v>
                </c:pt>
                <c:pt idx="41">
                  <c:v>0.92285019999999995</c:v>
                </c:pt>
                <c:pt idx="42">
                  <c:v>0.9247837096774193</c:v>
                </c:pt>
                <c:pt idx="43">
                  <c:v>0.91742924193548381</c:v>
                </c:pt>
                <c:pt idx="44">
                  <c:v>0.93765576666666672</c:v>
                </c:pt>
                <c:pt idx="45">
                  <c:v>0.94717319354838703</c:v>
                </c:pt>
                <c:pt idx="46">
                  <c:v>1.0053476166666666</c:v>
                </c:pt>
                <c:pt idx="47">
                  <c:v>1.1873912903225805</c:v>
                </c:pt>
                <c:pt idx="48">
                  <c:v>1.0917045322580643</c:v>
                </c:pt>
                <c:pt idx="49">
                  <c:v>1.0591947272727271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388240"/>
        <c:axId val="150388800"/>
      </c:lineChart>
      <c:dateAx>
        <c:axId val="15038824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50388800"/>
        <c:crosses val="autoZero"/>
        <c:auto val="1"/>
        <c:lblOffset val="100"/>
        <c:baseTimeUnit val="months"/>
        <c:majorUnit val="4"/>
        <c:majorTimeUnit val="months"/>
        <c:minorUnit val="2"/>
        <c:minorTimeUnit val="months"/>
      </c:dateAx>
      <c:valAx>
        <c:axId val="150388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$/MMBtu</a:t>
                </a:r>
              </a:p>
            </c:rich>
          </c:tx>
          <c:layout>
            <c:manualLayout>
              <c:xMode val="edge"/>
              <c:yMode val="edge"/>
              <c:x val="3.2258096272224937E-2"/>
              <c:y val="0.28519905869080459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_);\(#,##0.0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50388240"/>
        <c:crosses val="autoZero"/>
        <c:crossBetween val="midCat"/>
      </c:valAx>
      <c:spPr>
        <a:gradFill rotWithShape="0">
          <a:gsLst>
            <a:gs pos="0">
              <a:srgbClr xmlns:mc="http://schemas.openxmlformats.org/markup-compatibility/2006" xmlns:a14="http://schemas.microsoft.com/office/drawing/2010/main" val="C0C0C0" mc:Ignorable="a14" a14:legacySpreadsheetColorIndex="22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xmlns:mc="http://schemas.openxmlformats.org/markup-compatibility/2006" xmlns:a14="http://schemas.microsoft.com/office/drawing/2010/main" val="C0C0C0" mc:Ignorable="a14" a14:legacySpreadsheetColorIndex="22"/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951631559932153"/>
          <c:y val="0.8844780934081915"/>
          <c:w val="0.73387169019311738"/>
          <c:h val="9.025286667430525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40" b="0" i="0" u="none" strike="noStrike" baseline="0">
              <a:solidFill>
                <a:srgbClr val="000000"/>
              </a:solidFill>
              <a:latin typeface="Arial Narrow"/>
              <a:ea typeface="Arial Narrow"/>
              <a:cs typeface="Arial Narrow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330661237813876"/>
          <c:y val="9.7473096008249674E-2"/>
          <c:w val="0.78427496561846888"/>
          <c:h val="0.56317788804766478"/>
        </c:manualLayout>
      </c:layout>
      <c:areaChart>
        <c:grouping val="stacked"/>
        <c:varyColors val="0"/>
        <c:ser>
          <c:idx val="2"/>
          <c:order val="2"/>
          <c:tx>
            <c:strRef>
              <c:f>'TW - Perm to SoCal'!$J$21</c:f>
              <c:strCache>
                <c:ptCount val="1"/>
                <c:pt idx="0">
                  <c:v>Tranport Value</c:v>
                </c:pt>
              </c:strCache>
            </c:strRef>
          </c:tx>
          <c:spPr>
            <a:solidFill>
              <a:srgbClr val="969696"/>
            </a:solidFill>
            <a:ln w="25400">
              <a:noFill/>
            </a:ln>
          </c:spPr>
          <c:val>
            <c:numRef>
              <c:f>'TW - Perm to SoCal'!$J$23:$J$72</c:f>
              <c:numCache>
                <c:formatCode>"$"#,##0.000_);\("$"#,##0.000\)</c:formatCode>
                <c:ptCount val="50"/>
                <c:pt idx="0">
                  <c:v>-0.629</c:v>
                </c:pt>
                <c:pt idx="1">
                  <c:v>-0.41900000000000015</c:v>
                </c:pt>
                <c:pt idx="2">
                  <c:v>-0.41</c:v>
                </c:pt>
                <c:pt idx="3">
                  <c:v>-0.32450000000000012</c:v>
                </c:pt>
                <c:pt idx="4">
                  <c:v>-0.34849999999999992</c:v>
                </c:pt>
                <c:pt idx="5">
                  <c:v>-0.32649999999999985</c:v>
                </c:pt>
                <c:pt idx="6">
                  <c:v>-0.32350000000000012</c:v>
                </c:pt>
                <c:pt idx="7">
                  <c:v>-0.30649999999999983</c:v>
                </c:pt>
                <c:pt idx="8">
                  <c:v>-0.40149999999999997</c:v>
                </c:pt>
                <c:pt idx="9">
                  <c:v>-0.27600000000000002</c:v>
                </c:pt>
                <c:pt idx="10">
                  <c:v>-0.22699999999999998</c:v>
                </c:pt>
                <c:pt idx="11">
                  <c:v>-0.40400000000000014</c:v>
                </c:pt>
                <c:pt idx="12">
                  <c:v>-0.33849999999999963</c:v>
                </c:pt>
                <c:pt idx="13">
                  <c:v>-0.25750000000000028</c:v>
                </c:pt>
                <c:pt idx="14">
                  <c:v>-0.22749999999999976</c:v>
                </c:pt>
                <c:pt idx="15">
                  <c:v>-0.25149999999999978</c:v>
                </c:pt>
                <c:pt idx="16">
                  <c:v>-0.24</c:v>
                </c:pt>
                <c:pt idx="17">
                  <c:v>-0.25850000000000006</c:v>
                </c:pt>
                <c:pt idx="18">
                  <c:v>-0.42249999999999971</c:v>
                </c:pt>
                <c:pt idx="19">
                  <c:v>-0.14100000000000013</c:v>
                </c:pt>
                <c:pt idx="20">
                  <c:v>-5.3500000000000103E-2</c:v>
                </c:pt>
                <c:pt idx="21">
                  <c:v>-0.55849999999999977</c:v>
                </c:pt>
                <c:pt idx="22">
                  <c:v>-0.14349999999999996</c:v>
                </c:pt>
                <c:pt idx="23">
                  <c:v>-0.19350000000000023</c:v>
                </c:pt>
                <c:pt idx="24">
                  <c:v>-0.191</c:v>
                </c:pt>
                <c:pt idx="25">
                  <c:v>-0.31749999999999989</c:v>
                </c:pt>
                <c:pt idx="26">
                  <c:v>-0.3025000000000001</c:v>
                </c:pt>
                <c:pt idx="27">
                  <c:v>-0.33699999999999991</c:v>
                </c:pt>
                <c:pt idx="28">
                  <c:v>-0.42200000000000015</c:v>
                </c:pt>
                <c:pt idx="29">
                  <c:v>-0.34799999999999986</c:v>
                </c:pt>
                <c:pt idx="30">
                  <c:v>-0.28250000000000003</c:v>
                </c:pt>
                <c:pt idx="31">
                  <c:v>-0.36650000000000038</c:v>
                </c:pt>
                <c:pt idx="32">
                  <c:v>-0.36249999999999982</c:v>
                </c:pt>
                <c:pt idx="33">
                  <c:v>-0.27750000000000008</c:v>
                </c:pt>
                <c:pt idx="34">
                  <c:v>-0.34799999999999986</c:v>
                </c:pt>
                <c:pt idx="35">
                  <c:v>-0.16849999999999971</c:v>
                </c:pt>
                <c:pt idx="36">
                  <c:v>-0.29300000000000026</c:v>
                </c:pt>
                <c:pt idx="37">
                  <c:v>-0.3855000000000004</c:v>
                </c:pt>
                <c:pt idx="38">
                  <c:v>-0.33450000000000013</c:v>
                </c:pt>
                <c:pt idx="39">
                  <c:v>-0.27350000000000008</c:v>
                </c:pt>
                <c:pt idx="40">
                  <c:v>-0.37850000000000006</c:v>
                </c:pt>
                <c:pt idx="41">
                  <c:v>-0.40000000000000058</c:v>
                </c:pt>
                <c:pt idx="42">
                  <c:v>-6.2000000000000055E-2</c:v>
                </c:pt>
                <c:pt idx="43">
                  <c:v>0.18599999999999972</c:v>
                </c:pt>
                <c:pt idx="44">
                  <c:v>1.8805000000000001</c:v>
                </c:pt>
                <c:pt idx="45">
                  <c:v>-0.24249999999999972</c:v>
                </c:pt>
                <c:pt idx="46">
                  <c:v>0.13300000000000023</c:v>
                </c:pt>
                <c:pt idx="47">
                  <c:v>6.8005000000000013</c:v>
                </c:pt>
                <c:pt idx="48">
                  <c:v>5.2984999999999998</c:v>
                </c:pt>
                <c:pt idx="49">
                  <c:v>4.9409999999999998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728032"/>
        <c:axId val="150728592"/>
      </c:areaChart>
      <c:lineChart>
        <c:grouping val="standard"/>
        <c:varyColors val="0"/>
        <c:ser>
          <c:idx val="0"/>
          <c:order val="0"/>
          <c:tx>
            <c:strRef>
              <c:f>'TW - Perm to SoCal'!$F$21</c:f>
              <c:strCache>
                <c:ptCount val="1"/>
                <c:pt idx="0">
                  <c:v>Permian/SoCal Spread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'TW - Perm to SoCal'!$A$23:$A$72</c:f>
              <c:numCache>
                <c:formatCode>mmm\-yy</c:formatCode>
                <c:ptCount val="50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  <c:pt idx="48">
                  <c:v>36892</c:v>
                </c:pt>
                <c:pt idx="49">
                  <c:v>36923</c:v>
                </c:pt>
              </c:numCache>
            </c:numRef>
          </c:cat>
          <c:val>
            <c:numRef>
              <c:f>'TW - Perm to SoCal'!$F$23:$F$72</c:f>
              <c:numCache>
                <c:formatCode>"$"#,##0.000_);\("$"#,##0.000\)</c:formatCode>
                <c:ptCount val="50"/>
                <c:pt idx="0">
                  <c:v>-4.0000000000000036E-2</c:v>
                </c:pt>
                <c:pt idx="1">
                  <c:v>8.9999999999999858E-2</c:v>
                </c:pt>
                <c:pt idx="2">
                  <c:v>5.0000000000000044E-2</c:v>
                </c:pt>
                <c:pt idx="3">
                  <c:v>0.1399999999999999</c:v>
                </c:pt>
                <c:pt idx="4">
                  <c:v>0.13000000000000012</c:v>
                </c:pt>
                <c:pt idx="5">
                  <c:v>0.16000000000000014</c:v>
                </c:pt>
                <c:pt idx="6">
                  <c:v>0.15999999999999992</c:v>
                </c:pt>
                <c:pt idx="7">
                  <c:v>0.18000000000000016</c:v>
                </c:pt>
                <c:pt idx="8">
                  <c:v>0.10000000000000009</c:v>
                </c:pt>
                <c:pt idx="9">
                  <c:v>0.25</c:v>
                </c:pt>
                <c:pt idx="10">
                  <c:v>0.31000000000000005</c:v>
                </c:pt>
                <c:pt idx="11">
                  <c:v>8.9999999999999858E-2</c:v>
                </c:pt>
                <c:pt idx="12">
                  <c:v>0.15000000000000036</c:v>
                </c:pt>
                <c:pt idx="13">
                  <c:v>0.21999999999999975</c:v>
                </c:pt>
                <c:pt idx="14">
                  <c:v>0.26000000000000023</c:v>
                </c:pt>
                <c:pt idx="15">
                  <c:v>0.24000000000000021</c:v>
                </c:pt>
                <c:pt idx="16">
                  <c:v>0.25</c:v>
                </c:pt>
                <c:pt idx="17">
                  <c:v>0.21999999999999997</c:v>
                </c:pt>
                <c:pt idx="18">
                  <c:v>7.0000000000000284E-2</c:v>
                </c:pt>
                <c:pt idx="19">
                  <c:v>0.33999999999999986</c:v>
                </c:pt>
                <c:pt idx="20">
                  <c:v>0.40999999999999992</c:v>
                </c:pt>
                <c:pt idx="21">
                  <c:v>-6.999999999999984E-2</c:v>
                </c:pt>
                <c:pt idx="22">
                  <c:v>0.34000000000000008</c:v>
                </c:pt>
                <c:pt idx="23">
                  <c:v>0.28999999999999981</c:v>
                </c:pt>
                <c:pt idx="24">
                  <c:v>0.28000000000000003</c:v>
                </c:pt>
                <c:pt idx="25">
                  <c:v>0.15000000000000013</c:v>
                </c:pt>
                <c:pt idx="26">
                  <c:v>0.15999999999999992</c:v>
                </c:pt>
                <c:pt idx="27">
                  <c:v>0.13000000000000012</c:v>
                </c:pt>
                <c:pt idx="28">
                  <c:v>6.999999999999984E-2</c:v>
                </c:pt>
                <c:pt idx="29">
                  <c:v>0.14000000000000012</c:v>
                </c:pt>
                <c:pt idx="30">
                  <c:v>0.20999999999999996</c:v>
                </c:pt>
                <c:pt idx="31">
                  <c:v>0.13999999999999968</c:v>
                </c:pt>
                <c:pt idx="32">
                  <c:v>0.16000000000000014</c:v>
                </c:pt>
                <c:pt idx="33">
                  <c:v>0.22999999999999998</c:v>
                </c:pt>
                <c:pt idx="34">
                  <c:v>0.18000000000000016</c:v>
                </c:pt>
                <c:pt idx="35">
                  <c:v>0.32000000000000028</c:v>
                </c:pt>
                <c:pt idx="36">
                  <c:v>0.19999999999999973</c:v>
                </c:pt>
                <c:pt idx="37">
                  <c:v>0.11999999999999966</c:v>
                </c:pt>
                <c:pt idx="38">
                  <c:v>0.16999999999999993</c:v>
                </c:pt>
                <c:pt idx="39">
                  <c:v>0.25</c:v>
                </c:pt>
                <c:pt idx="40">
                  <c:v>0.14999999999999991</c:v>
                </c:pt>
                <c:pt idx="41">
                  <c:v>0.1899999999999995</c:v>
                </c:pt>
                <c:pt idx="42">
                  <c:v>0.54</c:v>
                </c:pt>
                <c:pt idx="43">
                  <c:v>0.75999999999999979</c:v>
                </c:pt>
                <c:pt idx="44">
                  <c:v>2.4900000000000002</c:v>
                </c:pt>
                <c:pt idx="45">
                  <c:v>0.40000000000000036</c:v>
                </c:pt>
                <c:pt idx="46">
                  <c:v>0.74000000000000021</c:v>
                </c:pt>
                <c:pt idx="47">
                  <c:v>7.5000000000000009</c:v>
                </c:pt>
                <c:pt idx="48">
                  <c:v>6.18</c:v>
                </c:pt>
                <c:pt idx="49">
                  <c:v>5.67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'TW - Perm to SoCal'!$H$21</c:f>
              <c:strCache>
                <c:ptCount val="1"/>
                <c:pt idx="0">
                  <c:v>Transwestern Toll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'TW - Perm to SoCal'!$H$23:$H$72</c:f>
              <c:numCache>
                <c:formatCode>"$"#,##0.000_);\("$"#,##0.000\)</c:formatCode>
                <c:ptCount val="50"/>
                <c:pt idx="0">
                  <c:v>0.58899999999999997</c:v>
                </c:pt>
                <c:pt idx="1">
                  <c:v>0.50900000000000001</c:v>
                </c:pt>
                <c:pt idx="2">
                  <c:v>0.46</c:v>
                </c:pt>
                <c:pt idx="3">
                  <c:v>0.46450000000000002</c:v>
                </c:pt>
                <c:pt idx="4">
                  <c:v>0.47850000000000004</c:v>
                </c:pt>
                <c:pt idx="5">
                  <c:v>0.48649999999999999</c:v>
                </c:pt>
                <c:pt idx="6">
                  <c:v>0.48350000000000004</c:v>
                </c:pt>
                <c:pt idx="7">
                  <c:v>0.48649999999999999</c:v>
                </c:pt>
                <c:pt idx="8">
                  <c:v>0.50150000000000006</c:v>
                </c:pt>
                <c:pt idx="9">
                  <c:v>0.52600000000000002</c:v>
                </c:pt>
                <c:pt idx="10">
                  <c:v>0.53700000000000003</c:v>
                </c:pt>
                <c:pt idx="11">
                  <c:v>0.49399999999999999</c:v>
                </c:pt>
                <c:pt idx="12">
                  <c:v>0.48849999999999999</c:v>
                </c:pt>
                <c:pt idx="13">
                  <c:v>0.47750000000000004</c:v>
                </c:pt>
                <c:pt idx="14">
                  <c:v>0.48749999999999999</c:v>
                </c:pt>
                <c:pt idx="15">
                  <c:v>0.49149999999999999</c:v>
                </c:pt>
                <c:pt idx="16">
                  <c:v>0.49</c:v>
                </c:pt>
                <c:pt idx="17">
                  <c:v>0.47850000000000004</c:v>
                </c:pt>
                <c:pt idx="18">
                  <c:v>0.49249999999999999</c:v>
                </c:pt>
                <c:pt idx="19">
                  <c:v>0.48099999999999998</c:v>
                </c:pt>
                <c:pt idx="20">
                  <c:v>0.46350000000000002</c:v>
                </c:pt>
                <c:pt idx="21">
                  <c:v>0.48849999999999999</c:v>
                </c:pt>
                <c:pt idx="22">
                  <c:v>0.48350000000000004</c:v>
                </c:pt>
                <c:pt idx="23">
                  <c:v>0.48350000000000004</c:v>
                </c:pt>
                <c:pt idx="24">
                  <c:v>0.47100000000000003</c:v>
                </c:pt>
                <c:pt idx="25">
                  <c:v>0.46750000000000003</c:v>
                </c:pt>
                <c:pt idx="26">
                  <c:v>0.46250000000000002</c:v>
                </c:pt>
                <c:pt idx="27">
                  <c:v>0.46700000000000003</c:v>
                </c:pt>
                <c:pt idx="28">
                  <c:v>0.49199999999999999</c:v>
                </c:pt>
                <c:pt idx="29">
                  <c:v>0.48799999999999999</c:v>
                </c:pt>
                <c:pt idx="30">
                  <c:v>0.49249999999999999</c:v>
                </c:pt>
                <c:pt idx="31">
                  <c:v>0.50650000000000006</c:v>
                </c:pt>
                <c:pt idx="32">
                  <c:v>0.52249999999999996</c:v>
                </c:pt>
                <c:pt idx="33">
                  <c:v>0.50750000000000006</c:v>
                </c:pt>
                <c:pt idx="34">
                  <c:v>0.52800000000000002</c:v>
                </c:pt>
                <c:pt idx="35">
                  <c:v>0.48849999999999999</c:v>
                </c:pt>
                <c:pt idx="36">
                  <c:v>0.49299999999999999</c:v>
                </c:pt>
                <c:pt idx="37">
                  <c:v>0.50550000000000006</c:v>
                </c:pt>
                <c:pt idx="38">
                  <c:v>0.50450000000000006</c:v>
                </c:pt>
                <c:pt idx="39">
                  <c:v>0.52350000000000008</c:v>
                </c:pt>
                <c:pt idx="40">
                  <c:v>0.52849999999999997</c:v>
                </c:pt>
                <c:pt idx="41">
                  <c:v>0.59000000000000008</c:v>
                </c:pt>
                <c:pt idx="42">
                  <c:v>0.60200000000000009</c:v>
                </c:pt>
                <c:pt idx="43">
                  <c:v>0.57400000000000007</c:v>
                </c:pt>
                <c:pt idx="44">
                  <c:v>0.60950000000000004</c:v>
                </c:pt>
                <c:pt idx="45">
                  <c:v>0.64250000000000007</c:v>
                </c:pt>
                <c:pt idx="46">
                  <c:v>0.60699999999999998</c:v>
                </c:pt>
                <c:pt idx="47">
                  <c:v>0.69950000000000001</c:v>
                </c:pt>
                <c:pt idx="48">
                  <c:v>0.88149999999999995</c:v>
                </c:pt>
                <c:pt idx="49">
                  <c:v>0.72900000000000009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728032"/>
        <c:axId val="150728592"/>
      </c:lineChart>
      <c:dateAx>
        <c:axId val="15072803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50728592"/>
        <c:crosses val="autoZero"/>
        <c:auto val="1"/>
        <c:lblOffset val="100"/>
        <c:baseTimeUnit val="months"/>
        <c:majorUnit val="4"/>
        <c:majorTimeUnit val="months"/>
        <c:minorUnit val="2"/>
        <c:minorTimeUnit val="months"/>
      </c:dateAx>
      <c:valAx>
        <c:axId val="1507285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$/MMBtu</a:t>
                </a:r>
              </a:p>
            </c:rich>
          </c:tx>
          <c:layout>
            <c:manualLayout>
              <c:xMode val="edge"/>
              <c:yMode val="edge"/>
              <c:x val="3.2258096272224937E-2"/>
              <c:y val="0.28519905869080459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_);\(#,##0.0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50728032"/>
        <c:crosses val="autoZero"/>
        <c:crossBetween val="midCat"/>
      </c:valAx>
      <c:spPr>
        <a:gradFill rotWithShape="0">
          <a:gsLst>
            <a:gs pos="0">
              <a:srgbClr xmlns:mc="http://schemas.openxmlformats.org/markup-compatibility/2006" xmlns:a14="http://schemas.microsoft.com/office/drawing/2010/main" val="C0C0C0" mc:Ignorable="a14" a14:legacySpreadsheetColorIndex="22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xmlns:mc="http://schemas.openxmlformats.org/markup-compatibility/2006" xmlns:a14="http://schemas.microsoft.com/office/drawing/2010/main" val="C0C0C0" mc:Ignorable="a14" a14:legacySpreadsheetColorIndex="22"/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338726746320907"/>
          <c:y val="0.8844780934081915"/>
          <c:w val="0.76411365544832832"/>
          <c:h val="9.025286667430525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40" b="0" i="0" u="none" strike="noStrike" baseline="0">
              <a:solidFill>
                <a:srgbClr val="000000"/>
              </a:solidFill>
              <a:latin typeface="Arial Narrow"/>
              <a:ea typeface="Arial Narrow"/>
              <a:cs typeface="Arial Narrow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330661237813876"/>
          <c:y val="9.7473096008249674E-2"/>
          <c:w val="0.78427496561846888"/>
          <c:h val="0.56317788804766478"/>
        </c:manualLayout>
      </c:layout>
      <c:areaChart>
        <c:grouping val="stacked"/>
        <c:varyColors val="0"/>
        <c:ser>
          <c:idx val="2"/>
          <c:order val="2"/>
          <c:tx>
            <c:strRef>
              <c:f>'EPNG - Perm to SoCal'!$J$21</c:f>
              <c:strCache>
                <c:ptCount val="1"/>
                <c:pt idx="0">
                  <c:v>Tranport Value</c:v>
                </c:pt>
              </c:strCache>
            </c:strRef>
          </c:tx>
          <c:spPr>
            <a:solidFill>
              <a:srgbClr val="969696"/>
            </a:solidFill>
            <a:ln w="25400">
              <a:noFill/>
            </a:ln>
          </c:spPr>
          <c:val>
            <c:numRef>
              <c:f>'EPNG - Perm to SoCal'!$J$23:$J$72</c:f>
              <c:numCache>
                <c:formatCode>"$"#,##0.000_);\("$"#,##0.000\)</c:formatCode>
                <c:ptCount val="50"/>
                <c:pt idx="0">
                  <c:v>-0.58140000000000036</c:v>
                </c:pt>
                <c:pt idx="1">
                  <c:v>-0.50434999999999985</c:v>
                </c:pt>
                <c:pt idx="2">
                  <c:v>-0.5293500000000001</c:v>
                </c:pt>
                <c:pt idx="3">
                  <c:v>-0.35004999999999992</c:v>
                </c:pt>
                <c:pt idx="4">
                  <c:v>-0.37019999999999997</c:v>
                </c:pt>
                <c:pt idx="5">
                  <c:v>-0.27510000000000029</c:v>
                </c:pt>
                <c:pt idx="6">
                  <c:v>-0.3237000000000001</c:v>
                </c:pt>
                <c:pt idx="7">
                  <c:v>-0.3154499999999999</c:v>
                </c:pt>
                <c:pt idx="8">
                  <c:v>-0.42664999999999997</c:v>
                </c:pt>
                <c:pt idx="9">
                  <c:v>-0.32589999999999986</c:v>
                </c:pt>
                <c:pt idx="10">
                  <c:v>-0.28290000000000004</c:v>
                </c:pt>
                <c:pt idx="11">
                  <c:v>-0.34930000000000017</c:v>
                </c:pt>
                <c:pt idx="12">
                  <c:v>-0.26545000000000007</c:v>
                </c:pt>
                <c:pt idx="13">
                  <c:v>-0.21775000000000005</c:v>
                </c:pt>
                <c:pt idx="14">
                  <c:v>-0.18474999999999997</c:v>
                </c:pt>
                <c:pt idx="15">
                  <c:v>-0.19684999999999975</c:v>
                </c:pt>
                <c:pt idx="16">
                  <c:v>-0.25720000000000032</c:v>
                </c:pt>
                <c:pt idx="17">
                  <c:v>-0.21810000000000024</c:v>
                </c:pt>
                <c:pt idx="18">
                  <c:v>-0.41930000000000001</c:v>
                </c:pt>
                <c:pt idx="19">
                  <c:v>-0.12055000000000016</c:v>
                </c:pt>
                <c:pt idx="20">
                  <c:v>-5.9350000000000347E-2</c:v>
                </c:pt>
                <c:pt idx="21">
                  <c:v>-0.24670000000000003</c:v>
                </c:pt>
                <c:pt idx="22">
                  <c:v>-7.0549999999999891E-2</c:v>
                </c:pt>
                <c:pt idx="23">
                  <c:v>-0.19300000000000023</c:v>
                </c:pt>
                <c:pt idx="24">
                  <c:v>-0.16320000000000001</c:v>
                </c:pt>
                <c:pt idx="25">
                  <c:v>-0.31144999999999989</c:v>
                </c:pt>
                <c:pt idx="26">
                  <c:v>-0.23585000000000006</c:v>
                </c:pt>
                <c:pt idx="27">
                  <c:v>-0.35179999999999995</c:v>
                </c:pt>
                <c:pt idx="28">
                  <c:v>-0.44894999999999979</c:v>
                </c:pt>
                <c:pt idx="29">
                  <c:v>-0.33579999999999988</c:v>
                </c:pt>
                <c:pt idx="30">
                  <c:v>-0.31035000000000013</c:v>
                </c:pt>
                <c:pt idx="31">
                  <c:v>-0.41084999999999994</c:v>
                </c:pt>
                <c:pt idx="32">
                  <c:v>-0.35029999999999961</c:v>
                </c:pt>
                <c:pt idx="33">
                  <c:v>-0.31084999999999985</c:v>
                </c:pt>
                <c:pt idx="34">
                  <c:v>-0.31345000000000012</c:v>
                </c:pt>
                <c:pt idx="35">
                  <c:v>-0.19754999999999978</c:v>
                </c:pt>
                <c:pt idx="36">
                  <c:v>-0.28965000000000007</c:v>
                </c:pt>
                <c:pt idx="37">
                  <c:v>-0.30595000000000033</c:v>
                </c:pt>
                <c:pt idx="38">
                  <c:v>-0.29665000000000008</c:v>
                </c:pt>
                <c:pt idx="39">
                  <c:v>-0.28169999999999984</c:v>
                </c:pt>
                <c:pt idx="40">
                  <c:v>-0.33345000000000014</c:v>
                </c:pt>
                <c:pt idx="41">
                  <c:v>-0.11915000000000053</c:v>
                </c:pt>
                <c:pt idx="42">
                  <c:v>-0.11909999999999965</c:v>
                </c:pt>
                <c:pt idx="43">
                  <c:v>0.30679999999999941</c:v>
                </c:pt>
                <c:pt idx="44">
                  <c:v>1.88775</c:v>
                </c:pt>
                <c:pt idx="45">
                  <c:v>-0.17359999999999987</c:v>
                </c:pt>
                <c:pt idx="46">
                  <c:v>3.6000000000000476E-2</c:v>
                </c:pt>
                <c:pt idx="47">
                  <c:v>6.8033500000000009</c:v>
                </c:pt>
                <c:pt idx="48">
                  <c:v>5.3947000000000003</c:v>
                </c:pt>
                <c:pt idx="49">
                  <c:v>5.2014499999999995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06400"/>
        <c:axId val="150106960"/>
      </c:areaChart>
      <c:lineChart>
        <c:grouping val="standard"/>
        <c:varyColors val="0"/>
        <c:ser>
          <c:idx val="0"/>
          <c:order val="0"/>
          <c:tx>
            <c:strRef>
              <c:f>'EPNG - Perm to SoCal'!$F$21</c:f>
              <c:strCache>
                <c:ptCount val="1"/>
                <c:pt idx="0">
                  <c:v>Permian/SoCal Spread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'EPNG - Perm to SoCal'!$A$23:$A$72</c:f>
              <c:numCache>
                <c:formatCode>mmm\-yy</c:formatCode>
                <c:ptCount val="50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  <c:pt idx="48">
                  <c:v>36892</c:v>
                </c:pt>
                <c:pt idx="49">
                  <c:v>36923</c:v>
                </c:pt>
              </c:numCache>
            </c:numRef>
          </c:cat>
          <c:val>
            <c:numRef>
              <c:f>'EPNG - Perm to SoCal'!$F$23:$F$72</c:f>
              <c:numCache>
                <c:formatCode>"$"#,##0.000_);\("$"#,##0.000\)</c:formatCode>
                <c:ptCount val="50"/>
                <c:pt idx="0">
                  <c:v>-3.0000000000000249E-2</c:v>
                </c:pt>
                <c:pt idx="1">
                  <c:v>-9.9999999999997868E-3</c:v>
                </c:pt>
                <c:pt idx="2">
                  <c:v>-7.0000000000000062E-2</c:v>
                </c:pt>
                <c:pt idx="3">
                  <c:v>0.1100000000000001</c:v>
                </c:pt>
                <c:pt idx="4">
                  <c:v>0.10000000000000009</c:v>
                </c:pt>
                <c:pt idx="5">
                  <c:v>0.19999999999999973</c:v>
                </c:pt>
                <c:pt idx="6">
                  <c:v>0.14999999999999991</c:v>
                </c:pt>
                <c:pt idx="7">
                  <c:v>0.16000000000000014</c:v>
                </c:pt>
                <c:pt idx="8">
                  <c:v>6.0000000000000053E-2</c:v>
                </c:pt>
                <c:pt idx="9">
                  <c:v>0.18000000000000016</c:v>
                </c:pt>
                <c:pt idx="10">
                  <c:v>0.22999999999999998</c:v>
                </c:pt>
                <c:pt idx="11">
                  <c:v>0.12999999999999989</c:v>
                </c:pt>
                <c:pt idx="12">
                  <c:v>0.20999999999999996</c:v>
                </c:pt>
                <c:pt idx="13">
                  <c:v>0.25</c:v>
                </c:pt>
                <c:pt idx="14">
                  <c:v>0.29000000000000004</c:v>
                </c:pt>
                <c:pt idx="15">
                  <c:v>0.28000000000000025</c:v>
                </c:pt>
                <c:pt idx="16">
                  <c:v>0.21999999999999975</c:v>
                </c:pt>
                <c:pt idx="17">
                  <c:v>0.24999999999999978</c:v>
                </c:pt>
                <c:pt idx="18">
                  <c:v>6.0000000000000053E-2</c:v>
                </c:pt>
                <c:pt idx="19">
                  <c:v>0.34999999999999987</c:v>
                </c:pt>
                <c:pt idx="20">
                  <c:v>0.39999999999999969</c:v>
                </c:pt>
                <c:pt idx="21">
                  <c:v>0.21999999999999997</c:v>
                </c:pt>
                <c:pt idx="22">
                  <c:v>0.40000000000000013</c:v>
                </c:pt>
                <c:pt idx="23">
                  <c:v>0.2799999999999998</c:v>
                </c:pt>
                <c:pt idx="24">
                  <c:v>0.30000000000000004</c:v>
                </c:pt>
                <c:pt idx="25">
                  <c:v>0.15000000000000013</c:v>
                </c:pt>
                <c:pt idx="26">
                  <c:v>0.21999999999999997</c:v>
                </c:pt>
                <c:pt idx="27">
                  <c:v>0.1100000000000001</c:v>
                </c:pt>
                <c:pt idx="28">
                  <c:v>3.0000000000000249E-2</c:v>
                </c:pt>
                <c:pt idx="29">
                  <c:v>0.14000000000000012</c:v>
                </c:pt>
                <c:pt idx="30">
                  <c:v>0.16999999999999993</c:v>
                </c:pt>
                <c:pt idx="31">
                  <c:v>8.0000000000000071E-2</c:v>
                </c:pt>
                <c:pt idx="32">
                  <c:v>0.15000000000000036</c:v>
                </c:pt>
                <c:pt idx="33">
                  <c:v>0.18000000000000016</c:v>
                </c:pt>
                <c:pt idx="34">
                  <c:v>0.18999999999999995</c:v>
                </c:pt>
                <c:pt idx="35">
                  <c:v>0.28000000000000025</c:v>
                </c:pt>
                <c:pt idx="36">
                  <c:v>0.18999999999999995</c:v>
                </c:pt>
                <c:pt idx="37">
                  <c:v>0.17999999999999972</c:v>
                </c:pt>
                <c:pt idx="38">
                  <c:v>0.18999999999999995</c:v>
                </c:pt>
                <c:pt idx="39">
                  <c:v>0.2200000000000002</c:v>
                </c:pt>
                <c:pt idx="40">
                  <c:v>0.16999999999999993</c:v>
                </c:pt>
                <c:pt idx="41">
                  <c:v>0.41999999999999948</c:v>
                </c:pt>
                <c:pt idx="42">
                  <c:v>0.44000000000000039</c:v>
                </c:pt>
                <c:pt idx="43">
                  <c:v>0.83999999999999941</c:v>
                </c:pt>
                <c:pt idx="44">
                  <c:v>2.4500000000000002</c:v>
                </c:pt>
                <c:pt idx="45">
                  <c:v>0.41000000000000014</c:v>
                </c:pt>
                <c:pt idx="46">
                  <c:v>0.60000000000000053</c:v>
                </c:pt>
                <c:pt idx="47">
                  <c:v>7.4300000000000006</c:v>
                </c:pt>
                <c:pt idx="48">
                  <c:v>6.1400000000000006</c:v>
                </c:pt>
                <c:pt idx="49">
                  <c:v>5.84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'EPNG - Perm to SoCal'!$H$21</c:f>
              <c:strCache>
                <c:ptCount val="1"/>
                <c:pt idx="0">
                  <c:v>El Paso Toll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'EPNG - Perm to SoCal'!$H$23:$H$72</c:f>
              <c:numCache>
                <c:formatCode>"$"#,##0.000_);\("$"#,##0.000\)</c:formatCode>
                <c:ptCount val="50"/>
                <c:pt idx="0">
                  <c:v>0.55140000000000011</c:v>
                </c:pt>
                <c:pt idx="1">
                  <c:v>0.49435000000000001</c:v>
                </c:pt>
                <c:pt idx="2">
                  <c:v>0.45935000000000004</c:v>
                </c:pt>
                <c:pt idx="3">
                  <c:v>0.46005000000000001</c:v>
                </c:pt>
                <c:pt idx="4">
                  <c:v>0.47020000000000006</c:v>
                </c:pt>
                <c:pt idx="5">
                  <c:v>0.47510000000000002</c:v>
                </c:pt>
                <c:pt idx="6">
                  <c:v>0.47370000000000001</c:v>
                </c:pt>
                <c:pt idx="7">
                  <c:v>0.47545000000000004</c:v>
                </c:pt>
                <c:pt idx="8">
                  <c:v>0.48665000000000003</c:v>
                </c:pt>
                <c:pt idx="9">
                  <c:v>0.50590000000000002</c:v>
                </c:pt>
                <c:pt idx="10">
                  <c:v>0.51290000000000002</c:v>
                </c:pt>
                <c:pt idx="11">
                  <c:v>0.47930000000000006</c:v>
                </c:pt>
                <c:pt idx="12">
                  <c:v>0.47545000000000004</c:v>
                </c:pt>
                <c:pt idx="13">
                  <c:v>0.46775000000000005</c:v>
                </c:pt>
                <c:pt idx="14">
                  <c:v>0.47475000000000001</c:v>
                </c:pt>
                <c:pt idx="15">
                  <c:v>0.47685</c:v>
                </c:pt>
                <c:pt idx="16">
                  <c:v>0.47720000000000007</c:v>
                </c:pt>
                <c:pt idx="17">
                  <c:v>0.46810000000000002</c:v>
                </c:pt>
                <c:pt idx="18">
                  <c:v>0.47930000000000006</c:v>
                </c:pt>
                <c:pt idx="19">
                  <c:v>0.47055000000000002</c:v>
                </c:pt>
                <c:pt idx="20">
                  <c:v>0.45935000000000004</c:v>
                </c:pt>
                <c:pt idx="21">
                  <c:v>0.4667</c:v>
                </c:pt>
                <c:pt idx="22">
                  <c:v>0.47055000000000002</c:v>
                </c:pt>
                <c:pt idx="23">
                  <c:v>0.47300000000000003</c:v>
                </c:pt>
                <c:pt idx="24">
                  <c:v>0.46320000000000006</c:v>
                </c:pt>
                <c:pt idx="25">
                  <c:v>0.46145000000000003</c:v>
                </c:pt>
                <c:pt idx="26">
                  <c:v>0.45585000000000003</c:v>
                </c:pt>
                <c:pt idx="27">
                  <c:v>0.46180000000000004</c:v>
                </c:pt>
                <c:pt idx="28">
                  <c:v>0.47895000000000004</c:v>
                </c:pt>
                <c:pt idx="29">
                  <c:v>0.4758</c:v>
                </c:pt>
                <c:pt idx="30">
                  <c:v>0.48035000000000005</c:v>
                </c:pt>
                <c:pt idx="31">
                  <c:v>0.49085000000000001</c:v>
                </c:pt>
                <c:pt idx="32">
                  <c:v>0.50029999999999997</c:v>
                </c:pt>
                <c:pt idx="33">
                  <c:v>0.49085000000000001</c:v>
                </c:pt>
                <c:pt idx="34">
                  <c:v>0.50345000000000006</c:v>
                </c:pt>
                <c:pt idx="35">
                  <c:v>0.47755000000000003</c:v>
                </c:pt>
                <c:pt idx="36">
                  <c:v>0.47965000000000002</c:v>
                </c:pt>
                <c:pt idx="37">
                  <c:v>0.48595000000000005</c:v>
                </c:pt>
                <c:pt idx="38">
                  <c:v>0.48665000000000003</c:v>
                </c:pt>
                <c:pt idx="39">
                  <c:v>0.50170000000000003</c:v>
                </c:pt>
                <c:pt idx="40">
                  <c:v>0.50345000000000006</c:v>
                </c:pt>
                <c:pt idx="41">
                  <c:v>0.53915000000000002</c:v>
                </c:pt>
                <c:pt idx="42">
                  <c:v>0.55910000000000004</c:v>
                </c:pt>
                <c:pt idx="43">
                  <c:v>0.53320000000000001</c:v>
                </c:pt>
                <c:pt idx="44">
                  <c:v>0.56225000000000003</c:v>
                </c:pt>
                <c:pt idx="45">
                  <c:v>0.58360000000000001</c:v>
                </c:pt>
                <c:pt idx="46">
                  <c:v>0.56400000000000006</c:v>
                </c:pt>
                <c:pt idx="47">
                  <c:v>0.62665000000000004</c:v>
                </c:pt>
                <c:pt idx="48">
                  <c:v>0.74530000000000007</c:v>
                </c:pt>
                <c:pt idx="49">
                  <c:v>0.63855000000000006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106400"/>
        <c:axId val="150106960"/>
      </c:lineChart>
      <c:dateAx>
        <c:axId val="15010640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50106960"/>
        <c:crosses val="autoZero"/>
        <c:auto val="1"/>
        <c:lblOffset val="100"/>
        <c:baseTimeUnit val="months"/>
        <c:majorUnit val="4"/>
        <c:majorTimeUnit val="months"/>
        <c:minorUnit val="2"/>
        <c:minorTimeUnit val="months"/>
      </c:dateAx>
      <c:valAx>
        <c:axId val="150106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$/MMBtu</a:t>
                </a:r>
              </a:p>
            </c:rich>
          </c:tx>
          <c:layout>
            <c:manualLayout>
              <c:xMode val="edge"/>
              <c:yMode val="edge"/>
              <c:x val="3.2258096272224937E-2"/>
              <c:y val="0.28519905869080459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_);\(#,##0.0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50106400"/>
        <c:crosses val="autoZero"/>
        <c:crossBetween val="midCat"/>
      </c:valAx>
      <c:spPr>
        <a:gradFill rotWithShape="0">
          <a:gsLst>
            <a:gs pos="0">
              <a:srgbClr xmlns:mc="http://schemas.openxmlformats.org/markup-compatibility/2006" xmlns:a14="http://schemas.microsoft.com/office/drawing/2010/main" val="C0C0C0" mc:Ignorable="a14" a14:legacySpreadsheetColorIndex="22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xmlns:mc="http://schemas.openxmlformats.org/markup-compatibility/2006" xmlns:a14="http://schemas.microsoft.com/office/drawing/2010/main" val="C0C0C0" mc:Ignorable="a14" a14:legacySpreadsheetColorIndex="22"/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0161310170140587"/>
          <c:y val="0.8844780934081915"/>
          <c:w val="0.70766198697193461"/>
          <c:h val="9.025286667430525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40" b="0" i="0" u="none" strike="noStrike" baseline="0">
              <a:solidFill>
                <a:srgbClr val="000000"/>
              </a:solidFill>
              <a:latin typeface="Arial Narrow"/>
              <a:ea typeface="Arial Narrow"/>
              <a:cs typeface="Arial Narrow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330661237813876"/>
          <c:y val="9.7473096008249674E-2"/>
          <c:w val="0.78427496561846888"/>
          <c:h val="0.56317788804766478"/>
        </c:manualLayout>
      </c:layout>
      <c:areaChart>
        <c:grouping val="stacked"/>
        <c:varyColors val="0"/>
        <c:ser>
          <c:idx val="2"/>
          <c:order val="2"/>
          <c:tx>
            <c:strRef>
              <c:f>'EPNG - SJ to SoCal'!$J$21</c:f>
              <c:strCache>
                <c:ptCount val="1"/>
                <c:pt idx="0">
                  <c:v>Tranport Value</c:v>
                </c:pt>
              </c:strCache>
            </c:strRef>
          </c:tx>
          <c:spPr>
            <a:solidFill>
              <a:srgbClr val="969696"/>
            </a:solidFill>
            <a:ln w="25400">
              <a:noFill/>
            </a:ln>
          </c:spPr>
          <c:val>
            <c:numRef>
              <c:f>'EPNG - SJ to SoCal'!$J$23:$J$72</c:f>
              <c:numCache>
                <c:formatCode>"$"#,##0.000_);\("$"#,##0.000\)</c:formatCode>
                <c:ptCount val="50"/>
                <c:pt idx="0">
                  <c:v>-0.50339999999999985</c:v>
                </c:pt>
                <c:pt idx="1">
                  <c:v>-0.48634999999999978</c:v>
                </c:pt>
                <c:pt idx="2">
                  <c:v>-0.36134999999999995</c:v>
                </c:pt>
                <c:pt idx="3">
                  <c:v>-0.27205000000000007</c:v>
                </c:pt>
                <c:pt idx="4">
                  <c:v>-0.27220000000000011</c:v>
                </c:pt>
                <c:pt idx="5">
                  <c:v>-0.22710000000000002</c:v>
                </c:pt>
                <c:pt idx="6">
                  <c:v>-0.26570000000000005</c:v>
                </c:pt>
                <c:pt idx="7">
                  <c:v>-0.22745000000000004</c:v>
                </c:pt>
                <c:pt idx="8">
                  <c:v>-0.29864999999999964</c:v>
                </c:pt>
                <c:pt idx="9">
                  <c:v>-0.16789999999999972</c:v>
                </c:pt>
                <c:pt idx="10">
                  <c:v>-0.19489999999999974</c:v>
                </c:pt>
                <c:pt idx="11">
                  <c:v>-0.26129999999999987</c:v>
                </c:pt>
                <c:pt idx="12">
                  <c:v>-0.25745000000000029</c:v>
                </c:pt>
                <c:pt idx="13">
                  <c:v>-0.15975</c:v>
                </c:pt>
                <c:pt idx="14">
                  <c:v>-0.14674999999999994</c:v>
                </c:pt>
                <c:pt idx="15">
                  <c:v>-0.14884999999999993</c:v>
                </c:pt>
                <c:pt idx="16">
                  <c:v>-0.17920000000000025</c:v>
                </c:pt>
                <c:pt idx="17">
                  <c:v>-8.0100000000000116E-2</c:v>
                </c:pt>
                <c:pt idx="18">
                  <c:v>-9.1299999999999937E-2</c:v>
                </c:pt>
                <c:pt idx="19">
                  <c:v>-2.5500000000002743E-3</c:v>
                </c:pt>
                <c:pt idx="20">
                  <c:v>2.8649999999999731E-2</c:v>
                </c:pt>
                <c:pt idx="21">
                  <c:v>-3.8699999999999846E-2</c:v>
                </c:pt>
                <c:pt idx="22">
                  <c:v>7.4499999999999567E-3</c:v>
                </c:pt>
                <c:pt idx="23">
                  <c:v>-0.15500000000000019</c:v>
                </c:pt>
                <c:pt idx="24">
                  <c:v>-0.1452</c:v>
                </c:pt>
                <c:pt idx="25">
                  <c:v>-0.25344999999999984</c:v>
                </c:pt>
                <c:pt idx="26">
                  <c:v>-0.12784999999999996</c:v>
                </c:pt>
                <c:pt idx="27">
                  <c:v>-0.23380000000000006</c:v>
                </c:pt>
                <c:pt idx="28">
                  <c:v>-0.28094999999999987</c:v>
                </c:pt>
                <c:pt idx="29">
                  <c:v>-0.20779999999999976</c:v>
                </c:pt>
                <c:pt idx="30">
                  <c:v>-0.13234999999999997</c:v>
                </c:pt>
                <c:pt idx="31">
                  <c:v>-0.15285000000000015</c:v>
                </c:pt>
                <c:pt idx="32">
                  <c:v>-0.19229999999999997</c:v>
                </c:pt>
                <c:pt idx="33">
                  <c:v>-0.16284999999999994</c:v>
                </c:pt>
                <c:pt idx="34">
                  <c:v>-0.26544999999999985</c:v>
                </c:pt>
                <c:pt idx="35">
                  <c:v>-0.12954999999999994</c:v>
                </c:pt>
                <c:pt idx="36">
                  <c:v>-0.25165000000000004</c:v>
                </c:pt>
                <c:pt idx="37">
                  <c:v>-0.28795000000000032</c:v>
                </c:pt>
                <c:pt idx="38">
                  <c:v>-0.23865000000000003</c:v>
                </c:pt>
                <c:pt idx="39">
                  <c:v>-0.2137</c:v>
                </c:pt>
                <c:pt idx="40">
                  <c:v>-0.2054499999999998</c:v>
                </c:pt>
                <c:pt idx="41">
                  <c:v>7.8849999999999643E-2</c:v>
                </c:pt>
                <c:pt idx="42">
                  <c:v>0.21890000000000065</c:v>
                </c:pt>
                <c:pt idx="43">
                  <c:v>0.56479999999999964</c:v>
                </c:pt>
                <c:pt idx="44">
                  <c:v>2.9557500000000001</c:v>
                </c:pt>
                <c:pt idx="45">
                  <c:v>0.48440000000000072</c:v>
                </c:pt>
                <c:pt idx="46">
                  <c:v>0.24399999999999999</c:v>
                </c:pt>
                <c:pt idx="47">
                  <c:v>7.2113500000000004</c:v>
                </c:pt>
                <c:pt idx="48">
                  <c:v>6.4726999999999997</c:v>
                </c:pt>
                <c:pt idx="49">
                  <c:v>5.8494500000000009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10320"/>
        <c:axId val="150110880"/>
      </c:areaChart>
      <c:lineChart>
        <c:grouping val="standard"/>
        <c:varyColors val="0"/>
        <c:ser>
          <c:idx val="0"/>
          <c:order val="0"/>
          <c:tx>
            <c:strRef>
              <c:f>'EPNG - SJ to SoCal'!$F$21</c:f>
              <c:strCache>
                <c:ptCount val="1"/>
                <c:pt idx="0">
                  <c:v>San Juan/SoCal Spread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'EPNG - SJ to SoCal'!$A$23:$A$72</c:f>
              <c:numCache>
                <c:formatCode>mmm\-yy</c:formatCode>
                <c:ptCount val="50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  <c:pt idx="48">
                  <c:v>36892</c:v>
                </c:pt>
                <c:pt idx="49">
                  <c:v>36923</c:v>
                </c:pt>
              </c:numCache>
            </c:numRef>
          </c:cat>
          <c:val>
            <c:numRef>
              <c:f>'EPNG - SJ to SoCal'!$F$23:$F$72</c:f>
              <c:numCache>
                <c:formatCode>"$"#,##0.000_);\("$"#,##0.000\)</c:formatCode>
                <c:ptCount val="50"/>
                <c:pt idx="0">
                  <c:v>3.0000000000000249E-2</c:v>
                </c:pt>
                <c:pt idx="1">
                  <c:v>-9.9999999999997868E-3</c:v>
                </c:pt>
                <c:pt idx="2">
                  <c:v>8.0000000000000071E-2</c:v>
                </c:pt>
                <c:pt idx="3">
                  <c:v>0.16999999999999993</c:v>
                </c:pt>
                <c:pt idx="4">
                  <c:v>0.17999999999999994</c:v>
                </c:pt>
                <c:pt idx="5">
                  <c:v>0.22999999999999998</c:v>
                </c:pt>
                <c:pt idx="6">
                  <c:v>0.18999999999999995</c:v>
                </c:pt>
                <c:pt idx="7">
                  <c:v>0.22999999999999998</c:v>
                </c:pt>
                <c:pt idx="8">
                  <c:v>0.17000000000000037</c:v>
                </c:pt>
                <c:pt idx="9">
                  <c:v>0.32000000000000028</c:v>
                </c:pt>
                <c:pt idx="10">
                  <c:v>0.30000000000000027</c:v>
                </c:pt>
                <c:pt idx="11">
                  <c:v>0.20000000000000018</c:v>
                </c:pt>
                <c:pt idx="12">
                  <c:v>0.19999999999999973</c:v>
                </c:pt>
                <c:pt idx="13">
                  <c:v>0.29000000000000004</c:v>
                </c:pt>
                <c:pt idx="14">
                  <c:v>0.31000000000000005</c:v>
                </c:pt>
                <c:pt idx="15">
                  <c:v>0.31000000000000005</c:v>
                </c:pt>
                <c:pt idx="16">
                  <c:v>0.2799999999999998</c:v>
                </c:pt>
                <c:pt idx="17">
                  <c:v>0.36999999999999988</c:v>
                </c:pt>
                <c:pt idx="18">
                  <c:v>0.37000000000000011</c:v>
                </c:pt>
                <c:pt idx="19">
                  <c:v>0.44999999999999973</c:v>
                </c:pt>
                <c:pt idx="20">
                  <c:v>0.46999999999999975</c:v>
                </c:pt>
                <c:pt idx="21">
                  <c:v>0.41000000000000014</c:v>
                </c:pt>
                <c:pt idx="22">
                  <c:v>0.45999999999999996</c:v>
                </c:pt>
                <c:pt idx="23">
                  <c:v>0.29999999999999982</c:v>
                </c:pt>
                <c:pt idx="24">
                  <c:v>0.30000000000000004</c:v>
                </c:pt>
                <c:pt idx="25">
                  <c:v>0.19000000000000017</c:v>
                </c:pt>
                <c:pt idx="26">
                  <c:v>0.31000000000000005</c:v>
                </c:pt>
                <c:pt idx="27">
                  <c:v>0.20999999999999996</c:v>
                </c:pt>
                <c:pt idx="28">
                  <c:v>0.18000000000000016</c:v>
                </c:pt>
                <c:pt idx="29">
                  <c:v>0.25000000000000022</c:v>
                </c:pt>
                <c:pt idx="30">
                  <c:v>0.33000000000000007</c:v>
                </c:pt>
                <c:pt idx="31">
                  <c:v>0.31999999999999984</c:v>
                </c:pt>
                <c:pt idx="32">
                  <c:v>0.29000000000000004</c:v>
                </c:pt>
                <c:pt idx="33">
                  <c:v>0.31000000000000005</c:v>
                </c:pt>
                <c:pt idx="34">
                  <c:v>0.2200000000000002</c:v>
                </c:pt>
                <c:pt idx="35">
                  <c:v>0.33000000000000007</c:v>
                </c:pt>
                <c:pt idx="36">
                  <c:v>0.20999999999999996</c:v>
                </c:pt>
                <c:pt idx="37">
                  <c:v>0.17999999999999972</c:v>
                </c:pt>
                <c:pt idx="38">
                  <c:v>0.22999999999999998</c:v>
                </c:pt>
                <c:pt idx="39">
                  <c:v>0.27</c:v>
                </c:pt>
                <c:pt idx="40">
                  <c:v>0.28000000000000025</c:v>
                </c:pt>
                <c:pt idx="41">
                  <c:v>0.59999999999999964</c:v>
                </c:pt>
                <c:pt idx="42">
                  <c:v>0.76000000000000068</c:v>
                </c:pt>
                <c:pt idx="43">
                  <c:v>1.0799999999999996</c:v>
                </c:pt>
                <c:pt idx="44">
                  <c:v>3.5</c:v>
                </c:pt>
                <c:pt idx="45">
                  <c:v>1.0500000000000007</c:v>
                </c:pt>
                <c:pt idx="46">
                  <c:v>0.79</c:v>
                </c:pt>
                <c:pt idx="47">
                  <c:v>7.82</c:v>
                </c:pt>
                <c:pt idx="48">
                  <c:v>7.1999999999999993</c:v>
                </c:pt>
                <c:pt idx="49">
                  <c:v>6.4700000000000006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'EPNG - SJ to SoCal'!$H$21</c:f>
              <c:strCache>
                <c:ptCount val="1"/>
                <c:pt idx="0">
                  <c:v>El Paso Toll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'EPNG - SJ to SoCal'!$H$23:$H$72</c:f>
              <c:numCache>
                <c:formatCode>"$"#,##0.000_);\("$"#,##0.000\)</c:formatCode>
                <c:ptCount val="50"/>
                <c:pt idx="0">
                  <c:v>0.5334000000000001</c:v>
                </c:pt>
                <c:pt idx="1">
                  <c:v>0.47635</c:v>
                </c:pt>
                <c:pt idx="2">
                  <c:v>0.44135000000000002</c:v>
                </c:pt>
                <c:pt idx="3">
                  <c:v>0.44205</c:v>
                </c:pt>
                <c:pt idx="4">
                  <c:v>0.45220000000000005</c:v>
                </c:pt>
                <c:pt idx="5">
                  <c:v>0.45710000000000001</c:v>
                </c:pt>
                <c:pt idx="6">
                  <c:v>0.45569999999999999</c:v>
                </c:pt>
                <c:pt idx="7">
                  <c:v>0.45745000000000002</c:v>
                </c:pt>
                <c:pt idx="8">
                  <c:v>0.46865000000000001</c:v>
                </c:pt>
                <c:pt idx="9">
                  <c:v>0.4879</c:v>
                </c:pt>
                <c:pt idx="10">
                  <c:v>0.49490000000000001</c:v>
                </c:pt>
                <c:pt idx="11">
                  <c:v>0.46130000000000004</c:v>
                </c:pt>
                <c:pt idx="12">
                  <c:v>0.45745000000000002</c:v>
                </c:pt>
                <c:pt idx="13">
                  <c:v>0.44975000000000004</c:v>
                </c:pt>
                <c:pt idx="14">
                  <c:v>0.45674999999999999</c:v>
                </c:pt>
                <c:pt idx="15">
                  <c:v>0.45884999999999998</c:v>
                </c:pt>
                <c:pt idx="16">
                  <c:v>0.45920000000000005</c:v>
                </c:pt>
                <c:pt idx="17">
                  <c:v>0.4501</c:v>
                </c:pt>
                <c:pt idx="18">
                  <c:v>0.46130000000000004</c:v>
                </c:pt>
                <c:pt idx="19">
                  <c:v>0.45255000000000001</c:v>
                </c:pt>
                <c:pt idx="20">
                  <c:v>0.44135000000000002</c:v>
                </c:pt>
                <c:pt idx="21">
                  <c:v>0.44869999999999999</c:v>
                </c:pt>
                <c:pt idx="22">
                  <c:v>0.45255000000000001</c:v>
                </c:pt>
                <c:pt idx="23">
                  <c:v>0.45500000000000002</c:v>
                </c:pt>
                <c:pt idx="24">
                  <c:v>0.44520000000000004</c:v>
                </c:pt>
                <c:pt idx="25">
                  <c:v>0.44345000000000001</c:v>
                </c:pt>
                <c:pt idx="26">
                  <c:v>0.43785000000000002</c:v>
                </c:pt>
                <c:pt idx="27">
                  <c:v>0.44380000000000003</c:v>
                </c:pt>
                <c:pt idx="28">
                  <c:v>0.46095000000000003</c:v>
                </c:pt>
                <c:pt idx="29">
                  <c:v>0.45779999999999998</c:v>
                </c:pt>
                <c:pt idx="30">
                  <c:v>0.46235000000000004</c:v>
                </c:pt>
                <c:pt idx="31">
                  <c:v>0.47284999999999999</c:v>
                </c:pt>
                <c:pt idx="32">
                  <c:v>0.48230000000000001</c:v>
                </c:pt>
                <c:pt idx="33">
                  <c:v>0.47284999999999999</c:v>
                </c:pt>
                <c:pt idx="34">
                  <c:v>0.48545000000000005</c:v>
                </c:pt>
                <c:pt idx="35">
                  <c:v>0.45955000000000001</c:v>
                </c:pt>
                <c:pt idx="36">
                  <c:v>0.46165</c:v>
                </c:pt>
                <c:pt idx="37">
                  <c:v>0.46795000000000003</c:v>
                </c:pt>
                <c:pt idx="38">
                  <c:v>0.46865000000000001</c:v>
                </c:pt>
                <c:pt idx="39">
                  <c:v>0.48370000000000002</c:v>
                </c:pt>
                <c:pt idx="40">
                  <c:v>0.48545000000000005</c:v>
                </c:pt>
                <c:pt idx="41">
                  <c:v>0.52115</c:v>
                </c:pt>
                <c:pt idx="42">
                  <c:v>0.54110000000000003</c:v>
                </c:pt>
                <c:pt idx="43">
                  <c:v>0.51519999999999999</c:v>
                </c:pt>
                <c:pt idx="44">
                  <c:v>0.54425000000000001</c:v>
                </c:pt>
                <c:pt idx="45">
                  <c:v>0.56559999999999999</c:v>
                </c:pt>
                <c:pt idx="46">
                  <c:v>0.54600000000000004</c:v>
                </c:pt>
                <c:pt idx="47">
                  <c:v>0.60865000000000002</c:v>
                </c:pt>
                <c:pt idx="48">
                  <c:v>0.72730000000000006</c:v>
                </c:pt>
                <c:pt idx="49">
                  <c:v>0.62055000000000005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110320"/>
        <c:axId val="150110880"/>
      </c:lineChart>
      <c:dateAx>
        <c:axId val="15011032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50110880"/>
        <c:crosses val="autoZero"/>
        <c:auto val="1"/>
        <c:lblOffset val="100"/>
        <c:baseTimeUnit val="months"/>
        <c:majorUnit val="4"/>
        <c:majorTimeUnit val="months"/>
        <c:minorUnit val="2"/>
        <c:minorTimeUnit val="months"/>
      </c:dateAx>
      <c:valAx>
        <c:axId val="1501108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$/MMBtu</a:t>
                </a:r>
              </a:p>
            </c:rich>
          </c:tx>
          <c:layout>
            <c:manualLayout>
              <c:xMode val="edge"/>
              <c:yMode val="edge"/>
              <c:x val="3.2258096272224937E-2"/>
              <c:y val="0.28519905869080459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_);\(#,##0.0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50110320"/>
        <c:crosses val="autoZero"/>
        <c:crossBetween val="midCat"/>
      </c:valAx>
      <c:spPr>
        <a:gradFill rotWithShape="0">
          <a:gsLst>
            <a:gs pos="0">
              <a:srgbClr xmlns:mc="http://schemas.openxmlformats.org/markup-compatibility/2006" xmlns:a14="http://schemas.microsoft.com/office/drawing/2010/main" val="C0C0C0" mc:Ignorable="a14" a14:legacySpreadsheetColorIndex="22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xmlns:mc="http://schemas.openxmlformats.org/markup-compatibility/2006" xmlns:a14="http://schemas.microsoft.com/office/drawing/2010/main" val="C0C0C0" mc:Ignorable="a14" a14:legacySpreadsheetColorIndex="22"/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556470865036371"/>
          <c:y val="0.8844780934081915"/>
          <c:w val="0.71774264205700489"/>
          <c:h val="9.025286667430525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40" b="0" i="0" u="none" strike="noStrike" baseline="0">
              <a:solidFill>
                <a:srgbClr val="000000"/>
              </a:solidFill>
              <a:latin typeface="Arial Narrow"/>
              <a:ea typeface="Arial Narrow"/>
              <a:cs typeface="Arial Narrow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330661237813876"/>
          <c:y val="9.7473096008249674E-2"/>
          <c:w val="0.78427496561846888"/>
          <c:h val="0.56317788804766478"/>
        </c:manualLayout>
      </c:layout>
      <c:areaChart>
        <c:grouping val="stacked"/>
        <c:varyColors val="0"/>
        <c:ser>
          <c:idx val="2"/>
          <c:order val="2"/>
          <c:tx>
            <c:strRef>
              <c:f>'PGT - AECO to Malin'!$J$21</c:f>
              <c:strCache>
                <c:ptCount val="1"/>
                <c:pt idx="0">
                  <c:v>Tranport Value</c:v>
                </c:pt>
              </c:strCache>
            </c:strRef>
          </c:tx>
          <c:spPr>
            <a:solidFill>
              <a:srgbClr val="969696"/>
            </a:solidFill>
            <a:ln w="25400">
              <a:noFill/>
            </a:ln>
          </c:spPr>
          <c:val>
            <c:numRef>
              <c:f>'PGT - AECO to Malin'!$J$23:$J$72</c:f>
              <c:numCache>
                <c:formatCode>"$"#,##0.000_);\("$"#,##0.000\)</c:formatCode>
                <c:ptCount val="50"/>
                <c:pt idx="0">
                  <c:v>0.56419354838709757</c:v>
                </c:pt>
                <c:pt idx="1">
                  <c:v>-6.9642857142856784E-2</c:v>
                </c:pt>
                <c:pt idx="2">
                  <c:v>-0.82903225806451608</c:v>
                </c:pt>
                <c:pt idx="3">
                  <c:v>-0.98683333333333356</c:v>
                </c:pt>
                <c:pt idx="4">
                  <c:v>-0.63774193548387059</c:v>
                </c:pt>
                <c:pt idx="5">
                  <c:v>-0.5123333333333332</c:v>
                </c:pt>
                <c:pt idx="6">
                  <c:v>-0.62725806451612887</c:v>
                </c:pt>
                <c:pt idx="7">
                  <c:v>-0.6669354838709679</c:v>
                </c:pt>
                <c:pt idx="8">
                  <c:v>-0.41483333333333328</c:v>
                </c:pt>
                <c:pt idx="9">
                  <c:v>-0.12435483870967723</c:v>
                </c:pt>
                <c:pt idx="10">
                  <c:v>0.651166666666667</c:v>
                </c:pt>
                <c:pt idx="11">
                  <c:v>-0.10919354838709638</c:v>
                </c:pt>
                <c:pt idx="12">
                  <c:v>-7.8064516129032202E-2</c:v>
                </c:pt>
                <c:pt idx="13">
                  <c:v>-0.54785714285714293</c:v>
                </c:pt>
                <c:pt idx="14">
                  <c:v>-0.5238709677419352</c:v>
                </c:pt>
                <c:pt idx="15">
                  <c:v>-0.92633333333333356</c:v>
                </c:pt>
                <c:pt idx="16">
                  <c:v>-0.26048387096774162</c:v>
                </c:pt>
                <c:pt idx="17">
                  <c:v>-0.80733333333333401</c:v>
                </c:pt>
                <c:pt idx="18">
                  <c:v>-0.84419354838709648</c:v>
                </c:pt>
                <c:pt idx="19">
                  <c:v>-0.40225806451612833</c:v>
                </c:pt>
                <c:pt idx="20">
                  <c:v>-0.90700000000000014</c:v>
                </c:pt>
                <c:pt idx="21">
                  <c:v>-1.2335483870967741</c:v>
                </c:pt>
                <c:pt idx="22">
                  <c:v>-0.96483333333333332</c:v>
                </c:pt>
                <c:pt idx="23">
                  <c:v>-0.74225806451612886</c:v>
                </c:pt>
                <c:pt idx="24">
                  <c:v>-0.88290322580645186</c:v>
                </c:pt>
                <c:pt idx="25">
                  <c:v>-1.1737500000000001</c:v>
                </c:pt>
                <c:pt idx="26">
                  <c:v>-1.2625806451612904</c:v>
                </c:pt>
                <c:pt idx="27">
                  <c:v>-1.5560000000000005</c:v>
                </c:pt>
                <c:pt idx="28">
                  <c:v>-1.2593548387096782</c:v>
                </c:pt>
                <c:pt idx="29">
                  <c:v>-1.3719999999999999</c:v>
                </c:pt>
                <c:pt idx="30">
                  <c:v>-1.2512903225806453</c:v>
                </c:pt>
                <c:pt idx="31">
                  <c:v>-1.6503225806451614</c:v>
                </c:pt>
                <c:pt idx="32">
                  <c:v>-1.1550000000000002</c:v>
                </c:pt>
                <c:pt idx="33">
                  <c:v>-1.7080645161290322</c:v>
                </c:pt>
                <c:pt idx="34">
                  <c:v>-0.564500000000001</c:v>
                </c:pt>
                <c:pt idx="35">
                  <c:v>-1.1603225806451611</c:v>
                </c:pt>
                <c:pt idx="36">
                  <c:v>-1.1870967741935483</c:v>
                </c:pt>
                <c:pt idx="37">
                  <c:v>-1.2918965517241388</c:v>
                </c:pt>
                <c:pt idx="38">
                  <c:v>-1.7612903225806442</c:v>
                </c:pt>
                <c:pt idx="39">
                  <c:v>-1.5508333333333337</c:v>
                </c:pt>
                <c:pt idx="40">
                  <c:v>-2.083064516129034</c:v>
                </c:pt>
                <c:pt idx="41">
                  <c:v>-1.9076666666666662</c:v>
                </c:pt>
                <c:pt idx="42">
                  <c:v>-0.71596774193548407</c:v>
                </c:pt>
                <c:pt idx="43">
                  <c:v>-1.1943548387096787</c:v>
                </c:pt>
                <c:pt idx="44">
                  <c:v>-0.97133333333333505</c:v>
                </c:pt>
                <c:pt idx="45">
                  <c:v>-1.8141935483870966</c:v>
                </c:pt>
                <c:pt idx="46">
                  <c:v>-2.7814999999999999</c:v>
                </c:pt>
                <c:pt idx="47">
                  <c:v>1.1325806451612919</c:v>
                </c:pt>
                <c:pt idx="48">
                  <c:v>2.7620967741935476</c:v>
                </c:pt>
                <c:pt idx="49">
                  <c:v>1.0881818181818192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601232"/>
        <c:axId val="150601792"/>
      </c:areaChart>
      <c:lineChart>
        <c:grouping val="standard"/>
        <c:varyColors val="0"/>
        <c:ser>
          <c:idx val="0"/>
          <c:order val="0"/>
          <c:tx>
            <c:strRef>
              <c:f>'PGT - AECO to Malin'!$F$21</c:f>
              <c:strCache>
                <c:ptCount val="1"/>
                <c:pt idx="0">
                  <c:v>AECO/Malin Spread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'PGT - AECO to Malin'!$A$23:$A$72</c:f>
              <c:numCache>
                <c:formatCode>mmm\-yy</c:formatCode>
                <c:ptCount val="50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  <c:pt idx="48">
                  <c:v>36892</c:v>
                </c:pt>
                <c:pt idx="49">
                  <c:v>36923</c:v>
                </c:pt>
              </c:numCache>
            </c:numRef>
          </c:cat>
          <c:val>
            <c:numRef>
              <c:f>'PGT - AECO to Malin'!$F$23:$F$72</c:f>
              <c:numCache>
                <c:formatCode>"$"#,##0.000_);\("$"#,##0.000\)</c:formatCode>
                <c:ptCount val="50"/>
                <c:pt idx="0">
                  <c:v>1.2441935483870976</c:v>
                </c:pt>
                <c:pt idx="1">
                  <c:v>0.61035714285714326</c:v>
                </c:pt>
                <c:pt idx="2">
                  <c:v>-0.14903225806451603</c:v>
                </c:pt>
                <c:pt idx="3">
                  <c:v>-0.30683333333333351</c:v>
                </c:pt>
                <c:pt idx="4">
                  <c:v>4.2258064516129457E-2</c:v>
                </c:pt>
                <c:pt idx="5">
                  <c:v>0.16766666666666685</c:v>
                </c:pt>
                <c:pt idx="6">
                  <c:v>5.2741935483871183E-2</c:v>
                </c:pt>
                <c:pt idx="7">
                  <c:v>1.3064516129032144E-2</c:v>
                </c:pt>
                <c:pt idx="8">
                  <c:v>0.26516666666666677</c:v>
                </c:pt>
                <c:pt idx="9">
                  <c:v>0.55564516129032282</c:v>
                </c:pt>
                <c:pt idx="10">
                  <c:v>1.3311666666666671</c:v>
                </c:pt>
                <c:pt idx="11">
                  <c:v>0.57080645161290366</c:v>
                </c:pt>
                <c:pt idx="12">
                  <c:v>0.60193548387096785</c:v>
                </c:pt>
                <c:pt idx="13">
                  <c:v>0.13214285714285712</c:v>
                </c:pt>
                <c:pt idx="14">
                  <c:v>0.15612903225806485</c:v>
                </c:pt>
                <c:pt idx="15">
                  <c:v>-0.24633333333333352</c:v>
                </c:pt>
                <c:pt idx="16">
                  <c:v>0.41951612903225843</c:v>
                </c:pt>
                <c:pt idx="17">
                  <c:v>-0.12733333333333396</c:v>
                </c:pt>
                <c:pt idx="18">
                  <c:v>-0.16419354838709643</c:v>
                </c:pt>
                <c:pt idx="19">
                  <c:v>0.27774193548387172</c:v>
                </c:pt>
                <c:pt idx="20">
                  <c:v>-0.22700000000000009</c:v>
                </c:pt>
                <c:pt idx="21">
                  <c:v>-0.55354838709677412</c:v>
                </c:pt>
                <c:pt idx="22">
                  <c:v>-0.28483333333333327</c:v>
                </c:pt>
                <c:pt idx="23">
                  <c:v>-6.2258064516128808E-2</c:v>
                </c:pt>
                <c:pt idx="24">
                  <c:v>-0.20290322580645181</c:v>
                </c:pt>
                <c:pt idx="25">
                  <c:v>-0.49374999999999991</c:v>
                </c:pt>
                <c:pt idx="26">
                  <c:v>-0.58258064516129027</c:v>
                </c:pt>
                <c:pt idx="27">
                  <c:v>-0.87600000000000033</c:v>
                </c:pt>
                <c:pt idx="28">
                  <c:v>-0.57935483870967808</c:v>
                </c:pt>
                <c:pt idx="29">
                  <c:v>-0.69199999999999973</c:v>
                </c:pt>
                <c:pt idx="30">
                  <c:v>-0.57129032258064516</c:v>
                </c:pt>
                <c:pt idx="31">
                  <c:v>-0.97032258064516119</c:v>
                </c:pt>
                <c:pt idx="32">
                  <c:v>-0.47500000000000009</c:v>
                </c:pt>
                <c:pt idx="33">
                  <c:v>-1.028064516129032</c:v>
                </c:pt>
                <c:pt idx="34">
                  <c:v>0.11549999999999905</c:v>
                </c:pt>
                <c:pt idx="35">
                  <c:v>-0.48032258064516098</c:v>
                </c:pt>
                <c:pt idx="36">
                  <c:v>-0.50709677419354815</c:v>
                </c:pt>
                <c:pt idx="37">
                  <c:v>-0.61189655172413859</c:v>
                </c:pt>
                <c:pt idx="38">
                  <c:v>-1.0812903225806441</c:v>
                </c:pt>
                <c:pt idx="39">
                  <c:v>-0.87083333333333357</c:v>
                </c:pt>
                <c:pt idx="40">
                  <c:v>-1.4030645161290338</c:v>
                </c:pt>
                <c:pt idx="41">
                  <c:v>-1.227666666666666</c:v>
                </c:pt>
                <c:pt idx="42">
                  <c:v>-3.5967741935484021E-2</c:v>
                </c:pt>
                <c:pt idx="43">
                  <c:v>-0.51435483870967857</c:v>
                </c:pt>
                <c:pt idx="44">
                  <c:v>-0.291333333333335</c:v>
                </c:pt>
                <c:pt idx="45">
                  <c:v>-1.1341935483870964</c:v>
                </c:pt>
                <c:pt idx="46">
                  <c:v>-2.1014999999999997</c:v>
                </c:pt>
                <c:pt idx="47">
                  <c:v>1.812580645161292</c:v>
                </c:pt>
                <c:pt idx="48">
                  <c:v>3.4420967741935478</c:v>
                </c:pt>
                <c:pt idx="49">
                  <c:v>1.7681818181818194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'PGT - AECO to Malin'!$H$21</c:f>
              <c:strCache>
                <c:ptCount val="1"/>
                <c:pt idx="0">
                  <c:v>PGT Toll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'PGT - AECO to Malin'!$H$23:$H$72</c:f>
              <c:numCache>
                <c:formatCode>"$"#,##0.000_);\("$"#,##0.000\)</c:formatCode>
                <c:ptCount val="50"/>
                <c:pt idx="0">
                  <c:v>0.68</c:v>
                </c:pt>
                <c:pt idx="1">
                  <c:v>0.68</c:v>
                </c:pt>
                <c:pt idx="2">
                  <c:v>0.68</c:v>
                </c:pt>
                <c:pt idx="3">
                  <c:v>0.68</c:v>
                </c:pt>
                <c:pt idx="4">
                  <c:v>0.68</c:v>
                </c:pt>
                <c:pt idx="5">
                  <c:v>0.68</c:v>
                </c:pt>
                <c:pt idx="6">
                  <c:v>0.68</c:v>
                </c:pt>
                <c:pt idx="7">
                  <c:v>0.68</c:v>
                </c:pt>
                <c:pt idx="8">
                  <c:v>0.68</c:v>
                </c:pt>
                <c:pt idx="9">
                  <c:v>0.68</c:v>
                </c:pt>
                <c:pt idx="10">
                  <c:v>0.68</c:v>
                </c:pt>
                <c:pt idx="11">
                  <c:v>0.68</c:v>
                </c:pt>
                <c:pt idx="12">
                  <c:v>0.68</c:v>
                </c:pt>
                <c:pt idx="13">
                  <c:v>0.68</c:v>
                </c:pt>
                <c:pt idx="14">
                  <c:v>0.68</c:v>
                </c:pt>
                <c:pt idx="15">
                  <c:v>0.68</c:v>
                </c:pt>
                <c:pt idx="16">
                  <c:v>0.68</c:v>
                </c:pt>
                <c:pt idx="17">
                  <c:v>0.68</c:v>
                </c:pt>
                <c:pt idx="18">
                  <c:v>0.68</c:v>
                </c:pt>
                <c:pt idx="19">
                  <c:v>0.68</c:v>
                </c:pt>
                <c:pt idx="20">
                  <c:v>0.68</c:v>
                </c:pt>
                <c:pt idx="21">
                  <c:v>0.68</c:v>
                </c:pt>
                <c:pt idx="22">
                  <c:v>0.68</c:v>
                </c:pt>
                <c:pt idx="23">
                  <c:v>0.68</c:v>
                </c:pt>
                <c:pt idx="24">
                  <c:v>0.68</c:v>
                </c:pt>
                <c:pt idx="25">
                  <c:v>0.68</c:v>
                </c:pt>
                <c:pt idx="26">
                  <c:v>0.68</c:v>
                </c:pt>
                <c:pt idx="27">
                  <c:v>0.68</c:v>
                </c:pt>
                <c:pt idx="28">
                  <c:v>0.68</c:v>
                </c:pt>
                <c:pt idx="29">
                  <c:v>0.68</c:v>
                </c:pt>
                <c:pt idx="30">
                  <c:v>0.68</c:v>
                </c:pt>
                <c:pt idx="31">
                  <c:v>0.68</c:v>
                </c:pt>
                <c:pt idx="32">
                  <c:v>0.68</c:v>
                </c:pt>
                <c:pt idx="33">
                  <c:v>0.68</c:v>
                </c:pt>
                <c:pt idx="34">
                  <c:v>0.68</c:v>
                </c:pt>
                <c:pt idx="35">
                  <c:v>0.68</c:v>
                </c:pt>
                <c:pt idx="36">
                  <c:v>0.68</c:v>
                </c:pt>
                <c:pt idx="37">
                  <c:v>0.68</c:v>
                </c:pt>
                <c:pt idx="38">
                  <c:v>0.68</c:v>
                </c:pt>
                <c:pt idx="39">
                  <c:v>0.68</c:v>
                </c:pt>
                <c:pt idx="40">
                  <c:v>0.68</c:v>
                </c:pt>
                <c:pt idx="41">
                  <c:v>0.68</c:v>
                </c:pt>
                <c:pt idx="42">
                  <c:v>0.68</c:v>
                </c:pt>
                <c:pt idx="43">
                  <c:v>0.68</c:v>
                </c:pt>
                <c:pt idx="44">
                  <c:v>0.68</c:v>
                </c:pt>
                <c:pt idx="45">
                  <c:v>0.68</c:v>
                </c:pt>
                <c:pt idx="46">
                  <c:v>0.68</c:v>
                </c:pt>
                <c:pt idx="47">
                  <c:v>0.68</c:v>
                </c:pt>
                <c:pt idx="48">
                  <c:v>0.68</c:v>
                </c:pt>
                <c:pt idx="49">
                  <c:v>0.68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601232"/>
        <c:axId val="150601792"/>
      </c:lineChart>
      <c:dateAx>
        <c:axId val="15060123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50601792"/>
        <c:crosses val="autoZero"/>
        <c:auto val="1"/>
        <c:lblOffset val="100"/>
        <c:baseTimeUnit val="months"/>
        <c:majorUnit val="4"/>
        <c:majorTimeUnit val="months"/>
        <c:minorUnit val="2"/>
        <c:minorTimeUnit val="months"/>
      </c:dateAx>
      <c:valAx>
        <c:axId val="1506017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$/MMBtu</a:t>
                </a:r>
              </a:p>
            </c:rich>
          </c:tx>
          <c:layout>
            <c:manualLayout>
              <c:xMode val="edge"/>
              <c:yMode val="edge"/>
              <c:x val="3.2258096272224937E-2"/>
              <c:y val="0.28519905869080459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_);\(#,##0.0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50601232"/>
        <c:crosses val="autoZero"/>
        <c:crossBetween val="midCat"/>
      </c:valAx>
      <c:spPr>
        <a:gradFill rotWithShape="0">
          <a:gsLst>
            <a:gs pos="0">
              <a:srgbClr xmlns:mc="http://schemas.openxmlformats.org/markup-compatibility/2006" xmlns:a14="http://schemas.microsoft.com/office/drawing/2010/main" val="C0C0C0" mc:Ignorable="a14" a14:legacySpreadsheetColorIndex="22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xmlns:mc="http://schemas.openxmlformats.org/markup-compatibility/2006" xmlns:a14="http://schemas.microsoft.com/office/drawing/2010/main" val="C0C0C0" mc:Ignorable="a14" a14:legacySpreadsheetColorIndex="22"/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2782280492258863"/>
          <c:y val="0.8844780934081915"/>
          <c:w val="0.65322644951255504"/>
          <c:h val="9.025286667430525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40" b="0" i="0" u="none" strike="noStrike" baseline="0">
              <a:solidFill>
                <a:srgbClr val="000000"/>
              </a:solidFill>
              <a:latin typeface="Arial Narrow"/>
              <a:ea typeface="Arial Narrow"/>
              <a:cs typeface="Arial Narrow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733887441216688"/>
          <c:y val="9.7473096008249674E-2"/>
          <c:w val="0.7802427035844407"/>
          <c:h val="0.56317788804766478"/>
        </c:manualLayout>
      </c:layout>
      <c:areaChart>
        <c:grouping val="stacked"/>
        <c:varyColors val="0"/>
        <c:ser>
          <c:idx val="2"/>
          <c:order val="2"/>
          <c:tx>
            <c:strRef>
              <c:f>'PGT - Malin to PG&amp;E'!$J$21</c:f>
              <c:strCache>
                <c:ptCount val="1"/>
                <c:pt idx="0">
                  <c:v>Tranport Value</c:v>
                </c:pt>
              </c:strCache>
            </c:strRef>
          </c:tx>
          <c:spPr>
            <a:solidFill>
              <a:srgbClr val="969696"/>
            </a:solidFill>
            <a:ln w="25400">
              <a:noFill/>
            </a:ln>
          </c:spPr>
          <c:val>
            <c:numRef>
              <c:f>'PGT - Malin to PG&amp;E'!$J$23:$J$72</c:f>
              <c:numCache>
                <c:formatCode>"$"#,##0.000_);\("$"#,##0.000\)</c:formatCode>
                <c:ptCount val="50"/>
                <c:pt idx="0">
                  <c:v>-0.21828800000000026</c:v>
                </c:pt>
                <c:pt idx="1">
                  <c:v>5.3074620909820402E-3</c:v>
                </c:pt>
                <c:pt idx="2">
                  <c:v>8.2372135135135249E-2</c:v>
                </c:pt>
                <c:pt idx="3">
                  <c:v>0.37710428279883368</c:v>
                </c:pt>
                <c:pt idx="4">
                  <c:v>6.9004805708338779E-2</c:v>
                </c:pt>
                <c:pt idx="5">
                  <c:v>0.22392034567901231</c:v>
                </c:pt>
                <c:pt idx="6">
                  <c:v>0.17845587434113408</c:v>
                </c:pt>
                <c:pt idx="7">
                  <c:v>0.31113173861675292</c:v>
                </c:pt>
                <c:pt idx="8">
                  <c:v>0.10045498922800694</c:v>
                </c:pt>
                <c:pt idx="9">
                  <c:v>0.63887739396541177</c:v>
                </c:pt>
                <c:pt idx="10">
                  <c:v>-0.52632328070175494</c:v>
                </c:pt>
                <c:pt idx="11">
                  <c:v>9.0758677419354949E-2</c:v>
                </c:pt>
                <c:pt idx="12">
                  <c:v>-6.2014936170212642E-2</c:v>
                </c:pt>
                <c:pt idx="13">
                  <c:v>1.7871609742748873E-2</c:v>
                </c:pt>
                <c:pt idx="14">
                  <c:v>0.30601768787276384</c:v>
                </c:pt>
                <c:pt idx="15">
                  <c:v>1.7715135135135118E-3</c:v>
                </c:pt>
                <c:pt idx="16">
                  <c:v>-0.21719800000000028</c:v>
                </c:pt>
                <c:pt idx="17">
                  <c:v>0.10868533333333308</c:v>
                </c:pt>
                <c:pt idx="18">
                  <c:v>0.33907566666666661</c:v>
                </c:pt>
                <c:pt idx="19">
                  <c:v>6.7581806451611715E-2</c:v>
                </c:pt>
                <c:pt idx="20">
                  <c:v>0.23637993103448135</c:v>
                </c:pt>
                <c:pt idx="21">
                  <c:v>0.29669741935483918</c:v>
                </c:pt>
                <c:pt idx="22">
                  <c:v>6.5528857142857833E-2</c:v>
                </c:pt>
                <c:pt idx="23">
                  <c:v>9.9920551724137496E-2</c:v>
                </c:pt>
                <c:pt idx="24">
                  <c:v>-0.32642099999999974</c:v>
                </c:pt>
                <c:pt idx="25">
                  <c:v>-9.0282142857142533E-2</c:v>
                </c:pt>
                <c:pt idx="26">
                  <c:v>1.4017999999999808E-2</c:v>
                </c:pt>
                <c:pt idx="27">
                  <c:v>0.34118499999999991</c:v>
                </c:pt>
                <c:pt idx="28">
                  <c:v>-5.6425806451698701E-4</c:v>
                </c:pt>
                <c:pt idx="29">
                  <c:v>6.7356666666666676E-2</c:v>
                </c:pt>
                <c:pt idx="30">
                  <c:v>-2.543422580645166E-2</c:v>
                </c:pt>
                <c:pt idx="31">
                  <c:v>0.17056296774193502</c:v>
                </c:pt>
                <c:pt idx="32">
                  <c:v>-0.1488040000000006</c:v>
                </c:pt>
                <c:pt idx="33">
                  <c:v>0.30998532258064526</c:v>
                </c:pt>
                <c:pt idx="34">
                  <c:v>-0.6447443333333337</c:v>
                </c:pt>
                <c:pt idx="35">
                  <c:v>-9.3802290322580806E-2</c:v>
                </c:pt>
                <c:pt idx="36">
                  <c:v>-0.13504232258064475</c:v>
                </c:pt>
                <c:pt idx="37">
                  <c:v>-8.9604517241377801E-2</c:v>
                </c:pt>
                <c:pt idx="38">
                  <c:v>0.2299159999999999</c:v>
                </c:pt>
                <c:pt idx="39">
                  <c:v>-0.11518999999999996</c:v>
                </c:pt>
                <c:pt idx="40">
                  <c:v>0.43710793548387145</c:v>
                </c:pt>
                <c:pt idx="41">
                  <c:v>0.47493199999999958</c:v>
                </c:pt>
                <c:pt idx="42">
                  <c:v>-0.42278870967741905</c:v>
                </c:pt>
                <c:pt idx="43">
                  <c:v>0.56174325806451519</c:v>
                </c:pt>
                <c:pt idx="44">
                  <c:v>-0.32726766666666518</c:v>
                </c:pt>
                <c:pt idx="45">
                  <c:v>-4.3715193548386266E-2</c:v>
                </c:pt>
                <c:pt idx="46">
                  <c:v>4.382667333333333</c:v>
                </c:pt>
                <c:pt idx="47">
                  <c:v>7.0466557096774176</c:v>
                </c:pt>
                <c:pt idx="48">
                  <c:v>-3.8564160322580667</c:v>
                </c:pt>
                <c:pt idx="49">
                  <c:v>1.0790075454545434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724112"/>
        <c:axId val="150724672"/>
      </c:areaChart>
      <c:lineChart>
        <c:grouping val="standard"/>
        <c:varyColors val="0"/>
        <c:ser>
          <c:idx val="0"/>
          <c:order val="0"/>
          <c:tx>
            <c:strRef>
              <c:f>'PGT - Malin to PG&amp;E'!$F$21</c:f>
              <c:strCache>
                <c:ptCount val="1"/>
                <c:pt idx="0">
                  <c:v>Malin/PG&amp;E Spread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'PGT - Malin to PG&amp;E'!$A$23:$A$72</c:f>
              <c:numCache>
                <c:formatCode>mmm\-yy</c:formatCode>
                <c:ptCount val="50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  <c:pt idx="48">
                  <c:v>36892</c:v>
                </c:pt>
                <c:pt idx="49">
                  <c:v>36923</c:v>
                </c:pt>
              </c:numCache>
            </c:numRef>
          </c:cat>
          <c:val>
            <c:numRef>
              <c:f>'PGT - Malin to PG&amp;E'!$F$23:$F$72</c:f>
              <c:numCache>
                <c:formatCode>"$"#,##0.000_);\("$"#,##0.000\)</c:formatCode>
                <c:ptCount val="50"/>
                <c:pt idx="0">
                  <c:v>9.4999999999999751E-2</c:v>
                </c:pt>
                <c:pt idx="1">
                  <c:v>0.30105746209098205</c:v>
                </c:pt>
                <c:pt idx="2">
                  <c:v>0.36513513513513529</c:v>
                </c:pt>
                <c:pt idx="3">
                  <c:v>0.66142128279883372</c:v>
                </c:pt>
                <c:pt idx="4">
                  <c:v>0.35654080570833879</c:v>
                </c:pt>
                <c:pt idx="5">
                  <c:v>0.51101234567901233</c:v>
                </c:pt>
                <c:pt idx="6">
                  <c:v>0.46377187434113409</c:v>
                </c:pt>
                <c:pt idx="7">
                  <c:v>0.59589273861675296</c:v>
                </c:pt>
                <c:pt idx="8">
                  <c:v>0.38765798922800698</c:v>
                </c:pt>
                <c:pt idx="9">
                  <c:v>0.93229639396541186</c:v>
                </c:pt>
                <c:pt idx="10">
                  <c:v>-0.22491228070175495</c:v>
                </c:pt>
                <c:pt idx="11">
                  <c:v>0.37995967741935499</c:v>
                </c:pt>
                <c:pt idx="12">
                  <c:v>0.22885106382978737</c:v>
                </c:pt>
                <c:pt idx="13">
                  <c:v>0.30551860974274891</c:v>
                </c:pt>
                <c:pt idx="14">
                  <c:v>0.59521868787276389</c:v>
                </c:pt>
                <c:pt idx="15">
                  <c:v>0.29163851351351355</c:v>
                </c:pt>
                <c:pt idx="16">
                  <c:v>7.4999999999999734E-2</c:v>
                </c:pt>
                <c:pt idx="17">
                  <c:v>0.39533333333333309</c:v>
                </c:pt>
                <c:pt idx="18">
                  <c:v>0.62716666666666665</c:v>
                </c:pt>
                <c:pt idx="19">
                  <c:v>0.35822580645161173</c:v>
                </c:pt>
                <c:pt idx="20">
                  <c:v>0.52413793103448136</c:v>
                </c:pt>
                <c:pt idx="21">
                  <c:v>0.58467741935483919</c:v>
                </c:pt>
                <c:pt idx="22">
                  <c:v>0.35839285714285785</c:v>
                </c:pt>
                <c:pt idx="23">
                  <c:v>0.39189655172413751</c:v>
                </c:pt>
                <c:pt idx="24">
                  <c:v>-3.4999999999999698E-2</c:v>
                </c:pt>
                <c:pt idx="25">
                  <c:v>0.19714285714285751</c:v>
                </c:pt>
                <c:pt idx="26">
                  <c:v>0.29999999999999982</c:v>
                </c:pt>
                <c:pt idx="27">
                  <c:v>0.62749999999999995</c:v>
                </c:pt>
                <c:pt idx="28">
                  <c:v>0.29096774193548303</c:v>
                </c:pt>
                <c:pt idx="29">
                  <c:v>0.35866666666666669</c:v>
                </c:pt>
                <c:pt idx="30">
                  <c:v>0.26709677419354838</c:v>
                </c:pt>
                <c:pt idx="31">
                  <c:v>0.46387096774193504</c:v>
                </c:pt>
                <c:pt idx="32">
                  <c:v>0.14849999999999941</c:v>
                </c:pt>
                <c:pt idx="33">
                  <c:v>0.6062903225806453</c:v>
                </c:pt>
                <c:pt idx="34">
                  <c:v>-0.34333333333333371</c:v>
                </c:pt>
                <c:pt idx="35">
                  <c:v>0.19983870967741924</c:v>
                </c:pt>
                <c:pt idx="36">
                  <c:v>0.15870967741935527</c:v>
                </c:pt>
                <c:pt idx="37">
                  <c:v>0.20603448275862224</c:v>
                </c:pt>
                <c:pt idx="38">
                  <c:v>0.52499999999999991</c:v>
                </c:pt>
                <c:pt idx="39">
                  <c:v>0.18500000000000005</c:v>
                </c:pt>
                <c:pt idx="40">
                  <c:v>0.73774193548387146</c:v>
                </c:pt>
                <c:pt idx="41">
                  <c:v>0.78599999999999959</c:v>
                </c:pt>
                <c:pt idx="42">
                  <c:v>-0.10483870967741904</c:v>
                </c:pt>
                <c:pt idx="43">
                  <c:v>0.87403225806451523</c:v>
                </c:pt>
                <c:pt idx="44">
                  <c:v>6.3333333333348563E-3</c:v>
                </c:pt>
                <c:pt idx="45">
                  <c:v>0.28322580645161377</c:v>
                </c:pt>
                <c:pt idx="46">
                  <c:v>4.706833333333333</c:v>
                </c:pt>
                <c:pt idx="47">
                  <c:v>7.4648387096774176</c:v>
                </c:pt>
                <c:pt idx="48">
                  <c:v>-3.4311290322580668</c:v>
                </c:pt>
                <c:pt idx="49">
                  <c:v>1.4554545454545433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'PGT - Malin to PG&amp;E'!$H$21</c:f>
              <c:strCache>
                <c:ptCount val="1"/>
                <c:pt idx="0">
                  <c:v>PGT Toll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'PGT - Malin to PG&amp;E'!$H$23:$H$72</c:f>
              <c:numCache>
                <c:formatCode>"$"#,##0.000_);\("$"#,##0.000\)</c:formatCode>
                <c:ptCount val="50"/>
                <c:pt idx="0">
                  <c:v>0.31328800000000001</c:v>
                </c:pt>
                <c:pt idx="1">
                  <c:v>0.29575000000000001</c:v>
                </c:pt>
                <c:pt idx="2">
                  <c:v>0.28276300000000004</c:v>
                </c:pt>
                <c:pt idx="3">
                  <c:v>0.28431700000000004</c:v>
                </c:pt>
                <c:pt idx="4">
                  <c:v>0.28753600000000001</c:v>
                </c:pt>
                <c:pt idx="5">
                  <c:v>0.28709200000000001</c:v>
                </c:pt>
                <c:pt idx="6">
                  <c:v>0.28531600000000001</c:v>
                </c:pt>
                <c:pt idx="7">
                  <c:v>0.28476100000000004</c:v>
                </c:pt>
                <c:pt idx="8">
                  <c:v>0.28720300000000004</c:v>
                </c:pt>
                <c:pt idx="9">
                  <c:v>0.29341900000000004</c:v>
                </c:pt>
                <c:pt idx="10">
                  <c:v>0.30141099999999998</c:v>
                </c:pt>
                <c:pt idx="11">
                  <c:v>0.28920100000000004</c:v>
                </c:pt>
                <c:pt idx="12">
                  <c:v>0.29086600000000001</c:v>
                </c:pt>
                <c:pt idx="13">
                  <c:v>0.28764700000000004</c:v>
                </c:pt>
                <c:pt idx="14">
                  <c:v>0.28920100000000004</c:v>
                </c:pt>
                <c:pt idx="15">
                  <c:v>0.28986700000000004</c:v>
                </c:pt>
                <c:pt idx="16">
                  <c:v>0.29219800000000001</c:v>
                </c:pt>
                <c:pt idx="17">
                  <c:v>0.28664800000000001</c:v>
                </c:pt>
                <c:pt idx="18">
                  <c:v>0.28809100000000004</c:v>
                </c:pt>
                <c:pt idx="19">
                  <c:v>0.29064400000000001</c:v>
                </c:pt>
                <c:pt idx="20">
                  <c:v>0.28775800000000001</c:v>
                </c:pt>
                <c:pt idx="21">
                  <c:v>0.28798000000000001</c:v>
                </c:pt>
                <c:pt idx="22">
                  <c:v>0.29286400000000001</c:v>
                </c:pt>
                <c:pt idx="23">
                  <c:v>0.29197600000000001</c:v>
                </c:pt>
                <c:pt idx="24">
                  <c:v>0.29142100000000004</c:v>
                </c:pt>
                <c:pt idx="25">
                  <c:v>0.28742500000000004</c:v>
                </c:pt>
                <c:pt idx="26">
                  <c:v>0.28598200000000001</c:v>
                </c:pt>
                <c:pt idx="27">
                  <c:v>0.28631500000000004</c:v>
                </c:pt>
                <c:pt idx="28">
                  <c:v>0.29153200000000001</c:v>
                </c:pt>
                <c:pt idx="29">
                  <c:v>0.29131000000000001</c:v>
                </c:pt>
                <c:pt idx="30">
                  <c:v>0.29253100000000004</c:v>
                </c:pt>
                <c:pt idx="31">
                  <c:v>0.29330800000000001</c:v>
                </c:pt>
                <c:pt idx="32">
                  <c:v>0.29730400000000001</c:v>
                </c:pt>
                <c:pt idx="33">
                  <c:v>0.29630500000000004</c:v>
                </c:pt>
                <c:pt idx="34">
                  <c:v>0.30141099999999998</c:v>
                </c:pt>
                <c:pt idx="35">
                  <c:v>0.29364100000000004</c:v>
                </c:pt>
                <c:pt idx="36">
                  <c:v>0.29375200000000001</c:v>
                </c:pt>
                <c:pt idx="37">
                  <c:v>0.29563900000000004</c:v>
                </c:pt>
                <c:pt idx="38">
                  <c:v>0.29508400000000001</c:v>
                </c:pt>
                <c:pt idx="39">
                  <c:v>0.30019000000000001</c:v>
                </c:pt>
                <c:pt idx="40">
                  <c:v>0.30063400000000001</c:v>
                </c:pt>
                <c:pt idx="41">
                  <c:v>0.31106800000000001</c:v>
                </c:pt>
                <c:pt idx="42">
                  <c:v>0.31795000000000001</c:v>
                </c:pt>
                <c:pt idx="43">
                  <c:v>0.31228900000000004</c:v>
                </c:pt>
                <c:pt idx="44">
                  <c:v>0.33360100000000004</c:v>
                </c:pt>
                <c:pt idx="45">
                  <c:v>0.32694100000000004</c:v>
                </c:pt>
                <c:pt idx="46">
                  <c:v>0.32416600000000001</c:v>
                </c:pt>
                <c:pt idx="47">
                  <c:v>0.41818300000000003</c:v>
                </c:pt>
                <c:pt idx="48">
                  <c:v>0.42528700000000003</c:v>
                </c:pt>
                <c:pt idx="49">
                  <c:v>0.37644700000000003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724112"/>
        <c:axId val="150724672"/>
      </c:lineChart>
      <c:dateAx>
        <c:axId val="15072411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50724672"/>
        <c:crosses val="autoZero"/>
        <c:auto val="1"/>
        <c:lblOffset val="100"/>
        <c:baseTimeUnit val="months"/>
        <c:majorUnit val="4"/>
        <c:majorTimeUnit val="months"/>
        <c:minorUnit val="2"/>
        <c:minorTimeUnit val="months"/>
      </c:dateAx>
      <c:valAx>
        <c:axId val="1507246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$/MMBtu</a:t>
                </a:r>
              </a:p>
            </c:rich>
          </c:tx>
          <c:layout>
            <c:manualLayout>
              <c:xMode val="edge"/>
              <c:yMode val="edge"/>
              <c:x val="3.2258096272224937E-2"/>
              <c:y val="0.28519905869080459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_);\(#,##0.0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50724112"/>
        <c:crosses val="autoZero"/>
        <c:crossBetween val="midCat"/>
      </c:valAx>
      <c:spPr>
        <a:gradFill rotWithShape="0">
          <a:gsLst>
            <a:gs pos="0">
              <a:srgbClr xmlns:mc="http://schemas.openxmlformats.org/markup-compatibility/2006" xmlns:a14="http://schemas.microsoft.com/office/drawing/2010/main" val="C0C0C0" mc:Ignorable="a14" a14:legacySpreadsheetColorIndex="22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xmlns:mc="http://schemas.openxmlformats.org/markup-compatibility/2006" xmlns:a14="http://schemas.microsoft.com/office/drawing/2010/main" val="C0C0C0" mc:Ignorable="a14" a14:legacySpreadsheetColorIndex="22"/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298389359396027"/>
          <c:y val="0.8844780934081915"/>
          <c:w val="0.65322644951255504"/>
          <c:h val="9.025286667430525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40" b="0" i="0" u="none" strike="noStrike" baseline="0">
              <a:solidFill>
                <a:srgbClr val="000000"/>
              </a:solidFill>
              <a:latin typeface="Arial Narrow"/>
              <a:ea typeface="Arial Narrow"/>
              <a:cs typeface="Arial Narrow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733887441216688"/>
          <c:y val="9.7473096008249674E-2"/>
          <c:w val="0.7802427035844407"/>
          <c:h val="0.56317788804766478"/>
        </c:manualLayout>
      </c:layout>
      <c:areaChart>
        <c:grouping val="stacked"/>
        <c:varyColors val="0"/>
        <c:ser>
          <c:idx val="2"/>
          <c:order val="2"/>
          <c:tx>
            <c:strRef>
              <c:f>'PGT - AECO to PG&amp;E'!$J$21</c:f>
              <c:strCache>
                <c:ptCount val="1"/>
                <c:pt idx="0">
                  <c:v>Tranport Value</c:v>
                </c:pt>
              </c:strCache>
            </c:strRef>
          </c:tx>
          <c:spPr>
            <a:solidFill>
              <a:srgbClr val="969696"/>
            </a:solidFill>
            <a:ln w="25400">
              <a:noFill/>
            </a:ln>
          </c:spPr>
          <c:val>
            <c:numRef>
              <c:f>'PGT - AECO to PG&amp;E'!$J$23:$J$72</c:f>
              <c:numCache>
                <c:formatCode>"$"#,##0.000_);\("$"#,##0.000\)</c:formatCode>
                <c:ptCount val="50"/>
                <c:pt idx="0">
                  <c:v>0.34590554838709731</c:v>
                </c:pt>
                <c:pt idx="1">
                  <c:v>-6.43353950518748E-2</c:v>
                </c:pt>
                <c:pt idx="2">
                  <c:v>-0.74666012292938078</c:v>
                </c:pt>
                <c:pt idx="3">
                  <c:v>-0.60972905053449988</c:v>
                </c:pt>
                <c:pt idx="4">
                  <c:v>-0.56873712977553181</c:v>
                </c:pt>
                <c:pt idx="5">
                  <c:v>-0.28841298765432088</c:v>
                </c:pt>
                <c:pt idx="6">
                  <c:v>-0.44880219017499479</c:v>
                </c:pt>
                <c:pt idx="7">
                  <c:v>-0.35580374525421499</c:v>
                </c:pt>
                <c:pt idx="8">
                  <c:v>-0.31437834410532628</c:v>
                </c:pt>
                <c:pt idx="9">
                  <c:v>0.51452255525573465</c:v>
                </c:pt>
                <c:pt idx="10">
                  <c:v>0.12484338596491207</c:v>
                </c:pt>
                <c:pt idx="11">
                  <c:v>-1.8434870967741435E-2</c:v>
                </c:pt>
                <c:pt idx="12">
                  <c:v>-0.14007945229924479</c:v>
                </c:pt>
                <c:pt idx="13">
                  <c:v>-0.52998553311439411</c:v>
                </c:pt>
                <c:pt idx="14">
                  <c:v>-0.21785327986917136</c:v>
                </c:pt>
                <c:pt idx="15">
                  <c:v>-0.92456181981982</c:v>
                </c:pt>
                <c:pt idx="16">
                  <c:v>-0.47768187096774195</c:v>
                </c:pt>
                <c:pt idx="17">
                  <c:v>-0.69864800000000093</c:v>
                </c:pt>
                <c:pt idx="18">
                  <c:v>-0.50511788172042982</c:v>
                </c:pt>
                <c:pt idx="19">
                  <c:v>-0.33467625806451662</c:v>
                </c:pt>
                <c:pt idx="20">
                  <c:v>-0.67062006896551885</c:v>
                </c:pt>
                <c:pt idx="21">
                  <c:v>-0.93685096774193499</c:v>
                </c:pt>
                <c:pt idx="22">
                  <c:v>-0.89930447619047549</c:v>
                </c:pt>
                <c:pt idx="23">
                  <c:v>-0.64233751279199136</c:v>
                </c:pt>
                <c:pt idx="24">
                  <c:v>-1.2093242258064516</c:v>
                </c:pt>
                <c:pt idx="25">
                  <c:v>-1.2640321428571424</c:v>
                </c:pt>
                <c:pt idx="26">
                  <c:v>-1.2485626451612906</c:v>
                </c:pt>
                <c:pt idx="27">
                  <c:v>-1.2148150000000004</c:v>
                </c:pt>
                <c:pt idx="28">
                  <c:v>-1.2599190967741951</c:v>
                </c:pt>
                <c:pt idx="29">
                  <c:v>-1.3046433333333332</c:v>
                </c:pt>
                <c:pt idx="30">
                  <c:v>-1.2767245483870968</c:v>
                </c:pt>
                <c:pt idx="31">
                  <c:v>-1.4797596129032262</c:v>
                </c:pt>
                <c:pt idx="32">
                  <c:v>-1.3038040000000009</c:v>
                </c:pt>
                <c:pt idx="33">
                  <c:v>-1.3980791935483867</c:v>
                </c:pt>
                <c:pt idx="34">
                  <c:v>-1.2092443333333347</c:v>
                </c:pt>
                <c:pt idx="35">
                  <c:v>-1.2541248709677419</c:v>
                </c:pt>
                <c:pt idx="36">
                  <c:v>-1.3221390967741931</c:v>
                </c:pt>
                <c:pt idx="37">
                  <c:v>-1.3815010689655165</c:v>
                </c:pt>
                <c:pt idx="38">
                  <c:v>-1.5313743225806442</c:v>
                </c:pt>
                <c:pt idx="39">
                  <c:v>-1.6660233333333336</c:v>
                </c:pt>
                <c:pt idx="40">
                  <c:v>-1.6459565806451624</c:v>
                </c:pt>
                <c:pt idx="41">
                  <c:v>-1.4327346666666665</c:v>
                </c:pt>
                <c:pt idx="42">
                  <c:v>-1.1387564516129032</c:v>
                </c:pt>
                <c:pt idx="43">
                  <c:v>-0.63261158064516343</c:v>
                </c:pt>
                <c:pt idx="44">
                  <c:v>-1.2986010000000001</c:v>
                </c:pt>
                <c:pt idx="45">
                  <c:v>-1.8579087419354827</c:v>
                </c:pt>
                <c:pt idx="46">
                  <c:v>1.6011673333333332</c:v>
                </c:pt>
                <c:pt idx="47">
                  <c:v>8.179236354838709</c:v>
                </c:pt>
                <c:pt idx="48">
                  <c:v>-1.0943192580645191</c:v>
                </c:pt>
                <c:pt idx="49">
                  <c:v>2.1671893636363624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605152"/>
        <c:axId val="150605712"/>
      </c:areaChart>
      <c:lineChart>
        <c:grouping val="standard"/>
        <c:varyColors val="0"/>
        <c:ser>
          <c:idx val="0"/>
          <c:order val="0"/>
          <c:tx>
            <c:strRef>
              <c:f>'PGT - AECO to PG&amp;E'!$F$21</c:f>
              <c:strCache>
                <c:ptCount val="1"/>
                <c:pt idx="0">
                  <c:v>AECO/PG&amp;E Spread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'PGT - AECO to PG&amp;E'!$A$23:$A$72</c:f>
              <c:numCache>
                <c:formatCode>mmm\-yy</c:formatCode>
                <c:ptCount val="50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  <c:pt idx="48">
                  <c:v>36892</c:v>
                </c:pt>
                <c:pt idx="49">
                  <c:v>36923</c:v>
                </c:pt>
              </c:numCache>
            </c:numRef>
          </c:cat>
          <c:val>
            <c:numRef>
              <c:f>'PGT - AECO to PG&amp;E'!$F$23:$F$72</c:f>
              <c:numCache>
                <c:formatCode>"$"#,##0.000_);\("$"#,##0.000\)</c:formatCode>
                <c:ptCount val="50"/>
                <c:pt idx="0">
                  <c:v>1.3391935483870974</c:v>
                </c:pt>
                <c:pt idx="1">
                  <c:v>0.91141460494812532</c:v>
                </c:pt>
                <c:pt idx="2">
                  <c:v>0.21610287707061926</c:v>
                </c:pt>
                <c:pt idx="3">
                  <c:v>0.35458794946550021</c:v>
                </c:pt>
                <c:pt idx="4">
                  <c:v>0.39879887022446825</c:v>
                </c:pt>
                <c:pt idx="5">
                  <c:v>0.67867901234567918</c:v>
                </c:pt>
                <c:pt idx="6">
                  <c:v>0.51651380982500528</c:v>
                </c:pt>
                <c:pt idx="7">
                  <c:v>0.6089572547457851</c:v>
                </c:pt>
                <c:pt idx="8">
                  <c:v>0.65282465589467376</c:v>
                </c:pt>
                <c:pt idx="9">
                  <c:v>1.4879415552557347</c:v>
                </c:pt>
                <c:pt idx="10">
                  <c:v>1.1062543859649121</c:v>
                </c:pt>
                <c:pt idx="11">
                  <c:v>0.95076612903225866</c:v>
                </c:pt>
                <c:pt idx="12">
                  <c:v>0.83078654770075522</c:v>
                </c:pt>
                <c:pt idx="13">
                  <c:v>0.43766146688560603</c:v>
                </c:pt>
                <c:pt idx="14">
                  <c:v>0.75134772013082873</c:v>
                </c:pt>
                <c:pt idx="15">
                  <c:v>4.5305180180180038E-2</c:v>
                </c:pt>
                <c:pt idx="16">
                  <c:v>0.49451612903225817</c:v>
                </c:pt>
                <c:pt idx="17">
                  <c:v>0.26799999999999913</c:v>
                </c:pt>
                <c:pt idx="18">
                  <c:v>0.46297311827957022</c:v>
                </c:pt>
                <c:pt idx="19">
                  <c:v>0.63596774193548344</c:v>
                </c:pt>
                <c:pt idx="20">
                  <c:v>0.29713793103448127</c:v>
                </c:pt>
                <c:pt idx="21">
                  <c:v>3.112903225806507E-2</c:v>
                </c:pt>
                <c:pt idx="22">
                  <c:v>7.3559523809524574E-2</c:v>
                </c:pt>
                <c:pt idx="23">
                  <c:v>0.3296384872080087</c:v>
                </c:pt>
                <c:pt idx="24">
                  <c:v>-0.23790322580645151</c:v>
                </c:pt>
                <c:pt idx="25">
                  <c:v>-0.2966071428571424</c:v>
                </c:pt>
                <c:pt idx="26">
                  <c:v>-0.28258064516129044</c:v>
                </c:pt>
                <c:pt idx="27">
                  <c:v>-0.24850000000000039</c:v>
                </c:pt>
                <c:pt idx="28">
                  <c:v>-0.28838709677419505</c:v>
                </c:pt>
                <c:pt idx="29">
                  <c:v>-0.33333333333333304</c:v>
                </c:pt>
                <c:pt idx="30">
                  <c:v>-0.30419354838709678</c:v>
                </c:pt>
                <c:pt idx="31">
                  <c:v>-0.50645161290322616</c:v>
                </c:pt>
                <c:pt idx="32">
                  <c:v>-0.32650000000000068</c:v>
                </c:pt>
                <c:pt idx="33">
                  <c:v>-0.42177419354838674</c:v>
                </c:pt>
                <c:pt idx="34">
                  <c:v>-0.22783333333333466</c:v>
                </c:pt>
                <c:pt idx="35">
                  <c:v>-0.28048387096774174</c:v>
                </c:pt>
                <c:pt idx="36">
                  <c:v>-0.34838709677419288</c:v>
                </c:pt>
                <c:pt idx="37">
                  <c:v>-0.40586206896551635</c:v>
                </c:pt>
                <c:pt idx="38">
                  <c:v>-0.55629032258064415</c:v>
                </c:pt>
                <c:pt idx="39">
                  <c:v>-0.68583333333333352</c:v>
                </c:pt>
                <c:pt idx="40">
                  <c:v>-0.66532258064516236</c:v>
                </c:pt>
                <c:pt idx="41">
                  <c:v>-0.44166666666666643</c:v>
                </c:pt>
                <c:pt idx="42">
                  <c:v>-0.14080645161290306</c:v>
                </c:pt>
                <c:pt idx="43">
                  <c:v>0.35967741935483666</c:v>
                </c:pt>
                <c:pt idx="44">
                  <c:v>-0.28500000000000014</c:v>
                </c:pt>
                <c:pt idx="45">
                  <c:v>-0.85096774193548264</c:v>
                </c:pt>
                <c:pt idx="46">
                  <c:v>2.6053333333333333</c:v>
                </c:pt>
                <c:pt idx="47">
                  <c:v>9.2774193548387096</c:v>
                </c:pt>
                <c:pt idx="48">
                  <c:v>1.0967741935481001E-2</c:v>
                </c:pt>
                <c:pt idx="49">
                  <c:v>3.2236363636363627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'PGT - AECO to PG&amp;E'!$H$21</c:f>
              <c:strCache>
                <c:ptCount val="1"/>
                <c:pt idx="0">
                  <c:v>PGT Toll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'PGT - AECO to PG&amp;E'!$H$23:$H$72</c:f>
              <c:numCache>
                <c:formatCode>"$"#,##0.000_);\("$"#,##0.000\)</c:formatCode>
                <c:ptCount val="50"/>
                <c:pt idx="0">
                  <c:v>0.99328800000000006</c:v>
                </c:pt>
                <c:pt idx="1">
                  <c:v>0.97575000000000012</c:v>
                </c:pt>
                <c:pt idx="2">
                  <c:v>0.96276300000000004</c:v>
                </c:pt>
                <c:pt idx="3">
                  <c:v>0.96431700000000009</c:v>
                </c:pt>
                <c:pt idx="4">
                  <c:v>0.96753600000000006</c:v>
                </c:pt>
                <c:pt idx="5">
                  <c:v>0.96709200000000006</c:v>
                </c:pt>
                <c:pt idx="6">
                  <c:v>0.96531600000000006</c:v>
                </c:pt>
                <c:pt idx="7">
                  <c:v>0.96476100000000009</c:v>
                </c:pt>
                <c:pt idx="8">
                  <c:v>0.96720300000000003</c:v>
                </c:pt>
                <c:pt idx="9">
                  <c:v>0.97341900000000003</c:v>
                </c:pt>
                <c:pt idx="10">
                  <c:v>0.98141100000000003</c:v>
                </c:pt>
                <c:pt idx="11">
                  <c:v>0.96920100000000009</c:v>
                </c:pt>
                <c:pt idx="12">
                  <c:v>0.97086600000000001</c:v>
                </c:pt>
                <c:pt idx="13">
                  <c:v>0.96764700000000015</c:v>
                </c:pt>
                <c:pt idx="14">
                  <c:v>0.96920100000000009</c:v>
                </c:pt>
                <c:pt idx="15">
                  <c:v>0.96986700000000003</c:v>
                </c:pt>
                <c:pt idx="16">
                  <c:v>0.97219800000000012</c:v>
                </c:pt>
                <c:pt idx="17">
                  <c:v>0.96664800000000006</c:v>
                </c:pt>
                <c:pt idx="18">
                  <c:v>0.96809100000000003</c:v>
                </c:pt>
                <c:pt idx="19">
                  <c:v>0.97064400000000006</c:v>
                </c:pt>
                <c:pt idx="20">
                  <c:v>0.96775800000000012</c:v>
                </c:pt>
                <c:pt idx="21">
                  <c:v>0.96798000000000006</c:v>
                </c:pt>
                <c:pt idx="22">
                  <c:v>0.97286400000000006</c:v>
                </c:pt>
                <c:pt idx="23">
                  <c:v>0.97197600000000006</c:v>
                </c:pt>
                <c:pt idx="24">
                  <c:v>0.97142100000000009</c:v>
                </c:pt>
                <c:pt idx="25">
                  <c:v>0.96742500000000009</c:v>
                </c:pt>
                <c:pt idx="26">
                  <c:v>0.96598200000000012</c:v>
                </c:pt>
                <c:pt idx="27">
                  <c:v>0.96631500000000004</c:v>
                </c:pt>
                <c:pt idx="28">
                  <c:v>0.97153200000000006</c:v>
                </c:pt>
                <c:pt idx="29">
                  <c:v>0.97131000000000012</c:v>
                </c:pt>
                <c:pt idx="30">
                  <c:v>0.97253100000000003</c:v>
                </c:pt>
                <c:pt idx="31">
                  <c:v>0.97330800000000006</c:v>
                </c:pt>
                <c:pt idx="32">
                  <c:v>0.97730400000000006</c:v>
                </c:pt>
                <c:pt idx="33">
                  <c:v>0.97630500000000009</c:v>
                </c:pt>
                <c:pt idx="34">
                  <c:v>0.98141100000000003</c:v>
                </c:pt>
                <c:pt idx="35">
                  <c:v>0.97364100000000009</c:v>
                </c:pt>
                <c:pt idx="36">
                  <c:v>0.97375200000000006</c:v>
                </c:pt>
                <c:pt idx="37">
                  <c:v>0.97563900000000015</c:v>
                </c:pt>
                <c:pt idx="38">
                  <c:v>0.97508400000000006</c:v>
                </c:pt>
                <c:pt idx="39">
                  <c:v>0.98019000000000012</c:v>
                </c:pt>
                <c:pt idx="40">
                  <c:v>0.98063400000000001</c:v>
                </c:pt>
                <c:pt idx="41">
                  <c:v>0.99106800000000006</c:v>
                </c:pt>
                <c:pt idx="42">
                  <c:v>0.99795000000000011</c:v>
                </c:pt>
                <c:pt idx="43">
                  <c:v>0.99228900000000009</c:v>
                </c:pt>
                <c:pt idx="44">
                  <c:v>1.013601</c:v>
                </c:pt>
                <c:pt idx="45">
                  <c:v>1.0069410000000001</c:v>
                </c:pt>
                <c:pt idx="46">
                  <c:v>1.0041660000000001</c:v>
                </c:pt>
                <c:pt idx="47">
                  <c:v>1.0981830000000001</c:v>
                </c:pt>
                <c:pt idx="48">
                  <c:v>1.1052870000000001</c:v>
                </c:pt>
                <c:pt idx="49">
                  <c:v>1.0564470000000001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605152"/>
        <c:axId val="150605712"/>
      </c:lineChart>
      <c:dateAx>
        <c:axId val="15060515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50605712"/>
        <c:crosses val="autoZero"/>
        <c:auto val="1"/>
        <c:lblOffset val="100"/>
        <c:baseTimeUnit val="months"/>
        <c:majorUnit val="4"/>
        <c:majorTimeUnit val="months"/>
        <c:minorUnit val="2"/>
        <c:minorTimeUnit val="months"/>
      </c:dateAx>
      <c:valAx>
        <c:axId val="1506057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$/MMBtu</a:t>
                </a:r>
              </a:p>
            </c:rich>
          </c:tx>
          <c:layout>
            <c:manualLayout>
              <c:xMode val="edge"/>
              <c:yMode val="edge"/>
              <c:x val="3.2258096272224937E-2"/>
              <c:y val="0.28519905869080459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_);\(#,##0.0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50605152"/>
        <c:crosses val="autoZero"/>
        <c:crossBetween val="midCat"/>
      </c:valAx>
      <c:spPr>
        <a:gradFill rotWithShape="0">
          <a:gsLst>
            <a:gs pos="0">
              <a:srgbClr xmlns:mc="http://schemas.openxmlformats.org/markup-compatibility/2006" xmlns:a14="http://schemas.microsoft.com/office/drawing/2010/main" val="C0C0C0" mc:Ignorable="a14" a14:legacySpreadsheetColorIndex="22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xmlns:mc="http://schemas.openxmlformats.org/markup-compatibility/2006" xmlns:a14="http://schemas.microsoft.com/office/drawing/2010/main" val="C0C0C0" mc:Ignorable="a14" a14:legacySpreadsheetColorIndex="22"/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2379054288856051"/>
          <c:y val="0.8844780934081915"/>
          <c:w val="0.66532323561463935"/>
          <c:h val="9.025286667430525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40" b="0" i="0" u="none" strike="noStrike" baseline="0">
              <a:solidFill>
                <a:srgbClr val="000000"/>
              </a:solidFill>
              <a:latin typeface="Arial Narrow"/>
              <a:ea typeface="Arial Narrow"/>
              <a:cs typeface="Arial Narrow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Drop" dropLines="20" dropStyle="combo" dx="22" fmlaLink="$B$22" fmlaRange="Prices!$Y$12:$Y$31" sel="5" val="0"/>
</file>

<file path=xl/ctrlProps/ctrlProp2.xml><?xml version="1.0" encoding="utf-8"?>
<formControlPr xmlns="http://schemas.microsoft.com/office/spreadsheetml/2009/9/main" objectType="Drop" dropLines="20" dropStyle="combo" dx="22" fmlaLink="$D$22" fmlaRange="Prices!$Y$12:$Y$31" sel="6" val="0"/>
</file>

<file path=xl/ctrlProps/ctrlProp3.xml><?xml version="1.0" encoding="utf-8"?>
<formControlPr xmlns="http://schemas.microsoft.com/office/spreadsheetml/2009/9/main" objectType="Drop" dropLines="20" dropStyle="combo" dx="22" fmlaLink="$B$22" fmlaRange="Prices!$Y$12:$Y$31" sel="2" val="0"/>
</file>

<file path=xl/ctrlProps/ctrlProp4.xml><?xml version="1.0" encoding="utf-8"?>
<formControlPr xmlns="http://schemas.microsoft.com/office/spreadsheetml/2009/9/main" objectType="Drop" dropLines="20" dropStyle="combo" dx="22" fmlaLink="$D$22" fmlaRange="Prices!$Y$12:$Y$31" sel="4" val="0"/>
</file>

<file path=xl/ctrlProps/ctrlProp5.xml><?xml version="1.0" encoding="utf-8"?>
<formControlPr xmlns="http://schemas.microsoft.com/office/spreadsheetml/2009/9/main" objectType="Drop" dropLines="20" dropStyle="combo" dx="22" fmlaLink="$B$22" fmlaRange="Prices!$Y$12:$Y$31" sel="5" val="0"/>
</file>

<file path=xl/ctrlProps/ctrlProp6.xml><?xml version="1.0" encoding="utf-8"?>
<formControlPr xmlns="http://schemas.microsoft.com/office/spreadsheetml/2009/9/main" objectType="Drop" dropLines="20" dropStyle="combo" dx="22" fmlaLink="$D$22" fmlaRange="Prices!$Y$12:$Y$31" sel="6" val="0"/>
</file>

<file path=xl/ctrlProps/ctrlProp7.xml><?xml version="1.0" encoding="utf-8"?>
<formControlPr xmlns="http://schemas.microsoft.com/office/spreadsheetml/2009/9/main" objectType="Drop" dropLines="20" dropStyle="combo" dx="22" fmlaLink="$B$22" fmlaRange="Prices!$Y$12:$Y$31" sel="7" val="0"/>
</file>

<file path=xl/ctrlProps/ctrlProp8.xml><?xml version="1.0" encoding="utf-8"?>
<formControlPr xmlns="http://schemas.microsoft.com/office/spreadsheetml/2009/9/main" objectType="Drop" dropLines="20" dropStyle="combo" dx="22" fmlaLink="$D$22" fmlaRange="Prices!$Y$12:$Y$31" sel="9" val="0"/>
</file>

<file path=xl/ctrlProps/ctrlProp9.xml><?xml version="1.0" encoding="utf-8"?>
<formControlPr xmlns="http://schemas.microsoft.com/office/spreadsheetml/2009/9/main" objectType="Drop" dropLines="20" dropStyle="combo" dx="22" fmlaLink="$B$22" fmlaRange="Prices!$Y$12:$Y$31" sel="8" val="0"/>
</file>

<file path=xl/ctrlProps/ctrlProp10.xml><?xml version="1.0" encoding="utf-8"?>
<formControlPr xmlns="http://schemas.microsoft.com/office/spreadsheetml/2009/9/main" objectType="Drop" dropLines="20" dropStyle="combo" dx="22" fmlaLink="$D$22" fmlaRange="Prices!$Y$12:$Y$31" sel="9" val="0"/>
</file>

<file path=xl/ctrlProps/ctrlProp11.xml><?xml version="1.0" encoding="utf-8"?>
<formControlPr xmlns="http://schemas.microsoft.com/office/spreadsheetml/2009/9/main" objectType="Drop" dropLines="20" dropStyle="combo" dx="22" fmlaLink="$B$22" fmlaRange="Prices!$Y$12:$Y$31" sel="10" val="0"/>
</file>

<file path=xl/ctrlProps/ctrlProp12.xml><?xml version="1.0" encoding="utf-8"?>
<formControlPr xmlns="http://schemas.microsoft.com/office/spreadsheetml/2009/9/main" objectType="Drop" dropLines="20" dropStyle="combo" dx="22" fmlaLink="$D$22" fmlaRange="Prices!$Y$12:$Y$31" sel="11" val="0"/>
</file>

<file path=xl/ctrlProps/ctrlProp13.xml><?xml version="1.0" encoding="utf-8"?>
<formControlPr xmlns="http://schemas.microsoft.com/office/spreadsheetml/2009/9/main" objectType="Drop" dropLines="20" dropStyle="combo" dx="22" fmlaLink="$B$22" fmlaRange="Prices!$Y$12:$Y$31" sel="11" val="0"/>
</file>

<file path=xl/ctrlProps/ctrlProp14.xml><?xml version="1.0" encoding="utf-8"?>
<formControlPr xmlns="http://schemas.microsoft.com/office/spreadsheetml/2009/9/main" objectType="Drop" dropLines="20" dropStyle="combo" dx="22" fmlaLink="$D$22" fmlaRange="Prices!$Y$12:$Y$31" sel="12" val="0"/>
</file>

<file path=xl/ctrlProps/ctrlProp15.xml><?xml version="1.0" encoding="utf-8"?>
<formControlPr xmlns="http://schemas.microsoft.com/office/spreadsheetml/2009/9/main" objectType="Drop" dropLines="20" dropStyle="combo" dx="22" fmlaLink="$B$22" fmlaRange="Prices!$Y$12:$Y$31" sel="10" val="0"/>
</file>

<file path=xl/ctrlProps/ctrlProp16.xml><?xml version="1.0" encoding="utf-8"?>
<formControlPr xmlns="http://schemas.microsoft.com/office/spreadsheetml/2009/9/main" objectType="Drop" dropLines="20" dropStyle="combo" dx="22" fmlaLink="$D$22" fmlaRange="Prices!$Y$12:$Y$31" sel="12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20</xdr:row>
          <xdr:rowOff>28575</xdr:rowOff>
        </xdr:from>
        <xdr:to>
          <xdr:col>2</xdr:col>
          <xdr:colOff>2209800</xdr:colOff>
          <xdr:row>21</xdr:row>
          <xdr:rowOff>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20</xdr:row>
          <xdr:rowOff>19050</xdr:rowOff>
        </xdr:from>
        <xdr:to>
          <xdr:col>4</xdr:col>
          <xdr:colOff>2219325</xdr:colOff>
          <xdr:row>20</xdr:row>
          <xdr:rowOff>228600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638175</xdr:colOff>
      <xdr:row>2</xdr:row>
      <xdr:rowOff>47625</xdr:rowOff>
    </xdr:from>
    <xdr:to>
      <xdr:col>5</xdr:col>
      <xdr:colOff>847725</xdr:colOff>
      <xdr:row>18</xdr:row>
      <xdr:rowOff>95250</xdr:rowOff>
    </xdr:to>
    <xdr:graphicFrame macro="">
      <xdr:nvGraphicFramePr>
        <xdr:cNvPr id="1030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20</xdr:row>
          <xdr:rowOff>28575</xdr:rowOff>
        </xdr:from>
        <xdr:to>
          <xdr:col>2</xdr:col>
          <xdr:colOff>2209800</xdr:colOff>
          <xdr:row>21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20</xdr:row>
          <xdr:rowOff>19050</xdr:rowOff>
        </xdr:from>
        <xdr:to>
          <xdr:col>4</xdr:col>
          <xdr:colOff>2219325</xdr:colOff>
          <xdr:row>20</xdr:row>
          <xdr:rowOff>228600</xdr:rowOff>
        </xdr:to>
        <xdr:sp macro="" textlink="">
          <xdr:nvSpPr>
            <xdr:cNvPr id="5122" name="Drop Down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638175</xdr:colOff>
      <xdr:row>2</xdr:row>
      <xdr:rowOff>47625</xdr:rowOff>
    </xdr:from>
    <xdr:to>
      <xdr:col>5</xdr:col>
      <xdr:colOff>847725</xdr:colOff>
      <xdr:row>18</xdr:row>
      <xdr:rowOff>95250</xdr:rowOff>
    </xdr:to>
    <xdr:graphicFrame macro="">
      <xdr:nvGraphicFramePr>
        <xdr:cNvPr id="512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20</xdr:row>
          <xdr:rowOff>28575</xdr:rowOff>
        </xdr:from>
        <xdr:to>
          <xdr:col>2</xdr:col>
          <xdr:colOff>2209800</xdr:colOff>
          <xdr:row>21</xdr:row>
          <xdr:rowOff>0</xdr:rowOff>
        </xdr:to>
        <xdr:sp macro="" textlink="">
          <xdr:nvSpPr>
            <xdr:cNvPr id="7169" name="Drop Down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20</xdr:row>
          <xdr:rowOff>19050</xdr:rowOff>
        </xdr:from>
        <xdr:to>
          <xdr:col>4</xdr:col>
          <xdr:colOff>2219325</xdr:colOff>
          <xdr:row>20</xdr:row>
          <xdr:rowOff>228600</xdr:rowOff>
        </xdr:to>
        <xdr:sp macro="" textlink="">
          <xdr:nvSpPr>
            <xdr:cNvPr id="7170" name="Drop Down 2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638175</xdr:colOff>
      <xdr:row>2</xdr:row>
      <xdr:rowOff>47625</xdr:rowOff>
    </xdr:from>
    <xdr:to>
      <xdr:col>5</xdr:col>
      <xdr:colOff>847725</xdr:colOff>
      <xdr:row>18</xdr:row>
      <xdr:rowOff>95250</xdr:rowOff>
    </xdr:to>
    <xdr:graphicFrame macro="">
      <xdr:nvGraphicFramePr>
        <xdr:cNvPr id="7171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20</xdr:row>
          <xdr:rowOff>28575</xdr:rowOff>
        </xdr:from>
        <xdr:to>
          <xdr:col>2</xdr:col>
          <xdr:colOff>2209800</xdr:colOff>
          <xdr:row>21</xdr:row>
          <xdr:rowOff>0</xdr:rowOff>
        </xdr:to>
        <xdr:sp macro="" textlink="">
          <xdr:nvSpPr>
            <xdr:cNvPr id="9217" name="Drop Down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20</xdr:row>
          <xdr:rowOff>19050</xdr:rowOff>
        </xdr:from>
        <xdr:to>
          <xdr:col>4</xdr:col>
          <xdr:colOff>2219325</xdr:colOff>
          <xdr:row>20</xdr:row>
          <xdr:rowOff>228600</xdr:rowOff>
        </xdr:to>
        <xdr:sp macro="" textlink="">
          <xdr:nvSpPr>
            <xdr:cNvPr id="9218" name="Drop Down 2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638175</xdr:colOff>
      <xdr:row>2</xdr:row>
      <xdr:rowOff>47625</xdr:rowOff>
    </xdr:from>
    <xdr:to>
      <xdr:col>5</xdr:col>
      <xdr:colOff>847725</xdr:colOff>
      <xdr:row>18</xdr:row>
      <xdr:rowOff>95250</xdr:rowOff>
    </xdr:to>
    <xdr:graphicFrame macro="">
      <xdr:nvGraphicFramePr>
        <xdr:cNvPr id="9219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20</xdr:row>
          <xdr:rowOff>28575</xdr:rowOff>
        </xdr:from>
        <xdr:to>
          <xdr:col>2</xdr:col>
          <xdr:colOff>2209800</xdr:colOff>
          <xdr:row>21</xdr:row>
          <xdr:rowOff>0</xdr:rowOff>
        </xdr:to>
        <xdr:sp macro="" textlink="">
          <xdr:nvSpPr>
            <xdr:cNvPr id="11265" name="Drop Down 1" hidden="1">
              <a:extLst>
                <a:ext uri="{63B3BB69-23CF-44E3-9099-C40C66FF867C}">
                  <a14:compatExt spid="_x0000_s11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20</xdr:row>
          <xdr:rowOff>19050</xdr:rowOff>
        </xdr:from>
        <xdr:to>
          <xdr:col>4</xdr:col>
          <xdr:colOff>2219325</xdr:colOff>
          <xdr:row>20</xdr:row>
          <xdr:rowOff>228600</xdr:rowOff>
        </xdr:to>
        <xdr:sp macro="" textlink="">
          <xdr:nvSpPr>
            <xdr:cNvPr id="11266" name="Drop Down 2" hidden="1">
              <a:extLst>
                <a:ext uri="{63B3BB69-23CF-44E3-9099-C40C66FF867C}">
                  <a14:compatExt spid="_x0000_s1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638175</xdr:colOff>
      <xdr:row>2</xdr:row>
      <xdr:rowOff>47625</xdr:rowOff>
    </xdr:from>
    <xdr:to>
      <xdr:col>5</xdr:col>
      <xdr:colOff>847725</xdr:colOff>
      <xdr:row>18</xdr:row>
      <xdr:rowOff>95250</xdr:rowOff>
    </xdr:to>
    <xdr:graphicFrame macro="">
      <xdr:nvGraphicFramePr>
        <xdr:cNvPr id="1126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20</xdr:row>
          <xdr:rowOff>28575</xdr:rowOff>
        </xdr:from>
        <xdr:to>
          <xdr:col>2</xdr:col>
          <xdr:colOff>2209800</xdr:colOff>
          <xdr:row>21</xdr:row>
          <xdr:rowOff>0</xdr:rowOff>
        </xdr:to>
        <xdr:sp macro="" textlink="">
          <xdr:nvSpPr>
            <xdr:cNvPr id="13313" name="Drop Down 1" hidden="1">
              <a:extLst>
                <a:ext uri="{63B3BB69-23CF-44E3-9099-C40C66FF867C}">
                  <a14:compatExt spid="_x0000_s13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20</xdr:row>
          <xdr:rowOff>19050</xdr:rowOff>
        </xdr:from>
        <xdr:to>
          <xdr:col>4</xdr:col>
          <xdr:colOff>2219325</xdr:colOff>
          <xdr:row>20</xdr:row>
          <xdr:rowOff>228600</xdr:rowOff>
        </xdr:to>
        <xdr:sp macro="" textlink="">
          <xdr:nvSpPr>
            <xdr:cNvPr id="13314" name="Drop Down 2" hidden="1">
              <a:extLst>
                <a:ext uri="{63B3BB69-23CF-44E3-9099-C40C66FF867C}">
                  <a14:compatExt spid="_x0000_s13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638175</xdr:colOff>
      <xdr:row>2</xdr:row>
      <xdr:rowOff>47625</xdr:rowOff>
    </xdr:from>
    <xdr:to>
      <xdr:col>5</xdr:col>
      <xdr:colOff>847725</xdr:colOff>
      <xdr:row>18</xdr:row>
      <xdr:rowOff>95250</xdr:rowOff>
    </xdr:to>
    <xdr:graphicFrame macro="">
      <xdr:nvGraphicFramePr>
        <xdr:cNvPr id="13315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20</xdr:row>
          <xdr:rowOff>28575</xdr:rowOff>
        </xdr:from>
        <xdr:to>
          <xdr:col>2</xdr:col>
          <xdr:colOff>2209800</xdr:colOff>
          <xdr:row>21</xdr:row>
          <xdr:rowOff>0</xdr:rowOff>
        </xdr:to>
        <xdr:sp macro="" textlink="">
          <xdr:nvSpPr>
            <xdr:cNvPr id="15361" name="Drop Down 1" hidden="1">
              <a:extLst>
                <a:ext uri="{63B3BB69-23CF-44E3-9099-C40C66FF867C}">
                  <a14:compatExt spid="_x0000_s15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20</xdr:row>
          <xdr:rowOff>19050</xdr:rowOff>
        </xdr:from>
        <xdr:to>
          <xdr:col>4</xdr:col>
          <xdr:colOff>2219325</xdr:colOff>
          <xdr:row>20</xdr:row>
          <xdr:rowOff>228600</xdr:rowOff>
        </xdr:to>
        <xdr:sp macro="" textlink="">
          <xdr:nvSpPr>
            <xdr:cNvPr id="15362" name="Drop Down 2" hidden="1">
              <a:extLst>
                <a:ext uri="{63B3BB69-23CF-44E3-9099-C40C66FF867C}">
                  <a14:compatExt spid="_x0000_s15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638175</xdr:colOff>
      <xdr:row>2</xdr:row>
      <xdr:rowOff>47625</xdr:rowOff>
    </xdr:from>
    <xdr:to>
      <xdr:col>5</xdr:col>
      <xdr:colOff>847725</xdr:colOff>
      <xdr:row>18</xdr:row>
      <xdr:rowOff>95250</xdr:rowOff>
    </xdr:to>
    <xdr:graphicFrame macro="">
      <xdr:nvGraphicFramePr>
        <xdr:cNvPr id="1536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20</xdr:row>
          <xdr:rowOff>28575</xdr:rowOff>
        </xdr:from>
        <xdr:to>
          <xdr:col>2</xdr:col>
          <xdr:colOff>2209800</xdr:colOff>
          <xdr:row>21</xdr:row>
          <xdr:rowOff>0</xdr:rowOff>
        </xdr:to>
        <xdr:sp macro="" textlink="">
          <xdr:nvSpPr>
            <xdr:cNvPr id="17409" name="Drop Down 1" hidden="1">
              <a:extLst>
                <a:ext uri="{63B3BB69-23CF-44E3-9099-C40C66FF867C}">
                  <a14:compatExt spid="_x0000_s17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20</xdr:row>
          <xdr:rowOff>19050</xdr:rowOff>
        </xdr:from>
        <xdr:to>
          <xdr:col>4</xdr:col>
          <xdr:colOff>2219325</xdr:colOff>
          <xdr:row>20</xdr:row>
          <xdr:rowOff>228600</xdr:rowOff>
        </xdr:to>
        <xdr:sp macro="" textlink="">
          <xdr:nvSpPr>
            <xdr:cNvPr id="17410" name="Drop Down 2" hidden="1">
              <a:extLst>
                <a:ext uri="{63B3BB69-23CF-44E3-9099-C40C66FF867C}">
                  <a14:compatExt spid="_x0000_s17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638175</xdr:colOff>
      <xdr:row>2</xdr:row>
      <xdr:rowOff>47625</xdr:rowOff>
    </xdr:from>
    <xdr:to>
      <xdr:col>5</xdr:col>
      <xdr:colOff>847725</xdr:colOff>
      <xdr:row>18</xdr:row>
      <xdr:rowOff>95250</xdr:rowOff>
    </xdr:to>
    <xdr:graphicFrame macro="">
      <xdr:nvGraphicFramePr>
        <xdr:cNvPr id="17411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5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ctrlProp" Target="../ctrlProps/ctrlProp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7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4" Type="http://schemas.openxmlformats.org/officeDocument/2006/relationships/ctrlProp" Target="../ctrlProps/ctrlProp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9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4" Type="http://schemas.openxmlformats.org/officeDocument/2006/relationships/ctrlProp" Target="../ctrlProps/ctrlProp1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1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Relationship Id="rId4" Type="http://schemas.openxmlformats.org/officeDocument/2006/relationships/ctrlProp" Target="../ctrlProps/ctrlProp1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3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Relationship Id="rId4" Type="http://schemas.openxmlformats.org/officeDocument/2006/relationships/ctrlProp" Target="../ctrlProps/ctrlProp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5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Relationship Id="rId4" Type="http://schemas.openxmlformats.org/officeDocument/2006/relationships/ctrlProp" Target="../ctrlProps/ctrlProp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U106"/>
  <sheetViews>
    <sheetView showGridLines="0" zoomScale="75" workbookViewId="0">
      <selection activeCell="F10" sqref="F10"/>
    </sheetView>
  </sheetViews>
  <sheetFormatPr defaultRowHeight="12.75" x14ac:dyDescent="0.2"/>
  <cols>
    <col min="1" max="1" width="10.83203125" customWidth="1"/>
    <col min="2" max="2" width="10.83203125" hidden="1" customWidth="1"/>
    <col min="3" max="3" width="11.5" customWidth="1"/>
    <col min="4" max="4" width="16.5" customWidth="1"/>
    <col min="5" max="5" width="15.6640625" customWidth="1"/>
    <col min="6" max="6" width="20.5" customWidth="1"/>
    <col min="7" max="7" width="10.6640625" customWidth="1"/>
    <col min="8" max="8" width="13.33203125" customWidth="1"/>
    <col min="9" max="9" width="11.83203125" customWidth="1"/>
    <col min="10" max="10" width="13.1640625" customWidth="1"/>
    <col min="11" max="11" width="15.1640625" customWidth="1"/>
    <col min="12" max="12" width="11.5" customWidth="1"/>
    <col min="13" max="13" width="13.33203125" customWidth="1"/>
    <col min="14" max="14" width="18.33203125" customWidth="1"/>
  </cols>
  <sheetData>
    <row r="3" spans="1:47" x14ac:dyDescent="0.2">
      <c r="C3" s="29" t="s">
        <v>13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47" s="3" customFormat="1" x14ac:dyDescent="0.2">
      <c r="C4" s="10" t="s">
        <v>10</v>
      </c>
      <c r="D4" s="30" t="s">
        <v>2</v>
      </c>
      <c r="E4" s="30"/>
      <c r="F4" s="30"/>
      <c r="G4" s="31" t="s">
        <v>3</v>
      </c>
      <c r="H4" s="31"/>
      <c r="I4" s="30" t="s">
        <v>5</v>
      </c>
      <c r="J4" s="30"/>
      <c r="K4" s="30"/>
      <c r="L4" s="5" t="s">
        <v>7</v>
      </c>
      <c r="M4" s="5"/>
      <c r="N4" s="5"/>
    </row>
    <row r="5" spans="1:47" s="3" customFormat="1" ht="13.5" hidden="1" x14ac:dyDescent="0.25">
      <c r="C5" s="12">
        <v>1</v>
      </c>
      <c r="D5" s="9">
        <f>C5+1</f>
        <v>2</v>
      </c>
      <c r="E5" s="9">
        <f t="shared" ref="E5:L5" si="0">D5+1</f>
        <v>3</v>
      </c>
      <c r="F5" s="9">
        <f t="shared" si="0"/>
        <v>4</v>
      </c>
      <c r="G5" s="9">
        <f t="shared" si="0"/>
        <v>5</v>
      </c>
      <c r="H5" s="9">
        <f t="shared" si="0"/>
        <v>6</v>
      </c>
      <c r="I5" s="9">
        <f t="shared" si="0"/>
        <v>7</v>
      </c>
      <c r="J5" s="9">
        <f t="shared" si="0"/>
        <v>8</v>
      </c>
      <c r="K5" s="9">
        <f t="shared" si="0"/>
        <v>9</v>
      </c>
      <c r="L5" s="9">
        <f t="shared" si="0"/>
        <v>10</v>
      </c>
      <c r="M5" s="9">
        <f>L5+1</f>
        <v>11</v>
      </c>
      <c r="N5" s="9">
        <f>M5+1</f>
        <v>12</v>
      </c>
    </row>
    <row r="6" spans="1:47" s="3" customFormat="1" ht="13.5" x14ac:dyDescent="0.25">
      <c r="B6" s="12"/>
      <c r="C6" s="3" t="s">
        <v>10</v>
      </c>
      <c r="D6" s="4" t="s">
        <v>0</v>
      </c>
      <c r="E6" s="4" t="s">
        <v>1</v>
      </c>
      <c r="F6" s="4" t="s">
        <v>17</v>
      </c>
      <c r="G6" s="4" t="s">
        <v>4</v>
      </c>
      <c r="H6" s="4" t="s">
        <v>1</v>
      </c>
      <c r="I6" s="3" t="s">
        <v>4</v>
      </c>
      <c r="J6" s="4" t="s">
        <v>6</v>
      </c>
      <c r="K6" s="4" t="s">
        <v>1</v>
      </c>
      <c r="L6" s="4" t="s">
        <v>8</v>
      </c>
      <c r="M6" s="4" t="s">
        <v>9</v>
      </c>
      <c r="N6" s="4" t="s">
        <v>17</v>
      </c>
    </row>
    <row r="7" spans="1:47" s="7" customFormat="1" ht="53.25" customHeight="1" thickBot="1" x14ac:dyDescent="0.3">
      <c r="B7" s="8"/>
      <c r="C7" s="26" t="s">
        <v>10</v>
      </c>
      <c r="D7" s="26" t="s">
        <v>20</v>
      </c>
      <c r="E7" s="26" t="s">
        <v>27</v>
      </c>
      <c r="F7" s="26" t="s">
        <v>29</v>
      </c>
      <c r="G7" s="26" t="s">
        <v>19</v>
      </c>
      <c r="H7" s="26" t="s">
        <v>22</v>
      </c>
      <c r="I7" s="26" t="s">
        <v>18</v>
      </c>
      <c r="J7" s="26" t="s">
        <v>21</v>
      </c>
      <c r="K7" s="26" t="s">
        <v>23</v>
      </c>
      <c r="L7" s="26" t="s">
        <v>31</v>
      </c>
      <c r="M7" s="26" t="s">
        <v>26</v>
      </c>
      <c r="N7" s="26" t="s">
        <v>30</v>
      </c>
    </row>
    <row r="8" spans="1:47" s="11" customFormat="1" ht="20.25" hidden="1" customHeight="1" x14ac:dyDescent="0.25">
      <c r="B8" s="12">
        <v>1</v>
      </c>
      <c r="C8" s="12">
        <v>1</v>
      </c>
      <c r="D8" s="9">
        <f>C8+1</f>
        <v>2</v>
      </c>
      <c r="E8" s="9">
        <f t="shared" ref="E8:L8" si="1">D8+1</f>
        <v>3</v>
      </c>
      <c r="F8" s="9">
        <f t="shared" si="1"/>
        <v>4</v>
      </c>
      <c r="G8" s="9">
        <f t="shared" si="1"/>
        <v>5</v>
      </c>
      <c r="H8" s="9">
        <f t="shared" si="1"/>
        <v>6</v>
      </c>
      <c r="I8" s="9">
        <f t="shared" si="1"/>
        <v>7</v>
      </c>
      <c r="J8" s="9">
        <f t="shared" si="1"/>
        <v>8</v>
      </c>
      <c r="K8" s="9">
        <f t="shared" si="1"/>
        <v>9</v>
      </c>
      <c r="L8" s="9">
        <f t="shared" si="1"/>
        <v>10</v>
      </c>
      <c r="M8" s="9">
        <f>L8+1</f>
        <v>11</v>
      </c>
      <c r="N8" s="9">
        <f>M8+1</f>
        <v>12</v>
      </c>
    </row>
    <row r="9" spans="1:47" ht="13.5" x14ac:dyDescent="0.25">
      <c r="A9" s="2">
        <v>35431</v>
      </c>
      <c r="B9" s="9">
        <f>B8+1</f>
        <v>2</v>
      </c>
      <c r="C9" s="6">
        <v>3.9980000000000002</v>
      </c>
      <c r="D9" s="6">
        <v>4.25</v>
      </c>
      <c r="E9" s="6">
        <v>4.2699999999999996</v>
      </c>
      <c r="F9" s="28">
        <f>AVERAGE(E9,M9)*F33/AVERAGE(E33,M33)</f>
        <v>4.1749999999999998</v>
      </c>
      <c r="G9" s="6">
        <v>4.0999999999999996</v>
      </c>
      <c r="H9" s="6">
        <v>4.0599999999999996</v>
      </c>
      <c r="I9" s="6">
        <v>4.24</v>
      </c>
      <c r="J9" s="6">
        <v>4.18</v>
      </c>
      <c r="K9" s="6">
        <v>4.21</v>
      </c>
      <c r="L9" s="6">
        <v>2.8358064516129025</v>
      </c>
      <c r="M9" s="6">
        <v>4.08</v>
      </c>
      <c r="N9" s="28">
        <f t="shared" ref="N9:N40" si="2">F9</f>
        <v>4.1749999999999998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</row>
    <row r="10" spans="1:47" ht="13.5" x14ac:dyDescent="0.25">
      <c r="A10" s="1">
        <f t="shared" ref="A10:A41" si="3">EOMONTH(A9,0)+1</f>
        <v>35462</v>
      </c>
      <c r="B10" s="9">
        <f t="shared" ref="B10:B58" si="4">B9+1</f>
        <v>3</v>
      </c>
      <c r="C10" s="6">
        <v>2.9860000000000002</v>
      </c>
      <c r="D10" s="6">
        <v>2.5299999999999998</v>
      </c>
      <c r="E10" s="6">
        <v>2.65</v>
      </c>
      <c r="F10" s="28">
        <f t="shared" ref="F10:F24" si="5">AVERAGE(E10,M10)*F34/AVERAGE(E34,M34)</f>
        <v>2.8010574620909821</v>
      </c>
      <c r="G10" s="6">
        <v>2.5</v>
      </c>
      <c r="H10" s="6">
        <v>2.59</v>
      </c>
      <c r="I10" s="6">
        <v>2.61</v>
      </c>
      <c r="J10" s="6">
        <v>2.61</v>
      </c>
      <c r="K10" s="6">
        <v>2.6</v>
      </c>
      <c r="L10" s="6">
        <v>1.8896428571428567</v>
      </c>
      <c r="M10" s="6">
        <v>2.5</v>
      </c>
      <c r="N10" s="28">
        <f t="shared" si="2"/>
        <v>2.8010574620909821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47" ht="13.5" x14ac:dyDescent="0.25">
      <c r="A11" s="1">
        <f t="shared" si="3"/>
        <v>35490</v>
      </c>
      <c r="B11" s="9">
        <f t="shared" si="4"/>
        <v>4</v>
      </c>
      <c r="C11" s="6">
        <v>1.78</v>
      </c>
      <c r="D11" s="6">
        <v>1.39</v>
      </c>
      <c r="E11" s="6">
        <v>1.61</v>
      </c>
      <c r="F11" s="28">
        <f t="shared" si="5"/>
        <v>1.6951351351351354</v>
      </c>
      <c r="G11" s="6">
        <v>1.52</v>
      </c>
      <c r="H11" s="6">
        <v>1.57</v>
      </c>
      <c r="I11" s="6">
        <v>1.61</v>
      </c>
      <c r="J11" s="6">
        <v>1.46</v>
      </c>
      <c r="K11" s="6">
        <v>1.54</v>
      </c>
      <c r="L11" s="6">
        <v>1.4790322580645161</v>
      </c>
      <c r="M11" s="6">
        <v>1.33</v>
      </c>
      <c r="N11" s="28">
        <f t="shared" si="2"/>
        <v>1.6951351351351354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</row>
    <row r="12" spans="1:47" ht="13.5" x14ac:dyDescent="0.25">
      <c r="A12" s="1">
        <f t="shared" si="3"/>
        <v>35521</v>
      </c>
      <c r="B12" s="9">
        <f t="shared" si="4"/>
        <v>5</v>
      </c>
      <c r="C12" s="6">
        <v>1.8069999999999999</v>
      </c>
      <c r="D12" s="6">
        <v>1.44</v>
      </c>
      <c r="E12" s="6">
        <v>1.74</v>
      </c>
      <c r="F12" s="28">
        <f t="shared" si="5"/>
        <v>2.1314212827988337</v>
      </c>
      <c r="G12" s="6">
        <v>1.61</v>
      </c>
      <c r="H12" s="6">
        <v>1.75</v>
      </c>
      <c r="I12" s="6">
        <v>1.63</v>
      </c>
      <c r="J12" s="6">
        <v>1.57</v>
      </c>
      <c r="K12" s="6">
        <v>1.74</v>
      </c>
      <c r="L12" s="6">
        <v>1.7768333333333335</v>
      </c>
      <c r="M12" s="6">
        <v>1.47</v>
      </c>
      <c r="N12" s="28">
        <f t="shared" si="2"/>
        <v>2.1314212827988337</v>
      </c>
      <c r="O12" s="6"/>
      <c r="P12" s="6"/>
      <c r="Q12" s="6"/>
      <c r="R12" s="6"/>
      <c r="S12" s="6"/>
      <c r="T12" s="6"/>
      <c r="U12" s="6"/>
      <c r="V12" s="6"/>
      <c r="W12" s="6"/>
      <c r="X12" s="14">
        <v>1</v>
      </c>
      <c r="Y12" s="15" t="str">
        <f t="array" ref="Y12:Y31">TRANSPOSE(C7:V7)</f>
        <v>NYMEX</v>
      </c>
      <c r="Z12" s="15"/>
      <c r="AA12" s="15"/>
      <c r="AB12" s="15"/>
      <c r="AC12" s="15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</row>
    <row r="13" spans="1:47" ht="13.5" x14ac:dyDescent="0.25">
      <c r="A13" s="1">
        <f t="shared" si="3"/>
        <v>35551</v>
      </c>
      <c r="B13" s="9">
        <f t="shared" si="4"/>
        <v>6</v>
      </c>
      <c r="C13" s="6">
        <v>2.1219999999999999</v>
      </c>
      <c r="D13" s="6">
        <v>1.64</v>
      </c>
      <c r="E13" s="6">
        <v>2.0499999999999998</v>
      </c>
      <c r="F13" s="28">
        <f t="shared" si="5"/>
        <v>2.1165408057083388</v>
      </c>
      <c r="G13" s="6">
        <v>1.89</v>
      </c>
      <c r="H13" s="6">
        <v>2.02</v>
      </c>
      <c r="I13" s="6">
        <v>1.92</v>
      </c>
      <c r="J13" s="6">
        <v>1.84</v>
      </c>
      <c r="K13" s="6">
        <v>2.02</v>
      </c>
      <c r="L13" s="6">
        <v>1.7177419354838706</v>
      </c>
      <c r="M13" s="6">
        <v>1.76</v>
      </c>
      <c r="N13" s="28">
        <f t="shared" si="2"/>
        <v>2.1165408057083388</v>
      </c>
      <c r="O13" s="6"/>
      <c r="P13" s="6"/>
      <c r="Q13" s="6"/>
      <c r="R13" s="6"/>
      <c r="S13" s="6"/>
      <c r="T13" s="6"/>
      <c r="U13" s="6"/>
      <c r="V13" s="6"/>
      <c r="W13" s="6"/>
      <c r="X13" s="14">
        <f>X12+1</f>
        <v>2</v>
      </c>
      <c r="Y13" s="15" t="str">
        <v>IF KERN WYOMING</v>
      </c>
      <c r="Z13" s="15"/>
      <c r="AA13" s="15"/>
      <c r="AB13" s="15"/>
      <c r="AC13" s="15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</row>
    <row r="14" spans="1:47" ht="13.5" x14ac:dyDescent="0.25">
      <c r="A14" s="1">
        <f t="shared" si="3"/>
        <v>35582</v>
      </c>
      <c r="B14" s="9">
        <f t="shared" si="4"/>
        <v>7</v>
      </c>
      <c r="C14" s="6">
        <v>2.3460000000000001</v>
      </c>
      <c r="D14" s="6">
        <v>1.47</v>
      </c>
      <c r="E14" s="6">
        <v>2.2000000000000002</v>
      </c>
      <c r="F14" s="28">
        <f t="shared" si="5"/>
        <v>2.2310123456790123</v>
      </c>
      <c r="G14" s="6">
        <v>2.0499999999999998</v>
      </c>
      <c r="H14" s="6">
        <v>2.21</v>
      </c>
      <c r="I14" s="6">
        <v>2.06</v>
      </c>
      <c r="J14" s="6">
        <v>2.0299999999999998</v>
      </c>
      <c r="K14" s="6">
        <v>2.2599999999999998</v>
      </c>
      <c r="L14" s="6">
        <v>1.5523333333333331</v>
      </c>
      <c r="M14" s="6">
        <v>1.72</v>
      </c>
      <c r="N14" s="28">
        <f t="shared" si="2"/>
        <v>2.2310123456790123</v>
      </c>
      <c r="O14" s="6"/>
      <c r="P14" s="6"/>
      <c r="Q14" s="6"/>
      <c r="R14" s="6"/>
      <c r="S14" s="6"/>
      <c r="T14" s="6"/>
      <c r="U14" s="6"/>
      <c r="V14" s="6"/>
      <c r="W14" s="6"/>
      <c r="X14" s="14">
        <f t="shared" ref="X14:X31" si="6">X13+1</f>
        <v>3</v>
      </c>
      <c r="Y14" s="15" t="str">
        <v>NGI (Kern) SOCAL BORDER</v>
      </c>
      <c r="Z14" s="15"/>
      <c r="AA14" s="15"/>
      <c r="AB14" s="15"/>
      <c r="AC14" s="15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</row>
    <row r="15" spans="1:47" ht="13.5" x14ac:dyDescent="0.25">
      <c r="A15" s="1">
        <f t="shared" si="3"/>
        <v>35612</v>
      </c>
      <c r="B15" s="9">
        <f t="shared" si="4"/>
        <v>8</v>
      </c>
      <c r="C15" s="6">
        <v>2.145</v>
      </c>
      <c r="D15" s="6">
        <v>1.43</v>
      </c>
      <c r="E15" s="6">
        <v>2.19</v>
      </c>
      <c r="F15" s="28">
        <f t="shared" si="5"/>
        <v>2.0237718743411341</v>
      </c>
      <c r="G15" s="6">
        <v>1.99</v>
      </c>
      <c r="H15" s="6">
        <v>2.15</v>
      </c>
      <c r="I15" s="6">
        <v>2.02</v>
      </c>
      <c r="J15" s="6">
        <v>1.98</v>
      </c>
      <c r="K15" s="6">
        <v>2.17</v>
      </c>
      <c r="L15" s="6">
        <v>1.5072580645161289</v>
      </c>
      <c r="M15" s="6">
        <v>1.56</v>
      </c>
      <c r="N15" s="28">
        <f t="shared" si="2"/>
        <v>2.0237718743411341</v>
      </c>
      <c r="O15" s="6"/>
      <c r="P15" s="6"/>
      <c r="Q15" s="6"/>
      <c r="R15" s="6"/>
      <c r="S15" s="6"/>
      <c r="T15" s="6"/>
      <c r="U15" s="6"/>
      <c r="V15" s="6"/>
      <c r="W15" s="6"/>
      <c r="X15" s="14">
        <f t="shared" si="6"/>
        <v>4</v>
      </c>
      <c r="Y15" s="15" t="str">
        <v>PG&amp;E Daily Avg. (Kern)</v>
      </c>
      <c r="Z15" s="15"/>
      <c r="AA15" s="15"/>
      <c r="AB15" s="15"/>
      <c r="AC15" s="15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7" ht="13.5" x14ac:dyDescent="0.25">
      <c r="A16" s="1">
        <f t="shared" si="3"/>
        <v>35643</v>
      </c>
      <c r="B16" s="9">
        <f t="shared" si="4"/>
        <v>9</v>
      </c>
      <c r="C16" s="6">
        <v>2.161</v>
      </c>
      <c r="D16" s="6">
        <v>1.37</v>
      </c>
      <c r="E16" s="6">
        <v>2.2200000000000002</v>
      </c>
      <c r="F16" s="28">
        <f t="shared" si="5"/>
        <v>2.105892738616753</v>
      </c>
      <c r="G16" s="6">
        <v>2.0499999999999998</v>
      </c>
      <c r="H16" s="6">
        <v>2.23</v>
      </c>
      <c r="I16" s="6">
        <v>2.0699999999999998</v>
      </c>
      <c r="J16" s="6">
        <v>2</v>
      </c>
      <c r="K16" s="6">
        <v>2.23</v>
      </c>
      <c r="L16" s="6">
        <v>1.4969354838709679</v>
      </c>
      <c r="M16" s="6">
        <v>1.51</v>
      </c>
      <c r="N16" s="28">
        <f t="shared" si="2"/>
        <v>2.105892738616753</v>
      </c>
      <c r="O16" s="6"/>
      <c r="P16" s="6"/>
      <c r="Q16" s="6"/>
      <c r="R16" s="6"/>
      <c r="S16" s="6"/>
      <c r="T16" s="6"/>
      <c r="U16" s="6"/>
      <c r="V16" s="6"/>
      <c r="W16" s="6"/>
      <c r="X16" s="14">
        <f t="shared" si="6"/>
        <v>5</v>
      </c>
      <c r="Y16" s="15" t="str">
        <v>IF TW PERMIAN</v>
      </c>
      <c r="Z16" s="15"/>
      <c r="AA16" s="15"/>
      <c r="AB16" s="15"/>
      <c r="AC16" s="15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</row>
    <row r="17" spans="1:47" ht="13.5" x14ac:dyDescent="0.25">
      <c r="A17" s="1">
        <f t="shared" si="3"/>
        <v>35674</v>
      </c>
      <c r="B17" s="9">
        <f t="shared" si="4"/>
        <v>10</v>
      </c>
      <c r="C17" s="6">
        <v>2.5150000000000001</v>
      </c>
      <c r="D17" s="6">
        <v>1.48</v>
      </c>
      <c r="E17" s="6">
        <v>2.5</v>
      </c>
      <c r="F17" s="28">
        <f t="shared" si="5"/>
        <v>2.117657989228007</v>
      </c>
      <c r="G17" s="6">
        <v>2.35</v>
      </c>
      <c r="H17" s="6">
        <v>2.4500000000000002</v>
      </c>
      <c r="I17" s="6">
        <v>2.39</v>
      </c>
      <c r="J17" s="6">
        <v>2.2799999999999998</v>
      </c>
      <c r="K17" s="6">
        <v>2.4500000000000002</v>
      </c>
      <c r="L17" s="6">
        <v>1.4648333333333332</v>
      </c>
      <c r="M17" s="6">
        <v>1.73</v>
      </c>
      <c r="N17" s="28">
        <f t="shared" si="2"/>
        <v>2.117657989228007</v>
      </c>
      <c r="O17" s="6"/>
      <c r="P17" s="6"/>
      <c r="Q17" s="6"/>
      <c r="R17" s="6"/>
      <c r="S17" s="6"/>
      <c r="T17" s="6"/>
      <c r="U17" s="6"/>
      <c r="V17" s="6"/>
      <c r="W17" s="6"/>
      <c r="X17" s="14">
        <f t="shared" si="6"/>
        <v>6</v>
      </c>
      <c r="Y17" s="15" t="str">
        <v>NGW TW SOCAL BORDER</v>
      </c>
      <c r="Z17" s="15"/>
      <c r="AA17" s="15"/>
      <c r="AB17" s="15"/>
      <c r="AC17" s="15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</row>
    <row r="18" spans="1:47" ht="13.5" x14ac:dyDescent="0.25">
      <c r="A18" s="1">
        <f t="shared" si="3"/>
        <v>35704</v>
      </c>
      <c r="B18" s="9">
        <f t="shared" si="4"/>
        <v>11</v>
      </c>
      <c r="C18" s="6">
        <v>3.3460000000000001</v>
      </c>
      <c r="D18" s="6">
        <v>2.09</v>
      </c>
      <c r="E18" s="6">
        <v>3.08</v>
      </c>
      <c r="F18" s="28">
        <f t="shared" si="5"/>
        <v>3.2222963939654119</v>
      </c>
      <c r="G18" s="6">
        <v>2.84</v>
      </c>
      <c r="H18" s="6">
        <v>3.09</v>
      </c>
      <c r="I18" s="6">
        <v>2.94</v>
      </c>
      <c r="J18" s="6">
        <v>2.8</v>
      </c>
      <c r="K18" s="6">
        <v>3.12</v>
      </c>
      <c r="L18" s="6">
        <v>1.7343548387096772</v>
      </c>
      <c r="M18" s="6">
        <v>2.29</v>
      </c>
      <c r="N18" s="28">
        <f t="shared" si="2"/>
        <v>3.2222963939654119</v>
      </c>
      <c r="O18" s="6"/>
      <c r="P18" s="6"/>
      <c r="Q18" s="6"/>
      <c r="R18" s="6"/>
      <c r="S18" s="6"/>
      <c r="T18" s="6"/>
      <c r="U18" s="6"/>
      <c r="V18" s="6"/>
      <c r="W18" s="6"/>
      <c r="X18" s="14">
        <f t="shared" si="6"/>
        <v>7</v>
      </c>
      <c r="Y18" s="15" t="str">
        <v>NGW EPNG PERMIAN</v>
      </c>
      <c r="Z18" s="15"/>
      <c r="AA18" s="15"/>
      <c r="AB18" s="15"/>
      <c r="AC18" s="15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 ht="13.5" x14ac:dyDescent="0.25">
      <c r="A19" s="1">
        <f t="shared" si="3"/>
        <v>35735</v>
      </c>
      <c r="B19" s="9">
        <f t="shared" si="4"/>
        <v>12</v>
      </c>
      <c r="C19" s="6">
        <v>3.266</v>
      </c>
      <c r="D19" s="6">
        <v>3</v>
      </c>
      <c r="E19" s="6">
        <v>3.34</v>
      </c>
      <c r="F19" s="28">
        <f t="shared" si="5"/>
        <v>2.7850877192982448</v>
      </c>
      <c r="G19" s="6">
        <v>3.06</v>
      </c>
      <c r="H19" s="6">
        <v>3.37</v>
      </c>
      <c r="I19" s="6">
        <v>3.14</v>
      </c>
      <c r="J19" s="6">
        <v>3.07</v>
      </c>
      <c r="K19" s="6">
        <v>3.37</v>
      </c>
      <c r="L19" s="6">
        <v>1.6788333333333327</v>
      </c>
      <c r="M19" s="6">
        <v>3.01</v>
      </c>
      <c r="N19" s="28">
        <f t="shared" si="2"/>
        <v>2.7850877192982448</v>
      </c>
      <c r="O19" s="6"/>
      <c r="P19" s="6"/>
      <c r="Q19" s="6"/>
      <c r="R19" s="6"/>
      <c r="S19" s="6"/>
      <c r="T19" s="6"/>
      <c r="U19" s="6"/>
      <c r="V19" s="6"/>
      <c r="W19" s="6"/>
      <c r="X19" s="14">
        <f t="shared" si="6"/>
        <v>8</v>
      </c>
      <c r="Y19" s="15" t="str">
        <v>NGW EPNG SAN JUAN</v>
      </c>
      <c r="Z19" s="15"/>
      <c r="AA19" s="15"/>
      <c r="AB19" s="15"/>
      <c r="AC19" s="15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7" ht="13.5" x14ac:dyDescent="0.25">
      <c r="A20" s="1">
        <f t="shared" si="3"/>
        <v>35765</v>
      </c>
      <c r="B20" s="9">
        <f t="shared" si="4"/>
        <v>13</v>
      </c>
      <c r="C20" s="6">
        <v>2.577</v>
      </c>
      <c r="D20" s="6">
        <v>1.93</v>
      </c>
      <c r="E20" s="6">
        <v>2.36</v>
      </c>
      <c r="F20" s="28">
        <f t="shared" si="5"/>
        <v>2.2899596774193549</v>
      </c>
      <c r="G20" s="6">
        <v>2.2000000000000002</v>
      </c>
      <c r="H20" s="6">
        <v>2.29</v>
      </c>
      <c r="I20" s="6">
        <v>2.1800000000000002</v>
      </c>
      <c r="J20" s="6">
        <v>2.11</v>
      </c>
      <c r="K20" s="6">
        <v>2.31</v>
      </c>
      <c r="L20" s="6">
        <v>1.3391935483870963</v>
      </c>
      <c r="M20" s="6">
        <v>1.91</v>
      </c>
      <c r="N20" s="28">
        <f t="shared" si="2"/>
        <v>2.2899596774193549</v>
      </c>
      <c r="O20" s="6"/>
      <c r="P20" s="6"/>
      <c r="Q20" s="6"/>
      <c r="R20" s="6"/>
      <c r="S20" s="6"/>
      <c r="T20" s="6"/>
      <c r="U20" s="6"/>
      <c r="V20" s="6"/>
      <c r="W20" s="6"/>
      <c r="X20" s="14">
        <f t="shared" si="6"/>
        <v>9</v>
      </c>
      <c r="Y20" s="15" t="str">
        <v>NGW EPNG SOCAL BORDER</v>
      </c>
      <c r="Z20" s="15"/>
      <c r="AA20" s="15"/>
      <c r="AB20" s="15"/>
      <c r="AC20" s="15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7" ht="13.5" x14ac:dyDescent="0.25">
      <c r="A21" s="1">
        <f t="shared" si="3"/>
        <v>35796</v>
      </c>
      <c r="B21" s="9">
        <f t="shared" si="4"/>
        <v>14</v>
      </c>
      <c r="C21" s="6">
        <v>2.3090000000000002</v>
      </c>
      <c r="D21" s="6">
        <v>2.04</v>
      </c>
      <c r="E21" s="6">
        <v>2.2799999999999998</v>
      </c>
      <c r="F21" s="28">
        <f t="shared" si="5"/>
        <v>2.2888510638297874</v>
      </c>
      <c r="G21" s="6">
        <v>2.09</v>
      </c>
      <c r="H21" s="6">
        <v>2.2400000000000002</v>
      </c>
      <c r="I21" s="6">
        <v>2.0699999999999998</v>
      </c>
      <c r="J21" s="6">
        <v>2.08</v>
      </c>
      <c r="K21" s="6">
        <v>2.2799999999999998</v>
      </c>
      <c r="L21" s="6">
        <v>1.4580645161290322</v>
      </c>
      <c r="M21" s="6">
        <v>2.06</v>
      </c>
      <c r="N21" s="28">
        <f t="shared" si="2"/>
        <v>2.2888510638297874</v>
      </c>
      <c r="O21" s="6"/>
      <c r="P21" s="6"/>
      <c r="Q21" s="6"/>
      <c r="R21" s="6"/>
      <c r="S21" s="6"/>
      <c r="T21" s="6"/>
      <c r="U21" s="6"/>
      <c r="V21" s="6"/>
      <c r="W21" s="6"/>
      <c r="X21" s="14">
        <f t="shared" si="6"/>
        <v>10</v>
      </c>
      <c r="Y21" s="15" t="str">
        <v>AECO (PGT)</v>
      </c>
      <c r="Z21" s="15"/>
      <c r="AA21" s="15"/>
      <c r="AB21" s="15"/>
      <c r="AC21" s="15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</row>
    <row r="22" spans="1:47" ht="13.5" x14ac:dyDescent="0.25">
      <c r="A22" s="1">
        <f t="shared" si="3"/>
        <v>35827</v>
      </c>
      <c r="B22" s="9">
        <f t="shared" si="4"/>
        <v>15</v>
      </c>
      <c r="C22" s="6">
        <v>2.0009999999999999</v>
      </c>
      <c r="D22" s="6">
        <v>1.69</v>
      </c>
      <c r="E22" s="6">
        <v>2.11</v>
      </c>
      <c r="F22" s="28">
        <f t="shared" si="5"/>
        <v>2.0755186097427489</v>
      </c>
      <c r="G22" s="6">
        <v>1.87</v>
      </c>
      <c r="H22" s="6">
        <v>2.09</v>
      </c>
      <c r="I22" s="6">
        <v>1.85</v>
      </c>
      <c r="J22" s="6">
        <v>1.81</v>
      </c>
      <c r="K22" s="6">
        <v>2.1</v>
      </c>
      <c r="L22" s="6">
        <v>1.6378571428571429</v>
      </c>
      <c r="M22" s="6">
        <v>1.77</v>
      </c>
      <c r="N22" s="28">
        <f t="shared" si="2"/>
        <v>2.0755186097427489</v>
      </c>
      <c r="O22" s="6"/>
      <c r="P22" s="6"/>
      <c r="Q22" s="6"/>
      <c r="R22" s="6"/>
      <c r="S22" s="6"/>
      <c r="T22" s="6"/>
      <c r="U22" s="6"/>
      <c r="V22" s="6"/>
      <c r="W22" s="6"/>
      <c r="X22" s="14">
        <f t="shared" si="6"/>
        <v>11</v>
      </c>
      <c r="Y22" s="15" t="str">
        <v>NGW PGT MALIN</v>
      </c>
      <c r="Z22" s="15"/>
      <c r="AA22" s="15"/>
      <c r="AB22" s="15"/>
      <c r="AC22" s="15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</row>
    <row r="23" spans="1:47" ht="13.5" x14ac:dyDescent="0.25">
      <c r="A23" s="1">
        <f t="shared" si="3"/>
        <v>35855</v>
      </c>
      <c r="B23" s="9">
        <f t="shared" si="4"/>
        <v>16</v>
      </c>
      <c r="C23" s="6">
        <v>2.286</v>
      </c>
      <c r="D23" s="6">
        <v>1.88</v>
      </c>
      <c r="E23" s="6">
        <v>2.34</v>
      </c>
      <c r="F23" s="28">
        <f t="shared" si="5"/>
        <v>2.5052186878727638</v>
      </c>
      <c r="G23" s="6">
        <v>2.0699999999999998</v>
      </c>
      <c r="H23" s="6">
        <v>2.33</v>
      </c>
      <c r="I23" s="6">
        <v>2.0499999999999998</v>
      </c>
      <c r="J23" s="6">
        <v>2.0299999999999998</v>
      </c>
      <c r="K23" s="6">
        <v>2.34</v>
      </c>
      <c r="L23" s="6">
        <v>1.7538709677419351</v>
      </c>
      <c r="M23" s="6">
        <v>1.91</v>
      </c>
      <c r="N23" s="28">
        <f t="shared" si="2"/>
        <v>2.5052186878727638</v>
      </c>
      <c r="O23" s="6"/>
      <c r="P23" s="6"/>
      <c r="Q23" s="6"/>
      <c r="R23" s="6"/>
      <c r="S23" s="6"/>
      <c r="T23" s="6"/>
      <c r="U23" s="6"/>
      <c r="V23" s="6"/>
      <c r="W23" s="6"/>
      <c r="X23" s="14">
        <f t="shared" si="6"/>
        <v>12</v>
      </c>
      <c r="Y23" s="15" t="str">
        <v>PG&amp;E Daily Avg. (PGT)</v>
      </c>
      <c r="Z23" s="15"/>
      <c r="AA23" s="15"/>
      <c r="AB23" s="15"/>
      <c r="AC23" s="15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</row>
    <row r="24" spans="1:47" ht="13.5" x14ac:dyDescent="0.25">
      <c r="A24" s="1">
        <f t="shared" si="3"/>
        <v>35886</v>
      </c>
      <c r="B24" s="9">
        <f t="shared" si="4"/>
        <v>17</v>
      </c>
      <c r="C24" s="6">
        <v>2.2999999999999998</v>
      </c>
      <c r="D24" s="6">
        <v>1.9</v>
      </c>
      <c r="E24" s="6">
        <v>2.37</v>
      </c>
      <c r="F24" s="28">
        <f t="shared" si="5"/>
        <v>2.2616385135135135</v>
      </c>
      <c r="G24" s="6">
        <v>2.15</v>
      </c>
      <c r="H24" s="6">
        <v>2.39</v>
      </c>
      <c r="I24" s="6">
        <v>2.11</v>
      </c>
      <c r="J24" s="6">
        <v>2.08</v>
      </c>
      <c r="K24" s="6">
        <v>2.39</v>
      </c>
      <c r="L24" s="6">
        <v>2.2163333333333335</v>
      </c>
      <c r="M24" s="6">
        <v>1.97</v>
      </c>
      <c r="N24" s="28">
        <f t="shared" si="2"/>
        <v>2.2616385135135135</v>
      </c>
      <c r="O24" s="6"/>
      <c r="P24" s="6"/>
      <c r="Q24" s="6"/>
      <c r="R24" s="6"/>
      <c r="S24" s="6"/>
      <c r="T24" s="6"/>
      <c r="U24" s="6"/>
      <c r="V24" s="6"/>
      <c r="W24" s="6"/>
      <c r="X24" s="14">
        <f t="shared" si="6"/>
        <v>13</v>
      </c>
      <c r="Y24" s="15">
        <v>0</v>
      </c>
      <c r="Z24" s="15"/>
      <c r="AA24" s="15"/>
      <c r="AB24" s="15"/>
      <c r="AC24" s="15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</row>
    <row r="25" spans="1:47" ht="13.5" x14ac:dyDescent="0.25">
      <c r="A25" s="1">
        <f t="shared" si="3"/>
        <v>35916</v>
      </c>
      <c r="B25" s="9">
        <f t="shared" si="4"/>
        <v>18</v>
      </c>
      <c r="C25" s="6">
        <v>2.262</v>
      </c>
      <c r="D25" s="6">
        <v>1.97</v>
      </c>
      <c r="E25" s="6">
        <v>2.34</v>
      </c>
      <c r="F25" s="6">
        <v>2.2549999999999999</v>
      </c>
      <c r="G25" s="6">
        <v>2.12</v>
      </c>
      <c r="H25" s="6">
        <v>2.37</v>
      </c>
      <c r="I25" s="6">
        <v>2.12</v>
      </c>
      <c r="J25" s="6">
        <v>2.06</v>
      </c>
      <c r="K25" s="6">
        <v>2.34</v>
      </c>
      <c r="L25" s="6">
        <v>1.7604838709677417</v>
      </c>
      <c r="M25" s="6">
        <v>2.1800000000000002</v>
      </c>
      <c r="N25" s="6">
        <f t="shared" si="2"/>
        <v>2.2549999999999999</v>
      </c>
      <c r="O25" s="6"/>
      <c r="P25" s="6"/>
      <c r="Q25" s="6"/>
      <c r="R25" s="6"/>
      <c r="S25" s="6"/>
      <c r="T25" s="6"/>
      <c r="U25" s="6"/>
      <c r="V25" s="6"/>
      <c r="W25" s="6"/>
      <c r="X25" s="14">
        <f t="shared" si="6"/>
        <v>14</v>
      </c>
      <c r="Y25" s="15">
        <v>0</v>
      </c>
      <c r="Z25" s="15"/>
      <c r="AA25" s="15"/>
      <c r="AB25" s="15"/>
      <c r="AC25" s="15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</row>
    <row r="26" spans="1:47" ht="13.5" x14ac:dyDescent="0.25">
      <c r="A26" s="1">
        <f t="shared" si="3"/>
        <v>35947</v>
      </c>
      <c r="B26" s="9">
        <f t="shared" si="4"/>
        <v>19</v>
      </c>
      <c r="C26" s="6">
        <v>2.0169999999999999</v>
      </c>
      <c r="D26" s="6">
        <v>1.65</v>
      </c>
      <c r="E26" s="6">
        <v>2.0699999999999998</v>
      </c>
      <c r="F26" s="6">
        <v>2.075333333333333</v>
      </c>
      <c r="G26" s="6">
        <v>1.89</v>
      </c>
      <c r="H26" s="6">
        <v>2.11</v>
      </c>
      <c r="I26" s="6">
        <v>1.86</v>
      </c>
      <c r="J26" s="6">
        <v>1.74</v>
      </c>
      <c r="K26" s="6">
        <v>2.11</v>
      </c>
      <c r="L26" s="6">
        <v>1.8073333333333339</v>
      </c>
      <c r="M26" s="6">
        <v>1.68</v>
      </c>
      <c r="N26" s="6">
        <f t="shared" si="2"/>
        <v>2.075333333333333</v>
      </c>
      <c r="O26" s="6"/>
      <c r="P26" s="6"/>
      <c r="Q26" s="6"/>
      <c r="R26" s="6"/>
      <c r="S26" s="6"/>
      <c r="T26" s="6"/>
      <c r="U26" s="6"/>
      <c r="V26" s="6"/>
      <c r="W26" s="6"/>
      <c r="X26" s="14">
        <f t="shared" si="6"/>
        <v>15</v>
      </c>
      <c r="Y26" s="15">
        <v>0</v>
      </c>
      <c r="Z26" s="15"/>
      <c r="AA26" s="15"/>
      <c r="AB26" s="15"/>
      <c r="AC26" s="15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</row>
    <row r="27" spans="1:47" ht="13.5" x14ac:dyDescent="0.25">
      <c r="A27" s="1">
        <f t="shared" si="3"/>
        <v>35977</v>
      </c>
      <c r="B27" s="9">
        <f t="shared" si="4"/>
        <v>20</v>
      </c>
      <c r="C27" s="6">
        <v>2.3580000000000001</v>
      </c>
      <c r="D27" s="6">
        <v>1.62</v>
      </c>
      <c r="E27" s="6">
        <v>2.2200000000000002</v>
      </c>
      <c r="F27" s="6">
        <v>2.4371666666666667</v>
      </c>
      <c r="G27" s="6">
        <v>2.17</v>
      </c>
      <c r="H27" s="6">
        <v>2.2400000000000002</v>
      </c>
      <c r="I27" s="6">
        <v>2.1800000000000002</v>
      </c>
      <c r="J27" s="6">
        <v>1.87</v>
      </c>
      <c r="K27" s="6">
        <v>2.2400000000000002</v>
      </c>
      <c r="L27" s="6">
        <v>1.9741935483870965</v>
      </c>
      <c r="M27" s="6">
        <v>1.81</v>
      </c>
      <c r="N27" s="6">
        <f t="shared" si="2"/>
        <v>2.4371666666666667</v>
      </c>
      <c r="O27" s="6"/>
      <c r="P27" s="6"/>
      <c r="Q27" s="6"/>
      <c r="R27" s="6"/>
      <c r="S27" s="6"/>
      <c r="T27" s="6"/>
      <c r="U27" s="6"/>
      <c r="V27" s="6"/>
      <c r="W27" s="6"/>
      <c r="X27" s="14">
        <f t="shared" si="6"/>
        <v>16</v>
      </c>
      <c r="Y27" s="15">
        <v>0</v>
      </c>
      <c r="Z27" s="15"/>
      <c r="AA27" s="15"/>
      <c r="AB27" s="15"/>
      <c r="AC27" s="15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</row>
    <row r="28" spans="1:47" ht="13.5" x14ac:dyDescent="0.25">
      <c r="A28" s="1">
        <f t="shared" si="3"/>
        <v>36008</v>
      </c>
      <c r="B28" s="9">
        <f t="shared" si="4"/>
        <v>21</v>
      </c>
      <c r="C28" s="6">
        <v>1.9419999999999999</v>
      </c>
      <c r="D28" s="6">
        <v>1.73</v>
      </c>
      <c r="E28" s="6">
        <v>2.2999999999999998</v>
      </c>
      <c r="F28" s="6">
        <v>2.3982258064516118</v>
      </c>
      <c r="G28" s="6">
        <v>1.94</v>
      </c>
      <c r="H28" s="6">
        <v>2.2799999999999998</v>
      </c>
      <c r="I28" s="6">
        <v>1.93</v>
      </c>
      <c r="J28" s="6">
        <v>1.83</v>
      </c>
      <c r="K28" s="6">
        <v>2.2799999999999998</v>
      </c>
      <c r="L28" s="6">
        <v>1.7622580645161283</v>
      </c>
      <c r="M28" s="6">
        <v>2.04</v>
      </c>
      <c r="N28" s="6">
        <f t="shared" si="2"/>
        <v>2.3982258064516118</v>
      </c>
      <c r="O28" s="6"/>
      <c r="P28" s="6"/>
      <c r="Q28" s="6"/>
      <c r="R28" s="6"/>
      <c r="S28" s="6"/>
      <c r="T28" s="6"/>
      <c r="U28" s="6"/>
      <c r="V28" s="6"/>
      <c r="W28" s="6"/>
      <c r="X28" s="14">
        <f t="shared" si="6"/>
        <v>17</v>
      </c>
      <c r="Y28" s="15">
        <v>0</v>
      </c>
      <c r="Z28" s="15"/>
      <c r="AA28" s="15"/>
      <c r="AB28" s="15"/>
      <c r="AC28" s="15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</row>
    <row r="29" spans="1:47" ht="13.5" x14ac:dyDescent="0.25">
      <c r="A29" s="1">
        <f t="shared" si="3"/>
        <v>36039</v>
      </c>
      <c r="B29" s="9">
        <f t="shared" si="4"/>
        <v>22</v>
      </c>
      <c r="C29" s="6">
        <v>1.6719999999999999</v>
      </c>
      <c r="D29" s="6">
        <v>1.59</v>
      </c>
      <c r="E29" s="6">
        <v>2.02</v>
      </c>
      <c r="F29" s="6">
        <v>2.3041379310344814</v>
      </c>
      <c r="G29" s="6">
        <v>1.59</v>
      </c>
      <c r="H29" s="6">
        <v>2</v>
      </c>
      <c r="I29" s="6">
        <v>1.61</v>
      </c>
      <c r="J29" s="6">
        <v>1.54</v>
      </c>
      <c r="K29" s="6">
        <v>2.0099999999999998</v>
      </c>
      <c r="L29" s="6">
        <v>2.0070000000000001</v>
      </c>
      <c r="M29" s="6">
        <v>1.78</v>
      </c>
      <c r="N29" s="6">
        <f t="shared" si="2"/>
        <v>2.3041379310344814</v>
      </c>
      <c r="O29" s="6"/>
      <c r="P29" s="6"/>
      <c r="Q29" s="6"/>
      <c r="R29" s="6"/>
      <c r="S29" s="6"/>
      <c r="T29" s="6"/>
      <c r="U29" s="6"/>
      <c r="V29" s="6"/>
      <c r="W29" s="6"/>
      <c r="X29" s="14">
        <f t="shared" si="6"/>
        <v>18</v>
      </c>
      <c r="Y29" s="15">
        <v>0</v>
      </c>
      <c r="Z29" s="15"/>
      <c r="AA29" s="15"/>
      <c r="AB29" s="15"/>
      <c r="AC29" s="15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spans="1:47" ht="13.5" x14ac:dyDescent="0.25">
      <c r="A30" s="1">
        <f t="shared" si="3"/>
        <v>36069</v>
      </c>
      <c r="B30" s="9">
        <f t="shared" si="4"/>
        <v>23</v>
      </c>
      <c r="C30" s="6">
        <v>2.0310000000000001</v>
      </c>
      <c r="D30" s="6">
        <v>1.64</v>
      </c>
      <c r="E30" s="6">
        <v>2.0299999999999998</v>
      </c>
      <c r="F30" s="6">
        <v>2.3846774193548392</v>
      </c>
      <c r="G30" s="6">
        <v>2.09</v>
      </c>
      <c r="H30" s="6">
        <v>2.02</v>
      </c>
      <c r="I30" s="6">
        <v>1.82</v>
      </c>
      <c r="J30" s="6">
        <v>1.63</v>
      </c>
      <c r="K30" s="6">
        <v>2.04</v>
      </c>
      <c r="L30" s="6">
        <v>2.3535483870967742</v>
      </c>
      <c r="M30" s="6">
        <v>1.8</v>
      </c>
      <c r="N30" s="6">
        <f t="shared" si="2"/>
        <v>2.3846774193548392</v>
      </c>
      <c r="O30" s="6"/>
      <c r="P30" s="6"/>
      <c r="Q30" s="6"/>
      <c r="R30" s="6"/>
      <c r="S30" s="6"/>
      <c r="T30" s="6"/>
      <c r="U30" s="6"/>
      <c r="V30" s="6"/>
      <c r="W30" s="6"/>
      <c r="X30" s="14">
        <f t="shared" si="6"/>
        <v>19</v>
      </c>
      <c r="Y30" s="15">
        <v>0</v>
      </c>
      <c r="Z30" s="15"/>
      <c r="AA30" s="15"/>
      <c r="AB30" s="15"/>
      <c r="AC30" s="15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</row>
    <row r="31" spans="1:47" ht="13.5" x14ac:dyDescent="0.25">
      <c r="A31" s="1">
        <f t="shared" si="3"/>
        <v>36100</v>
      </c>
      <c r="B31" s="9">
        <f t="shared" si="4"/>
        <v>24</v>
      </c>
      <c r="C31" s="6">
        <v>1.972</v>
      </c>
      <c r="D31" s="6">
        <v>2.0099999999999998</v>
      </c>
      <c r="E31" s="6">
        <v>2.33</v>
      </c>
      <c r="F31" s="6">
        <v>2.5983928571428581</v>
      </c>
      <c r="G31" s="6">
        <v>1.99</v>
      </c>
      <c r="H31" s="6">
        <v>2.33</v>
      </c>
      <c r="I31" s="6">
        <v>1.93</v>
      </c>
      <c r="J31" s="6">
        <v>1.87</v>
      </c>
      <c r="K31" s="6">
        <v>2.33</v>
      </c>
      <c r="L31" s="6">
        <v>2.5248333333333335</v>
      </c>
      <c r="M31" s="6">
        <v>2.2400000000000002</v>
      </c>
      <c r="N31" s="6">
        <f t="shared" si="2"/>
        <v>2.5983928571428581</v>
      </c>
      <c r="O31" s="6"/>
      <c r="P31" s="6"/>
      <c r="Q31" s="6"/>
      <c r="R31" s="6"/>
      <c r="S31" s="6"/>
      <c r="T31" s="6"/>
      <c r="U31" s="6"/>
      <c r="V31" s="6"/>
      <c r="W31" s="6"/>
      <c r="X31" s="14">
        <f t="shared" si="6"/>
        <v>20</v>
      </c>
      <c r="Y31" s="15">
        <v>0</v>
      </c>
      <c r="Z31" s="15"/>
      <c r="AA31" s="15"/>
      <c r="AB31" s="15"/>
      <c r="AC31" s="15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</row>
    <row r="32" spans="1:47" ht="13.5" x14ac:dyDescent="0.25">
      <c r="A32" s="1">
        <f t="shared" si="3"/>
        <v>36130</v>
      </c>
      <c r="B32" s="9">
        <f t="shared" si="4"/>
        <v>25</v>
      </c>
      <c r="C32" s="6">
        <v>2.149</v>
      </c>
      <c r="D32" s="6">
        <v>2</v>
      </c>
      <c r="E32" s="6">
        <v>2.29</v>
      </c>
      <c r="F32" s="6">
        <v>2.5518965517241377</v>
      </c>
      <c r="G32" s="6">
        <v>1.99</v>
      </c>
      <c r="H32" s="6">
        <v>2.2799999999999998</v>
      </c>
      <c r="I32" s="6">
        <v>2</v>
      </c>
      <c r="J32" s="6">
        <v>1.98</v>
      </c>
      <c r="K32" s="6">
        <v>2.2799999999999998</v>
      </c>
      <c r="L32" s="6">
        <v>2.222258064516129</v>
      </c>
      <c r="M32" s="6">
        <v>2.16</v>
      </c>
      <c r="N32" s="6">
        <f t="shared" si="2"/>
        <v>2.5518965517241377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</row>
    <row r="33" spans="1:47" ht="13.5" x14ac:dyDescent="0.25">
      <c r="A33" s="1">
        <f t="shared" si="3"/>
        <v>36161</v>
      </c>
      <c r="B33" s="9">
        <f t="shared" si="4"/>
        <v>26</v>
      </c>
      <c r="C33" s="6">
        <v>1.7649999999999999</v>
      </c>
      <c r="D33" s="6">
        <v>1.8</v>
      </c>
      <c r="E33" s="6">
        <v>2.04</v>
      </c>
      <c r="F33" s="6">
        <v>2.0750000000000002</v>
      </c>
      <c r="G33" s="6">
        <v>1.74</v>
      </c>
      <c r="H33" s="6">
        <v>2.02</v>
      </c>
      <c r="I33" s="6">
        <v>1.72</v>
      </c>
      <c r="J33" s="6">
        <v>1.72</v>
      </c>
      <c r="K33" s="6">
        <v>2.02</v>
      </c>
      <c r="L33" s="6">
        <v>2.3129032258064517</v>
      </c>
      <c r="M33" s="6">
        <v>2.11</v>
      </c>
      <c r="N33" s="6">
        <f t="shared" si="2"/>
        <v>2.0750000000000002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</row>
    <row r="34" spans="1:47" ht="13.5" x14ac:dyDescent="0.25">
      <c r="A34" s="1">
        <f t="shared" si="3"/>
        <v>36192</v>
      </c>
      <c r="B34" s="9">
        <f t="shared" si="4"/>
        <v>27</v>
      </c>
      <c r="C34" s="6">
        <v>1.81</v>
      </c>
      <c r="D34" s="6">
        <v>1.64</v>
      </c>
      <c r="E34" s="6">
        <v>1.83</v>
      </c>
      <c r="F34" s="6">
        <v>1.9471428571428575</v>
      </c>
      <c r="G34" s="6">
        <v>1.67</v>
      </c>
      <c r="H34" s="6">
        <v>1.82</v>
      </c>
      <c r="I34" s="6">
        <v>1.67</v>
      </c>
      <c r="J34" s="6">
        <v>1.63</v>
      </c>
      <c r="K34" s="6">
        <v>1.82</v>
      </c>
      <c r="L34" s="6">
        <v>2.2437499999999999</v>
      </c>
      <c r="M34" s="6">
        <v>1.75</v>
      </c>
      <c r="N34" s="6">
        <f t="shared" si="2"/>
        <v>1.9471428571428575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</row>
    <row r="35" spans="1:47" ht="13.5" x14ac:dyDescent="0.25">
      <c r="A35" s="1">
        <f t="shared" si="3"/>
        <v>36220</v>
      </c>
      <c r="B35" s="9">
        <f t="shared" si="4"/>
        <v>28</v>
      </c>
      <c r="C35" s="6">
        <v>1.6659999999999999</v>
      </c>
      <c r="D35" s="6">
        <v>1.51</v>
      </c>
      <c r="E35" s="6">
        <v>1.71</v>
      </c>
      <c r="F35" s="6">
        <v>1.92</v>
      </c>
      <c r="G35" s="6">
        <v>1.57</v>
      </c>
      <c r="H35" s="6">
        <v>1.73</v>
      </c>
      <c r="I35" s="6">
        <v>1.51</v>
      </c>
      <c r="J35" s="6">
        <v>1.42</v>
      </c>
      <c r="K35" s="6">
        <v>1.73</v>
      </c>
      <c r="L35" s="6">
        <v>2.2025806451612904</v>
      </c>
      <c r="M35" s="6">
        <v>1.62</v>
      </c>
      <c r="N35" s="6">
        <f t="shared" si="2"/>
        <v>1.92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</row>
    <row r="36" spans="1:47" ht="13.5" x14ac:dyDescent="0.25">
      <c r="A36" s="1">
        <f t="shared" si="3"/>
        <v>36251</v>
      </c>
      <c r="B36" s="9">
        <f t="shared" si="4"/>
        <v>29</v>
      </c>
      <c r="C36" s="6">
        <v>1.8520000000000001</v>
      </c>
      <c r="D36" s="6">
        <v>1.54</v>
      </c>
      <c r="E36" s="6">
        <v>1.78</v>
      </c>
      <c r="F36" s="6">
        <v>2.2774999999999999</v>
      </c>
      <c r="G36" s="6">
        <v>1.66</v>
      </c>
      <c r="H36" s="6">
        <v>1.79</v>
      </c>
      <c r="I36" s="6">
        <v>1.68</v>
      </c>
      <c r="J36" s="6">
        <v>1.58</v>
      </c>
      <c r="K36" s="6">
        <v>1.79</v>
      </c>
      <c r="L36" s="6">
        <v>2.5260000000000002</v>
      </c>
      <c r="M36" s="6">
        <v>1.65</v>
      </c>
      <c r="N36" s="6">
        <f t="shared" si="2"/>
        <v>2.2774999999999999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</row>
    <row r="37" spans="1:47" ht="13.5" x14ac:dyDescent="0.25">
      <c r="A37" s="1">
        <f t="shared" si="3"/>
        <v>36281</v>
      </c>
      <c r="B37" s="9">
        <f t="shared" si="4"/>
        <v>30</v>
      </c>
      <c r="C37" s="6">
        <v>2.3479999999999999</v>
      </c>
      <c r="D37" s="6">
        <v>1.99</v>
      </c>
      <c r="E37" s="6">
        <v>2.2200000000000002</v>
      </c>
      <c r="F37" s="6">
        <v>2.4109677419354831</v>
      </c>
      <c r="G37" s="6">
        <v>2.16</v>
      </c>
      <c r="H37" s="6">
        <v>2.23</v>
      </c>
      <c r="I37" s="6">
        <v>2.17</v>
      </c>
      <c r="J37" s="6">
        <v>2.02</v>
      </c>
      <c r="K37" s="6">
        <v>2.2000000000000002</v>
      </c>
      <c r="L37" s="6">
        <v>2.6993548387096782</v>
      </c>
      <c r="M37" s="6">
        <v>2.12</v>
      </c>
      <c r="N37" s="6">
        <f t="shared" si="2"/>
        <v>2.4109677419354831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</row>
    <row r="38" spans="1:47" ht="13.5" x14ac:dyDescent="0.25">
      <c r="A38" s="1">
        <f t="shared" si="3"/>
        <v>36312</v>
      </c>
      <c r="B38" s="9">
        <f t="shared" si="4"/>
        <v>31</v>
      </c>
      <c r="C38" s="6">
        <v>2.226</v>
      </c>
      <c r="D38" s="6">
        <v>1.94</v>
      </c>
      <c r="E38" s="6">
        <v>2.2200000000000002</v>
      </c>
      <c r="F38" s="6">
        <v>2.4586666666666668</v>
      </c>
      <c r="G38" s="6">
        <v>2.08</v>
      </c>
      <c r="H38" s="6">
        <v>2.2200000000000002</v>
      </c>
      <c r="I38" s="6">
        <v>2.08</v>
      </c>
      <c r="J38" s="6">
        <v>1.97</v>
      </c>
      <c r="K38" s="6">
        <v>2.2200000000000002</v>
      </c>
      <c r="L38" s="6">
        <v>2.7919999999999998</v>
      </c>
      <c r="M38" s="6">
        <v>2.1</v>
      </c>
      <c r="N38" s="6">
        <f t="shared" si="2"/>
        <v>2.4586666666666668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7" ht="13.5" x14ac:dyDescent="0.25">
      <c r="A39" s="1">
        <f t="shared" si="3"/>
        <v>36342</v>
      </c>
      <c r="B39" s="9">
        <f t="shared" si="4"/>
        <v>32</v>
      </c>
      <c r="C39" s="6">
        <v>2.262</v>
      </c>
      <c r="D39" s="6">
        <v>2</v>
      </c>
      <c r="E39" s="6">
        <v>2.38</v>
      </c>
      <c r="F39" s="6">
        <v>2.4770967741935483</v>
      </c>
      <c r="G39" s="6">
        <v>2.17</v>
      </c>
      <c r="H39" s="6">
        <v>2.38</v>
      </c>
      <c r="I39" s="6">
        <v>2.21</v>
      </c>
      <c r="J39" s="6">
        <v>2.0499999999999998</v>
      </c>
      <c r="K39" s="6">
        <v>2.38</v>
      </c>
      <c r="L39" s="6">
        <v>2.7812903225806451</v>
      </c>
      <c r="M39" s="6">
        <v>2.21</v>
      </c>
      <c r="N39" s="6">
        <f t="shared" si="2"/>
        <v>2.4770967741935483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</row>
    <row r="40" spans="1:47" ht="13.5" x14ac:dyDescent="0.25">
      <c r="A40" s="1">
        <f t="shared" si="3"/>
        <v>36373</v>
      </c>
      <c r="B40" s="9">
        <f t="shared" si="4"/>
        <v>33</v>
      </c>
      <c r="C40" s="6">
        <v>2.601</v>
      </c>
      <c r="D40" s="6">
        <v>2.1800000000000002</v>
      </c>
      <c r="E40" s="6">
        <v>2.58</v>
      </c>
      <c r="F40" s="6">
        <v>2.7438709677419348</v>
      </c>
      <c r="G40" s="6">
        <v>2.4500000000000002</v>
      </c>
      <c r="H40" s="6">
        <v>2.59</v>
      </c>
      <c r="I40" s="6">
        <v>2.5099999999999998</v>
      </c>
      <c r="J40" s="6">
        <v>2.27</v>
      </c>
      <c r="K40" s="6">
        <v>2.59</v>
      </c>
      <c r="L40" s="6">
        <v>3.250322580645161</v>
      </c>
      <c r="M40" s="6">
        <v>2.2799999999999998</v>
      </c>
      <c r="N40" s="6">
        <f t="shared" si="2"/>
        <v>2.7438709677419348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</row>
    <row r="41" spans="1:47" ht="13.5" x14ac:dyDescent="0.25">
      <c r="A41" s="1">
        <f t="shared" si="3"/>
        <v>36404</v>
      </c>
      <c r="B41" s="9">
        <f t="shared" si="4"/>
        <v>34</v>
      </c>
      <c r="C41" s="6">
        <v>2.9119999999999999</v>
      </c>
      <c r="D41" s="6">
        <v>2.56</v>
      </c>
      <c r="E41" s="6">
        <v>2.93</v>
      </c>
      <c r="F41" s="6">
        <v>2.7884999999999995</v>
      </c>
      <c r="G41" s="6">
        <v>2.77</v>
      </c>
      <c r="H41" s="6">
        <v>2.93</v>
      </c>
      <c r="I41" s="6">
        <v>2.78</v>
      </c>
      <c r="J41" s="6">
        <v>2.64</v>
      </c>
      <c r="K41" s="6">
        <v>2.93</v>
      </c>
      <c r="L41" s="6">
        <v>3.1150000000000002</v>
      </c>
      <c r="M41" s="6">
        <v>2.64</v>
      </c>
      <c r="N41" s="6">
        <f t="shared" ref="N41:N58" si="7">F41</f>
        <v>2.7884999999999995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</row>
    <row r="42" spans="1:47" ht="13.5" x14ac:dyDescent="0.25">
      <c r="A42" s="1">
        <f t="shared" ref="A42:A58" si="8">EOMONTH(A41,0)+1</f>
        <v>36434</v>
      </c>
      <c r="B42" s="9">
        <f t="shared" si="4"/>
        <v>35</v>
      </c>
      <c r="C42" s="6">
        <v>2.5590000000000002</v>
      </c>
      <c r="D42" s="6">
        <v>2.39</v>
      </c>
      <c r="E42" s="6">
        <v>2.71</v>
      </c>
      <c r="F42" s="6">
        <v>3.1562903225806451</v>
      </c>
      <c r="G42" s="6">
        <v>2.4700000000000002</v>
      </c>
      <c r="H42" s="6">
        <v>2.7</v>
      </c>
      <c r="I42" s="6">
        <v>2.5099999999999998</v>
      </c>
      <c r="J42" s="6">
        <v>2.38</v>
      </c>
      <c r="K42" s="6">
        <v>2.69</v>
      </c>
      <c r="L42" s="6">
        <v>3.5780645161290319</v>
      </c>
      <c r="M42" s="6">
        <v>2.5499999999999998</v>
      </c>
      <c r="N42" s="6">
        <f t="shared" si="7"/>
        <v>3.1562903225806451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</row>
    <row r="43" spans="1:47" ht="13.5" x14ac:dyDescent="0.25">
      <c r="A43" s="1">
        <f t="shared" si="8"/>
        <v>36465</v>
      </c>
      <c r="B43" s="9">
        <f t="shared" si="4"/>
        <v>36</v>
      </c>
      <c r="C43" s="6">
        <v>3.0920000076293945</v>
      </c>
      <c r="D43" s="6">
        <v>2.86</v>
      </c>
      <c r="E43" s="6">
        <v>3.07</v>
      </c>
      <c r="F43" s="6">
        <v>2.6666666666666661</v>
      </c>
      <c r="G43" s="6">
        <v>2.88</v>
      </c>
      <c r="H43" s="6">
        <v>3.06</v>
      </c>
      <c r="I43" s="6">
        <v>2.87</v>
      </c>
      <c r="J43" s="6">
        <v>2.84</v>
      </c>
      <c r="K43" s="6">
        <v>3.06</v>
      </c>
      <c r="L43" s="6">
        <v>2.8945000000000007</v>
      </c>
      <c r="M43" s="6">
        <v>3.01</v>
      </c>
      <c r="N43" s="6">
        <f t="shared" si="7"/>
        <v>2.6666666666666661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7" ht="13.5" x14ac:dyDescent="0.25">
      <c r="A44" s="1">
        <f t="shared" si="8"/>
        <v>36495</v>
      </c>
      <c r="B44" s="9">
        <f t="shared" si="4"/>
        <v>37</v>
      </c>
      <c r="C44" s="6">
        <v>2.12</v>
      </c>
      <c r="D44" s="6">
        <v>2.1</v>
      </c>
      <c r="E44" s="6">
        <v>2.37</v>
      </c>
      <c r="F44" s="6">
        <v>2.5098387096774193</v>
      </c>
      <c r="G44" s="6">
        <v>2.09</v>
      </c>
      <c r="H44" s="6">
        <v>2.41</v>
      </c>
      <c r="I44" s="6">
        <v>2.13</v>
      </c>
      <c r="J44" s="6">
        <v>2.08</v>
      </c>
      <c r="K44" s="6">
        <v>2.41</v>
      </c>
      <c r="L44" s="6">
        <v>2.790322580645161</v>
      </c>
      <c r="M44" s="6">
        <v>2.31</v>
      </c>
      <c r="N44" s="6">
        <f t="shared" si="7"/>
        <v>2.5098387096774193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7" ht="13.5" x14ac:dyDescent="0.25">
      <c r="A45" s="1">
        <f t="shared" si="8"/>
        <v>36526</v>
      </c>
      <c r="B45" s="9">
        <f t="shared" si="4"/>
        <v>38</v>
      </c>
      <c r="C45" s="6">
        <v>2.3439999999999999</v>
      </c>
      <c r="D45" s="6">
        <v>2.19</v>
      </c>
      <c r="E45" s="6">
        <v>2.38</v>
      </c>
      <c r="F45" s="6">
        <v>2.4787096774193551</v>
      </c>
      <c r="G45" s="6">
        <v>2.1800000000000002</v>
      </c>
      <c r="H45" s="6">
        <v>2.38</v>
      </c>
      <c r="I45" s="6">
        <v>2.19</v>
      </c>
      <c r="J45" s="6">
        <v>2.17</v>
      </c>
      <c r="K45" s="6">
        <v>2.38</v>
      </c>
      <c r="L45" s="6">
        <v>2.827096774193548</v>
      </c>
      <c r="M45" s="6">
        <v>2.3199999999999998</v>
      </c>
      <c r="N45" s="6">
        <f t="shared" si="7"/>
        <v>2.4787096774193551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7" ht="13.5" x14ac:dyDescent="0.25">
      <c r="A46" s="1">
        <f t="shared" si="8"/>
        <v>36557</v>
      </c>
      <c r="B46" s="9">
        <f t="shared" si="4"/>
        <v>39</v>
      </c>
      <c r="C46" s="6">
        <v>2.61</v>
      </c>
      <c r="D46" s="6">
        <v>2.38</v>
      </c>
      <c r="E46" s="6">
        <v>2.5499999999999998</v>
      </c>
      <c r="F46" s="6">
        <v>2.6960344827586225</v>
      </c>
      <c r="G46" s="6">
        <v>2.4300000000000002</v>
      </c>
      <c r="H46" s="6">
        <v>2.5499999999999998</v>
      </c>
      <c r="I46" s="6">
        <v>2.37</v>
      </c>
      <c r="J46" s="6">
        <v>2.37</v>
      </c>
      <c r="K46" s="6">
        <v>2.5499999999999998</v>
      </c>
      <c r="L46" s="6">
        <v>3.1018965517241388</v>
      </c>
      <c r="M46" s="6">
        <v>2.4900000000000002</v>
      </c>
      <c r="N46" s="6">
        <f t="shared" si="7"/>
        <v>2.6960344827586225</v>
      </c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</row>
    <row r="47" spans="1:47" ht="13.5" x14ac:dyDescent="0.25">
      <c r="A47" s="1">
        <f t="shared" si="8"/>
        <v>36586</v>
      </c>
      <c r="B47" s="9">
        <f t="shared" si="4"/>
        <v>40</v>
      </c>
      <c r="C47" s="6">
        <v>2.6030000000000002</v>
      </c>
      <c r="D47" s="6">
        <v>2.35</v>
      </c>
      <c r="E47" s="6">
        <v>2.59</v>
      </c>
      <c r="F47" s="6">
        <v>2.9649999999999999</v>
      </c>
      <c r="G47" s="6">
        <v>2.41</v>
      </c>
      <c r="H47" s="6">
        <v>2.58</v>
      </c>
      <c r="I47" s="6">
        <v>2.39</v>
      </c>
      <c r="J47" s="6">
        <v>2.35</v>
      </c>
      <c r="K47" s="6">
        <v>2.58</v>
      </c>
      <c r="L47" s="6">
        <v>3.521290322580644</v>
      </c>
      <c r="M47" s="6">
        <v>2.44</v>
      </c>
      <c r="N47" s="6">
        <f t="shared" si="7"/>
        <v>2.9649999999999999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</row>
    <row r="48" spans="1:47" ht="13.5" x14ac:dyDescent="0.25">
      <c r="A48" s="1">
        <f t="shared" si="8"/>
        <v>36617</v>
      </c>
      <c r="B48" s="9">
        <f t="shared" si="4"/>
        <v>41</v>
      </c>
      <c r="C48" s="6">
        <v>2.9</v>
      </c>
      <c r="D48" s="6">
        <v>2.7</v>
      </c>
      <c r="E48" s="6">
        <v>3.02</v>
      </c>
      <c r="F48" s="6">
        <v>3.085</v>
      </c>
      <c r="G48" s="6">
        <v>2.79</v>
      </c>
      <c r="H48" s="6">
        <v>3.04</v>
      </c>
      <c r="I48" s="6">
        <v>2.82</v>
      </c>
      <c r="J48" s="6">
        <v>2.77</v>
      </c>
      <c r="K48" s="6">
        <v>3.04</v>
      </c>
      <c r="L48" s="6">
        <v>3.7708333333333335</v>
      </c>
      <c r="M48" s="6">
        <v>2.9</v>
      </c>
      <c r="N48" s="6">
        <f t="shared" si="7"/>
        <v>3.085</v>
      </c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7" ht="13.5" x14ac:dyDescent="0.25">
      <c r="A49" s="1">
        <f t="shared" si="8"/>
        <v>36647</v>
      </c>
      <c r="B49" s="9">
        <f t="shared" si="4"/>
        <v>42</v>
      </c>
      <c r="C49" s="6">
        <v>3.089</v>
      </c>
      <c r="D49" s="6">
        <v>2.74</v>
      </c>
      <c r="E49" s="6">
        <v>3.03</v>
      </c>
      <c r="F49" s="6">
        <v>3.6777419354838714</v>
      </c>
      <c r="G49" s="6">
        <v>2.89</v>
      </c>
      <c r="H49" s="6">
        <v>3.04</v>
      </c>
      <c r="I49" s="6">
        <v>2.87</v>
      </c>
      <c r="J49" s="6">
        <v>2.76</v>
      </c>
      <c r="K49" s="6">
        <v>3.04</v>
      </c>
      <c r="L49" s="6">
        <v>4.3430645161290338</v>
      </c>
      <c r="M49" s="6">
        <v>2.94</v>
      </c>
      <c r="N49" s="6">
        <f t="shared" si="7"/>
        <v>3.6777419354838714</v>
      </c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7" ht="13.5" x14ac:dyDescent="0.25">
      <c r="A50" s="1">
        <f t="shared" si="8"/>
        <v>36678</v>
      </c>
      <c r="B50" s="9">
        <f t="shared" si="4"/>
        <v>43</v>
      </c>
      <c r="C50" s="6">
        <v>4.4059999999999997</v>
      </c>
      <c r="D50" s="6">
        <v>3.61</v>
      </c>
      <c r="E50" s="6">
        <v>4.33</v>
      </c>
      <c r="F50" s="6">
        <v>4.6659999999999995</v>
      </c>
      <c r="G50" s="6">
        <v>4.12</v>
      </c>
      <c r="H50" s="6">
        <v>4.3099999999999996</v>
      </c>
      <c r="I50" s="6">
        <v>3.89</v>
      </c>
      <c r="J50" s="6">
        <v>3.71</v>
      </c>
      <c r="K50" s="6">
        <v>4.3099999999999996</v>
      </c>
      <c r="L50" s="6">
        <v>5.1076666666666659</v>
      </c>
      <c r="M50" s="6">
        <v>3.88</v>
      </c>
      <c r="N50" s="6">
        <f t="shared" si="7"/>
        <v>4.6659999999999995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</row>
    <row r="51" spans="1:47" ht="13.5" x14ac:dyDescent="0.25">
      <c r="A51" s="1">
        <f t="shared" si="8"/>
        <v>36708</v>
      </c>
      <c r="B51" s="9">
        <f t="shared" si="4"/>
        <v>44</v>
      </c>
      <c r="C51" s="6">
        <v>4.3689999580383301</v>
      </c>
      <c r="D51" s="6">
        <v>3.95</v>
      </c>
      <c r="E51" s="6">
        <v>4.91</v>
      </c>
      <c r="F51" s="6">
        <v>4.395161290322581</v>
      </c>
      <c r="G51" s="6">
        <v>4.3600000000000003</v>
      </c>
      <c r="H51" s="6">
        <v>4.9000000000000004</v>
      </c>
      <c r="I51" s="6">
        <v>4.46</v>
      </c>
      <c r="J51" s="6">
        <v>4.1399999999999997</v>
      </c>
      <c r="K51" s="6">
        <v>4.9000000000000004</v>
      </c>
      <c r="L51" s="6">
        <v>4.535967741935484</v>
      </c>
      <c r="M51" s="6">
        <v>4.5</v>
      </c>
      <c r="N51" s="6">
        <f t="shared" si="7"/>
        <v>4.395161290322581</v>
      </c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</row>
    <row r="52" spans="1:47" ht="13.5" x14ac:dyDescent="0.25">
      <c r="A52" s="1">
        <f t="shared" si="8"/>
        <v>36739</v>
      </c>
      <c r="B52" s="9">
        <f t="shared" si="4"/>
        <v>45</v>
      </c>
      <c r="C52" s="6">
        <v>3.82</v>
      </c>
      <c r="D52" s="6">
        <v>3.12</v>
      </c>
      <c r="E52" s="6">
        <v>4.49</v>
      </c>
      <c r="F52" s="6">
        <v>4.8640322580645154</v>
      </c>
      <c r="G52" s="6">
        <v>3.8</v>
      </c>
      <c r="H52" s="6">
        <v>4.5599999999999996</v>
      </c>
      <c r="I52" s="6">
        <v>3.72</v>
      </c>
      <c r="J52" s="6">
        <v>3.48</v>
      </c>
      <c r="K52" s="6">
        <v>4.5599999999999996</v>
      </c>
      <c r="L52" s="6">
        <v>4.5043548387096788</v>
      </c>
      <c r="M52" s="6">
        <v>3.99</v>
      </c>
      <c r="N52" s="6">
        <f t="shared" si="7"/>
        <v>4.8640322580645154</v>
      </c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</row>
    <row r="53" spans="1:47" ht="13.5" x14ac:dyDescent="0.25">
      <c r="A53" s="1">
        <f t="shared" si="8"/>
        <v>36770</v>
      </c>
      <c r="B53" s="9">
        <f t="shared" si="4"/>
        <v>46</v>
      </c>
      <c r="C53" s="6">
        <v>4.6180000000000003</v>
      </c>
      <c r="D53" s="6">
        <v>3.47</v>
      </c>
      <c r="E53" s="6">
        <v>6.31</v>
      </c>
      <c r="F53" s="6">
        <v>5.916333333333335</v>
      </c>
      <c r="G53" s="6">
        <v>4.51</v>
      </c>
      <c r="H53" s="6">
        <v>7</v>
      </c>
      <c r="I53" s="6">
        <v>4.55</v>
      </c>
      <c r="J53" s="6">
        <v>3.5</v>
      </c>
      <c r="K53" s="6">
        <v>7</v>
      </c>
      <c r="L53" s="6">
        <v>6.2013333333333351</v>
      </c>
      <c r="M53" s="6">
        <v>5.91</v>
      </c>
      <c r="N53" s="6">
        <f t="shared" si="7"/>
        <v>5.916333333333335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</row>
    <row r="54" spans="1:47" ht="13.5" x14ac:dyDescent="0.25">
      <c r="A54" s="1">
        <f t="shared" si="8"/>
        <v>36800</v>
      </c>
      <c r="B54" s="9">
        <f t="shared" si="4"/>
        <v>47</v>
      </c>
      <c r="C54" s="6">
        <v>5.3120000000000003</v>
      </c>
      <c r="D54" s="6">
        <v>4.3099999999999996</v>
      </c>
      <c r="E54" s="6">
        <v>5.57</v>
      </c>
      <c r="F54" s="6">
        <v>5.5932258064516134</v>
      </c>
      <c r="G54" s="6">
        <v>5.17</v>
      </c>
      <c r="H54" s="6">
        <v>5.57</v>
      </c>
      <c r="I54" s="6">
        <v>5.16</v>
      </c>
      <c r="J54" s="6">
        <v>4.5199999999999996</v>
      </c>
      <c r="K54" s="6">
        <v>5.57</v>
      </c>
      <c r="L54" s="6">
        <v>6.444193548387096</v>
      </c>
      <c r="M54" s="6">
        <v>5.31</v>
      </c>
      <c r="N54" s="6">
        <f t="shared" si="7"/>
        <v>5.5932258064516134</v>
      </c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7" ht="13.5" x14ac:dyDescent="0.25">
      <c r="A55" s="1">
        <f t="shared" si="8"/>
        <v>36831</v>
      </c>
      <c r="B55" s="9">
        <f t="shared" si="4"/>
        <v>48</v>
      </c>
      <c r="C55" s="6">
        <v>4.5410000000000004</v>
      </c>
      <c r="D55" s="6">
        <v>4.37</v>
      </c>
      <c r="E55" s="6">
        <v>5.18</v>
      </c>
      <c r="F55" s="6">
        <v>9.7668333333333326</v>
      </c>
      <c r="G55" s="6">
        <v>4.46</v>
      </c>
      <c r="H55" s="6">
        <v>5.2</v>
      </c>
      <c r="I55" s="6">
        <v>4.5999999999999996</v>
      </c>
      <c r="J55" s="6">
        <v>4.41</v>
      </c>
      <c r="K55" s="6">
        <v>5.2</v>
      </c>
      <c r="L55" s="6">
        <v>7.1614999999999993</v>
      </c>
      <c r="M55" s="6">
        <v>5.0599999999999996</v>
      </c>
      <c r="N55" s="6">
        <f t="shared" si="7"/>
        <v>9.7668333333333326</v>
      </c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</row>
    <row r="56" spans="1:47" ht="13.5" x14ac:dyDescent="0.25">
      <c r="A56" s="1">
        <f t="shared" si="8"/>
        <v>36861</v>
      </c>
      <c r="B56" s="9">
        <f t="shared" si="4"/>
        <v>49</v>
      </c>
      <c r="C56" s="6">
        <v>6.016</v>
      </c>
      <c r="D56" s="6">
        <v>6.07</v>
      </c>
      <c r="E56" s="6">
        <v>14.08</v>
      </c>
      <c r="F56" s="6">
        <v>20.994838709677417</v>
      </c>
      <c r="G56" s="6">
        <v>6.31</v>
      </c>
      <c r="H56" s="6">
        <v>13.81</v>
      </c>
      <c r="I56" s="6">
        <v>6.39</v>
      </c>
      <c r="J56" s="6">
        <v>6</v>
      </c>
      <c r="K56" s="6">
        <v>13.82</v>
      </c>
      <c r="L56" s="6">
        <v>11.717419354838707</v>
      </c>
      <c r="M56" s="6">
        <v>13.53</v>
      </c>
      <c r="N56" s="6">
        <f t="shared" si="7"/>
        <v>20.994838709677417</v>
      </c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</row>
    <row r="57" spans="1:47" ht="13.5" x14ac:dyDescent="0.25">
      <c r="A57" s="1">
        <f t="shared" si="8"/>
        <v>36892</v>
      </c>
      <c r="B57" s="9">
        <f t="shared" si="4"/>
        <v>50</v>
      </c>
      <c r="C57" s="6">
        <v>9.9789999999999992</v>
      </c>
      <c r="D57" s="6">
        <v>8.77</v>
      </c>
      <c r="E57" s="6">
        <v>16.32</v>
      </c>
      <c r="F57" s="6">
        <v>10.738870967741933</v>
      </c>
      <c r="G57" s="6">
        <v>9.9499999999999993</v>
      </c>
      <c r="H57" s="6">
        <v>16.13</v>
      </c>
      <c r="I57" s="6">
        <v>9.7799999999999994</v>
      </c>
      <c r="J57" s="6">
        <v>8.7200000000000006</v>
      </c>
      <c r="K57" s="6">
        <v>15.92</v>
      </c>
      <c r="L57" s="6">
        <v>10.727903225806452</v>
      </c>
      <c r="M57" s="6">
        <v>14.17</v>
      </c>
      <c r="N57" s="6">
        <f t="shared" si="7"/>
        <v>10.738870967741933</v>
      </c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</row>
    <row r="58" spans="1:47" ht="13.5" x14ac:dyDescent="0.25">
      <c r="A58" s="1">
        <f t="shared" si="8"/>
        <v>36923</v>
      </c>
      <c r="B58" s="9">
        <f t="shared" si="4"/>
        <v>51</v>
      </c>
      <c r="C58" s="6">
        <v>6.2930000000000001</v>
      </c>
      <c r="D58" s="6">
        <v>6.41</v>
      </c>
      <c r="E58" s="6">
        <v>12.63</v>
      </c>
      <c r="F58" s="6">
        <v>11.225454545454543</v>
      </c>
      <c r="G58" s="6">
        <v>6.9</v>
      </c>
      <c r="H58" s="6">
        <v>12.57</v>
      </c>
      <c r="I58" s="6">
        <v>6.73</v>
      </c>
      <c r="J58" s="6">
        <v>6.1</v>
      </c>
      <c r="K58" s="6">
        <v>12.57</v>
      </c>
      <c r="L58" s="6">
        <v>8.0018181818181802</v>
      </c>
      <c r="M58" s="6">
        <v>9.77</v>
      </c>
      <c r="N58" s="6">
        <f t="shared" si="7"/>
        <v>11.225454545454543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</row>
    <row r="59" spans="1:47" x14ac:dyDescent="0.2">
      <c r="A59" s="1"/>
      <c r="B59" s="1"/>
      <c r="C59" s="1"/>
    </row>
    <row r="60" spans="1:47" x14ac:dyDescent="0.2">
      <c r="A60" s="1"/>
      <c r="B60" s="1"/>
      <c r="C60" s="1"/>
    </row>
    <row r="61" spans="1:47" x14ac:dyDescent="0.2">
      <c r="A61" s="1"/>
      <c r="B61" s="1"/>
      <c r="C61" s="1"/>
    </row>
    <row r="62" spans="1:47" x14ac:dyDescent="0.2">
      <c r="A62" s="1"/>
      <c r="B62" s="1"/>
      <c r="C62" s="1"/>
    </row>
    <row r="63" spans="1:47" x14ac:dyDescent="0.2">
      <c r="A63" s="1"/>
      <c r="B63" s="1"/>
      <c r="C63" s="1"/>
    </row>
    <row r="64" spans="1:47" x14ac:dyDescent="0.2">
      <c r="A64" s="1"/>
      <c r="B64" s="1"/>
      <c r="C64" s="1"/>
    </row>
    <row r="65" spans="1:3" x14ac:dyDescent="0.2">
      <c r="A65" s="1"/>
      <c r="B65" s="1"/>
      <c r="C65" s="1"/>
    </row>
    <row r="66" spans="1:3" x14ac:dyDescent="0.2">
      <c r="A66" s="1"/>
      <c r="B66" s="1"/>
      <c r="C66" s="1"/>
    </row>
    <row r="67" spans="1:3" x14ac:dyDescent="0.2">
      <c r="A67" s="1"/>
      <c r="B67" s="1"/>
      <c r="C67" s="1"/>
    </row>
    <row r="68" spans="1:3" x14ac:dyDescent="0.2">
      <c r="A68" s="1"/>
      <c r="B68" s="1"/>
      <c r="C68" s="1"/>
    </row>
    <row r="69" spans="1:3" x14ac:dyDescent="0.2">
      <c r="A69" s="1"/>
      <c r="B69" s="1"/>
      <c r="C69" s="1"/>
    </row>
    <row r="70" spans="1:3" x14ac:dyDescent="0.2">
      <c r="A70" s="1"/>
      <c r="B70" s="1"/>
      <c r="C70" s="1"/>
    </row>
    <row r="71" spans="1:3" x14ac:dyDescent="0.2">
      <c r="A71" s="1"/>
      <c r="B71" s="1"/>
      <c r="C71" s="1"/>
    </row>
    <row r="72" spans="1:3" x14ac:dyDescent="0.2">
      <c r="A72" s="1"/>
      <c r="B72" s="1"/>
      <c r="C72" s="1"/>
    </row>
    <row r="73" spans="1:3" x14ac:dyDescent="0.2">
      <c r="A73" s="1"/>
      <c r="B73" s="1"/>
      <c r="C73" s="1"/>
    </row>
    <row r="74" spans="1:3" x14ac:dyDescent="0.2">
      <c r="A74" s="1"/>
      <c r="B74" s="1"/>
      <c r="C74" s="1"/>
    </row>
    <row r="75" spans="1:3" x14ac:dyDescent="0.2">
      <c r="A75" s="1"/>
      <c r="B75" s="1"/>
      <c r="C75" s="1"/>
    </row>
    <row r="76" spans="1:3" x14ac:dyDescent="0.2">
      <c r="A76" s="1"/>
      <c r="B76" s="1"/>
      <c r="C76" s="1"/>
    </row>
    <row r="77" spans="1:3" x14ac:dyDescent="0.2">
      <c r="A77" s="1"/>
      <c r="B77" s="1"/>
      <c r="C77" s="1"/>
    </row>
    <row r="78" spans="1:3" x14ac:dyDescent="0.2">
      <c r="A78" s="1"/>
      <c r="B78" s="1"/>
      <c r="C78" s="1"/>
    </row>
    <row r="79" spans="1:3" x14ac:dyDescent="0.2">
      <c r="A79" s="1"/>
      <c r="B79" s="1"/>
      <c r="C79" s="1"/>
    </row>
    <row r="80" spans="1:3" x14ac:dyDescent="0.2">
      <c r="A80" s="1"/>
      <c r="B80" s="1"/>
      <c r="C80" s="1"/>
    </row>
    <row r="81" spans="1:3" x14ac:dyDescent="0.2">
      <c r="A81" s="1"/>
      <c r="B81" s="1"/>
      <c r="C81" s="1"/>
    </row>
    <row r="82" spans="1:3" x14ac:dyDescent="0.2">
      <c r="A82" s="1"/>
      <c r="B82" s="1"/>
      <c r="C82" s="1"/>
    </row>
    <row r="83" spans="1:3" x14ac:dyDescent="0.2">
      <c r="A83" s="1"/>
      <c r="B83" s="1"/>
      <c r="C83" s="1"/>
    </row>
    <row r="84" spans="1:3" x14ac:dyDescent="0.2">
      <c r="A84" s="1"/>
      <c r="B84" s="1"/>
      <c r="C84" s="1"/>
    </row>
    <row r="85" spans="1:3" x14ac:dyDescent="0.2">
      <c r="A85" s="1"/>
      <c r="B85" s="1"/>
      <c r="C85" s="1"/>
    </row>
    <row r="86" spans="1:3" x14ac:dyDescent="0.2">
      <c r="A86" s="1"/>
      <c r="B86" s="1"/>
      <c r="C86" s="1"/>
    </row>
    <row r="87" spans="1:3" x14ac:dyDescent="0.2">
      <c r="A87" s="1"/>
      <c r="B87" s="1"/>
      <c r="C87" s="1"/>
    </row>
    <row r="88" spans="1:3" x14ac:dyDescent="0.2">
      <c r="A88" s="1"/>
      <c r="B88" s="1"/>
      <c r="C88" s="1"/>
    </row>
    <row r="89" spans="1:3" x14ac:dyDescent="0.2">
      <c r="A89" s="1"/>
      <c r="B89" s="1"/>
      <c r="C89" s="1"/>
    </row>
    <row r="90" spans="1:3" x14ac:dyDescent="0.2">
      <c r="A90" s="1"/>
      <c r="B90" s="1"/>
      <c r="C90" s="1"/>
    </row>
    <row r="91" spans="1:3" x14ac:dyDescent="0.2">
      <c r="A91" s="1"/>
      <c r="B91" s="1"/>
      <c r="C91" s="1"/>
    </row>
    <row r="92" spans="1:3" x14ac:dyDescent="0.2">
      <c r="A92" s="1"/>
      <c r="B92" s="1"/>
      <c r="C92" s="1"/>
    </row>
    <row r="93" spans="1:3" x14ac:dyDescent="0.2">
      <c r="A93" s="1"/>
      <c r="B93" s="1"/>
      <c r="C93" s="1"/>
    </row>
    <row r="94" spans="1:3" x14ac:dyDescent="0.2">
      <c r="A94" s="1"/>
      <c r="B94" s="1"/>
      <c r="C94" s="1"/>
    </row>
    <row r="95" spans="1:3" x14ac:dyDescent="0.2">
      <c r="A95" s="1"/>
      <c r="B95" s="1"/>
      <c r="C95" s="1"/>
    </row>
    <row r="96" spans="1:3" x14ac:dyDescent="0.2">
      <c r="A96" s="1"/>
      <c r="B96" s="1"/>
      <c r="C96" s="1"/>
    </row>
    <row r="97" spans="1:3" x14ac:dyDescent="0.2">
      <c r="A97" s="1"/>
      <c r="B97" s="1"/>
      <c r="C97" s="1"/>
    </row>
    <row r="98" spans="1:3" x14ac:dyDescent="0.2">
      <c r="A98" s="1"/>
      <c r="B98" s="1"/>
      <c r="C98" s="1"/>
    </row>
    <row r="99" spans="1:3" x14ac:dyDescent="0.2">
      <c r="A99" s="1"/>
      <c r="B99" s="1"/>
      <c r="C99" s="1"/>
    </row>
    <row r="100" spans="1:3" x14ac:dyDescent="0.2">
      <c r="A100" s="1"/>
      <c r="B100" s="1"/>
      <c r="C100" s="1"/>
    </row>
    <row r="101" spans="1:3" x14ac:dyDescent="0.2">
      <c r="A101" s="1"/>
      <c r="B101" s="1"/>
      <c r="C101" s="1"/>
    </row>
    <row r="102" spans="1:3" x14ac:dyDescent="0.2">
      <c r="A102" s="1"/>
      <c r="B102" s="1"/>
      <c r="C102" s="1"/>
    </row>
    <row r="103" spans="1:3" x14ac:dyDescent="0.2">
      <c r="A103" s="1"/>
      <c r="B103" s="1"/>
      <c r="C103" s="1"/>
    </row>
    <row r="104" spans="1:3" x14ac:dyDescent="0.2">
      <c r="A104" s="1"/>
      <c r="B104" s="1"/>
      <c r="C104" s="1"/>
    </row>
    <row r="105" spans="1:3" x14ac:dyDescent="0.2">
      <c r="A105" s="1"/>
      <c r="B105" s="1"/>
      <c r="C105" s="1"/>
    </row>
    <row r="106" spans="1:3" x14ac:dyDescent="0.2">
      <c r="A106" s="1"/>
      <c r="B106" s="1"/>
      <c r="C106" s="1"/>
    </row>
  </sheetData>
  <mergeCells count="4">
    <mergeCell ref="C3:N3"/>
    <mergeCell ref="D4:F4"/>
    <mergeCell ref="G4:H4"/>
    <mergeCell ref="I4:K4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106"/>
  <sheetViews>
    <sheetView showGridLines="0" zoomScale="75" workbookViewId="0">
      <selection activeCell="K9" sqref="K9"/>
    </sheetView>
  </sheetViews>
  <sheetFormatPr defaultRowHeight="12.75" x14ac:dyDescent="0.2"/>
  <cols>
    <col min="1" max="1" width="10.83203125" customWidth="1"/>
    <col min="2" max="2" width="10.83203125" hidden="1" customWidth="1"/>
    <col min="3" max="3" width="11.5" customWidth="1"/>
    <col min="4" max="4" width="16.5" customWidth="1"/>
    <col min="5" max="5" width="15.6640625" customWidth="1"/>
    <col min="6" max="6" width="20.5" customWidth="1"/>
    <col min="7" max="7" width="10.6640625" customWidth="1"/>
    <col min="8" max="8" width="13.33203125" customWidth="1"/>
    <col min="9" max="9" width="11.83203125" customWidth="1"/>
    <col min="10" max="10" width="13.1640625" customWidth="1"/>
    <col min="11" max="11" width="15.1640625" customWidth="1"/>
    <col min="12" max="13" width="11.5" customWidth="1"/>
    <col min="14" max="14" width="14" customWidth="1"/>
    <col min="15" max="15" width="13.33203125" customWidth="1"/>
    <col min="16" max="16" width="18.33203125" customWidth="1"/>
  </cols>
  <sheetData>
    <row r="2" spans="1:49" x14ac:dyDescent="0.2">
      <c r="D2" s="32" t="s">
        <v>14</v>
      </c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</row>
    <row r="3" spans="1:49" s="3" customFormat="1" x14ac:dyDescent="0.2">
      <c r="C3"/>
      <c r="D3" s="30" t="s">
        <v>2</v>
      </c>
      <c r="E3" s="30"/>
      <c r="F3" s="30"/>
      <c r="G3" s="31" t="s">
        <v>3</v>
      </c>
      <c r="H3" s="31"/>
      <c r="I3" s="30" t="s">
        <v>5</v>
      </c>
      <c r="J3" s="30"/>
      <c r="K3" s="30"/>
      <c r="L3" s="31" t="s">
        <v>7</v>
      </c>
      <c r="M3" s="31"/>
      <c r="N3" s="31"/>
      <c r="O3" s="31"/>
      <c r="P3" s="31"/>
    </row>
    <row r="4" spans="1:49" s="3" customFormat="1" ht="39.75" customHeight="1" x14ac:dyDescent="0.25">
      <c r="A4" s="27" t="s">
        <v>15</v>
      </c>
      <c r="B4" s="12"/>
      <c r="D4" s="11" t="str">
        <f>Prices!D7</f>
        <v>IF KERN WYOMING</v>
      </c>
      <c r="E4" s="11" t="str">
        <f>Prices!D7</f>
        <v>IF KERN WYOMING</v>
      </c>
      <c r="F4" s="11"/>
      <c r="G4" s="11" t="str">
        <f>Prices!G7</f>
        <v>IF TW PERMIAN</v>
      </c>
      <c r="H4" s="11"/>
      <c r="I4" s="11" t="str">
        <f>Prices!I7</f>
        <v>NGW EPNG PERMIAN</v>
      </c>
      <c r="J4" s="11" t="str">
        <f>Prices!J7</f>
        <v>NGW EPNG SAN JUAN</v>
      </c>
      <c r="K4" s="11"/>
      <c r="L4" s="11" t="str">
        <f>Prices!L7</f>
        <v>AECO (PGT)</v>
      </c>
      <c r="M4" s="11" t="str">
        <f>Prices!M7</f>
        <v>NGW PGT MALIN</v>
      </c>
      <c r="N4" s="11" t="str">
        <f>Prices!L7</f>
        <v>AECO (PGT)</v>
      </c>
      <c r="O4" s="11"/>
      <c r="P4" s="11"/>
      <c r="Q4" s="11"/>
    </row>
    <row r="5" spans="1:49" s="3" customFormat="1" ht="50.25" customHeight="1" thickBot="1" x14ac:dyDescent="0.3">
      <c r="A5" s="27" t="s">
        <v>16</v>
      </c>
      <c r="B5" s="12"/>
      <c r="D5" s="7" t="str">
        <f>Prices!E7</f>
        <v>NGI (Kern) SOCAL BORDER</v>
      </c>
      <c r="E5" s="7" t="str">
        <f>Prices!F7</f>
        <v>PG&amp;E Daily Avg. (Kern)</v>
      </c>
      <c r="F5" s="7"/>
      <c r="G5" s="7" t="str">
        <f>Prices!H7</f>
        <v>NGW TW SOCAL BORDER</v>
      </c>
      <c r="H5" s="7"/>
      <c r="I5" s="7" t="str">
        <f>Prices!K7</f>
        <v>NGW EPNG SOCAL BORDER</v>
      </c>
      <c r="J5" s="7" t="str">
        <f>Prices!K7</f>
        <v>NGW EPNG SOCAL BORDER</v>
      </c>
      <c r="K5" s="7"/>
      <c r="L5" s="7" t="str">
        <f>Prices!M7</f>
        <v>NGW PGT MALIN</v>
      </c>
      <c r="M5" s="7" t="str">
        <f>Prices!N7</f>
        <v>PG&amp;E Daily Avg. (PGT)</v>
      </c>
      <c r="N5" s="7" t="str">
        <f>Prices!N7</f>
        <v>PG&amp;E Daily Avg. (PGT)</v>
      </c>
      <c r="O5" s="7"/>
      <c r="P5" s="7"/>
      <c r="Q5" s="7"/>
    </row>
    <row r="6" spans="1:49" s="7" customFormat="1" ht="53.25" hidden="1" customHeight="1" thickBot="1" x14ac:dyDescent="0.3">
      <c r="B6" s="8"/>
    </row>
    <row r="7" spans="1:49" s="19" customFormat="1" ht="20.25" hidden="1" customHeight="1" thickBot="1" x14ac:dyDescent="0.3">
      <c r="B7" s="20">
        <v>1</v>
      </c>
      <c r="C7" s="20"/>
      <c r="D7" s="21">
        <f>HLOOKUP(D4,Prices!$C$7:$N$8,2,0)*1000+HLOOKUP(D5,Prices!$C$7:$N$8,2,0)</f>
        <v>2003</v>
      </c>
      <c r="E7" s="21">
        <f>HLOOKUP(E4,Prices!$C$7:$N$8,2,0)*1000+HLOOKUP(E5,Prices!$C$7:$N$8,2,0)</f>
        <v>2004</v>
      </c>
      <c r="F7" s="21"/>
      <c r="G7" s="21">
        <f>HLOOKUP(G4,Prices!$C$7:$N$8,2,0)*1000+HLOOKUP(G5,Prices!$C$7:$N$8,2,0)</f>
        <v>5006</v>
      </c>
      <c r="H7" s="21"/>
      <c r="I7" s="21">
        <f>HLOOKUP(I4,Prices!$C$7:$N$8,2,0)*1000+HLOOKUP(I5,Prices!$C$7:$N$8,2,0)</f>
        <v>7009</v>
      </c>
      <c r="J7" s="21">
        <f>HLOOKUP(J4,Prices!$C$7:$N$8,2,0)*1000+HLOOKUP(J5,Prices!$C$7:$N$8,2,0)</f>
        <v>8009</v>
      </c>
      <c r="K7" s="21"/>
      <c r="L7" s="21">
        <f>HLOOKUP(L4,Prices!$C$7:$N$8,2,0)*1000+HLOOKUP(L5,Prices!$C$7:$N$8,2,0)</f>
        <v>10011</v>
      </c>
      <c r="M7" s="21">
        <f>HLOOKUP(M4,Prices!$C$7:$N$8,2,0)*1000+HLOOKUP(M5,Prices!$C$7:$N$8,2,0)</f>
        <v>11012</v>
      </c>
      <c r="N7" s="21">
        <f>HLOOKUP(N4,Prices!$C$7:$N$8,2,0)*1000+HLOOKUP(N5,Prices!$C$7:$N$8,2,0)</f>
        <v>10012</v>
      </c>
      <c r="O7" s="21"/>
      <c r="P7" s="21"/>
    </row>
    <row r="8" spans="1:49" s="11" customFormat="1" ht="20.25" hidden="1" customHeight="1" x14ac:dyDescent="0.25">
      <c r="B8" s="9">
        <f t="shared" ref="B8:B40" si="0">B7+1</f>
        <v>2</v>
      </c>
      <c r="C8" s="24"/>
      <c r="D8" s="25" t="str">
        <f>D3</f>
        <v>Kern</v>
      </c>
      <c r="E8" s="25" t="s">
        <v>28</v>
      </c>
      <c r="F8" s="25" t="str">
        <f>E8</f>
        <v>Kern/PG&amp;E</v>
      </c>
      <c r="G8" s="25" t="str">
        <f t="shared" ref="G8:L8" si="1">G3</f>
        <v>Transwestern</v>
      </c>
      <c r="H8" s="25" t="str">
        <f>G8</f>
        <v>Transwestern</v>
      </c>
      <c r="I8" s="25" t="str">
        <f t="shared" si="1"/>
        <v>El Paso</v>
      </c>
      <c r="J8" s="25" t="str">
        <f>I8</f>
        <v>El Paso</v>
      </c>
      <c r="K8" s="25" t="str">
        <f>J8</f>
        <v>El Paso</v>
      </c>
      <c r="L8" s="25" t="str">
        <f t="shared" si="1"/>
        <v>PGT</v>
      </c>
      <c r="M8" s="25" t="str">
        <f>L8</f>
        <v>PGT</v>
      </c>
      <c r="N8" s="25" t="str">
        <f>M8</f>
        <v>PGT</v>
      </c>
      <c r="O8" s="25" t="str">
        <f>N8</f>
        <v>PGT</v>
      </c>
      <c r="P8" s="25" t="str">
        <f>O8</f>
        <v>PGT</v>
      </c>
    </row>
    <row r="9" spans="1:49" ht="13.5" x14ac:dyDescent="0.25">
      <c r="A9" s="2">
        <v>35431</v>
      </c>
      <c r="B9" s="9">
        <f t="shared" si="0"/>
        <v>3</v>
      </c>
      <c r="C9" s="6"/>
      <c r="D9" s="6">
        <f>0.627+0.0166*Prices!$D9</f>
        <v>0.69755</v>
      </c>
      <c r="E9" s="6">
        <f>0.627+0.172+0.0166*Prices!$D9+0.0137*Prices!F9</f>
        <v>0.92674749999999995</v>
      </c>
      <c r="F9" s="6"/>
      <c r="G9" s="6">
        <f>0.384+0.05*Prices!$G9</f>
        <v>0.58899999999999997</v>
      </c>
      <c r="H9" s="6"/>
      <c r="I9" s="6">
        <f>0.403+0.035*Prices!$I9</f>
        <v>0.55140000000000011</v>
      </c>
      <c r="J9" s="6">
        <f>0.385+0.035*Prices!$I9</f>
        <v>0.5334000000000001</v>
      </c>
      <c r="K9" s="6"/>
      <c r="L9" s="6">
        <v>0.68</v>
      </c>
      <c r="M9" s="6">
        <f>0.268+0.0111*Prices!M9</f>
        <v>0.31328800000000001</v>
      </c>
      <c r="N9" s="18">
        <f>L9+M9</f>
        <v>0.99328800000000006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</row>
    <row r="10" spans="1:49" ht="13.5" x14ac:dyDescent="0.25">
      <c r="A10" s="1">
        <f t="shared" ref="A10:A41" si="2">EOMONTH(A9,0)+1</f>
        <v>35462</v>
      </c>
      <c r="B10" s="9">
        <f t="shared" si="0"/>
        <v>4</v>
      </c>
      <c r="C10" s="6"/>
      <c r="D10" s="6">
        <f>0.627+0.0166*Prices!$D10</f>
        <v>0.66899799999999998</v>
      </c>
      <c r="E10" s="6">
        <f>0.627+0.172+0.0166*Prices!$D10+0.0137*Prices!F10</f>
        <v>0.87937248723064632</v>
      </c>
      <c r="F10" s="6"/>
      <c r="G10" s="6">
        <f>0.384+0.05*Prices!$G10</f>
        <v>0.50900000000000001</v>
      </c>
      <c r="H10" s="6"/>
      <c r="I10" s="6">
        <f>0.403+0.035*Prices!$I10</f>
        <v>0.49435000000000001</v>
      </c>
      <c r="J10" s="6">
        <f>0.385+0.035*Prices!$I10</f>
        <v>0.47635</v>
      </c>
      <c r="K10" s="6"/>
      <c r="L10" s="6">
        <f t="shared" ref="L10:L29" si="3">L$9</f>
        <v>0.68</v>
      </c>
      <c r="M10" s="6">
        <f>0.268+0.0111*Prices!M10</f>
        <v>0.29575000000000001</v>
      </c>
      <c r="N10" s="18">
        <f t="shared" ref="N10:N58" si="4">L10+M10</f>
        <v>0.97575000000000012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</row>
    <row r="11" spans="1:49" ht="13.5" x14ac:dyDescent="0.25">
      <c r="A11" s="1">
        <f t="shared" si="2"/>
        <v>35490</v>
      </c>
      <c r="B11" s="9">
        <f t="shared" si="0"/>
        <v>5</v>
      </c>
      <c r="C11" s="6"/>
      <c r="D11" s="6">
        <f>0.627+0.0166*Prices!$D11</f>
        <v>0.65007400000000004</v>
      </c>
      <c r="E11" s="6">
        <f>0.627+0.172+0.0166*Prices!$D11+0.0137*Prices!F11</f>
        <v>0.84529735135135131</v>
      </c>
      <c r="F11" s="6"/>
      <c r="G11" s="6">
        <f>0.384+0.05*Prices!$G11</f>
        <v>0.46</v>
      </c>
      <c r="H11" s="6"/>
      <c r="I11" s="6">
        <f>0.403+0.035*Prices!$I11</f>
        <v>0.45935000000000004</v>
      </c>
      <c r="J11" s="6">
        <f>0.385+0.035*Prices!$I11</f>
        <v>0.44135000000000002</v>
      </c>
      <c r="K11" s="6"/>
      <c r="L11" s="6">
        <f t="shared" si="3"/>
        <v>0.68</v>
      </c>
      <c r="M11" s="6">
        <f>0.268+0.0111*Prices!M11</f>
        <v>0.28276300000000004</v>
      </c>
      <c r="N11" s="18">
        <f t="shared" si="4"/>
        <v>0.96276300000000004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</row>
    <row r="12" spans="1:49" ht="13.5" x14ac:dyDescent="0.25">
      <c r="A12" s="1">
        <f t="shared" si="2"/>
        <v>35521</v>
      </c>
      <c r="B12" s="9">
        <f t="shared" si="0"/>
        <v>6</v>
      </c>
      <c r="C12" s="6"/>
      <c r="D12" s="6">
        <f>0.627+0.0166*Prices!$D12</f>
        <v>0.65090400000000004</v>
      </c>
      <c r="E12" s="6">
        <f>0.627+0.172+0.0166*Prices!$D12+0.0137*Prices!F12</f>
        <v>0.85210447157434399</v>
      </c>
      <c r="F12" s="6"/>
      <c r="G12" s="6">
        <f>0.384+0.05*Prices!$G12</f>
        <v>0.46450000000000002</v>
      </c>
      <c r="H12" s="6"/>
      <c r="I12" s="6">
        <f>0.403+0.035*Prices!$I12</f>
        <v>0.46005000000000001</v>
      </c>
      <c r="J12" s="6">
        <f>0.385+0.035*Prices!$I12</f>
        <v>0.44205</v>
      </c>
      <c r="K12" s="6"/>
      <c r="L12" s="6">
        <f t="shared" si="3"/>
        <v>0.68</v>
      </c>
      <c r="M12" s="6">
        <f>0.268+0.0111*Prices!M12</f>
        <v>0.28431700000000004</v>
      </c>
      <c r="N12" s="18">
        <f t="shared" si="4"/>
        <v>0.96431700000000009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14">
        <v>1</v>
      </c>
      <c r="AA12" s="15">
        <f t="array" ref="AA12:AA31">TRANSPOSE(C6:V6)</f>
        <v>0</v>
      </c>
      <c r="AB12" s="15"/>
      <c r="AC12" s="15"/>
      <c r="AD12" s="15"/>
      <c r="AE12" s="15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</row>
    <row r="13" spans="1:49" ht="13.5" x14ac:dyDescent="0.25">
      <c r="A13" s="1">
        <f t="shared" si="2"/>
        <v>35551</v>
      </c>
      <c r="B13" s="9">
        <f t="shared" si="0"/>
        <v>7</v>
      </c>
      <c r="C13" s="6"/>
      <c r="D13" s="6">
        <f>0.627+0.0166*Prices!$D13</f>
        <v>0.65422400000000003</v>
      </c>
      <c r="E13" s="6">
        <f>0.627+0.172+0.0166*Prices!$D13+0.0137*Prices!F13</f>
        <v>0.85522060903820418</v>
      </c>
      <c r="F13" s="6"/>
      <c r="G13" s="6">
        <f>0.384+0.05*Prices!$G13</f>
        <v>0.47850000000000004</v>
      </c>
      <c r="H13" s="6"/>
      <c r="I13" s="6">
        <f>0.403+0.035*Prices!$I13</f>
        <v>0.47020000000000006</v>
      </c>
      <c r="J13" s="6">
        <f>0.385+0.035*Prices!$I13</f>
        <v>0.45220000000000005</v>
      </c>
      <c r="K13" s="6"/>
      <c r="L13" s="6">
        <f t="shared" si="3"/>
        <v>0.68</v>
      </c>
      <c r="M13" s="6">
        <f>0.268+0.0111*Prices!M13</f>
        <v>0.28753600000000001</v>
      </c>
      <c r="N13" s="18">
        <f t="shared" si="4"/>
        <v>0.96753600000000006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14">
        <f t="shared" ref="Z13:Z31" si="5">Z12+1</f>
        <v>2</v>
      </c>
      <c r="AA13" s="15">
        <v>0</v>
      </c>
      <c r="AB13" s="15"/>
      <c r="AC13" s="15"/>
      <c r="AD13" s="15"/>
      <c r="AE13" s="15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</row>
    <row r="14" spans="1:49" ht="13.5" x14ac:dyDescent="0.25">
      <c r="A14" s="1">
        <f t="shared" si="2"/>
        <v>35582</v>
      </c>
      <c r="B14" s="9">
        <f t="shared" si="0"/>
        <v>8</v>
      </c>
      <c r="C14" s="6"/>
      <c r="D14" s="6">
        <f>0.627+0.0166*Prices!$D14</f>
        <v>0.65140200000000004</v>
      </c>
      <c r="E14" s="6">
        <f>0.627+0.172+0.0166*Prices!$D14+0.0137*Prices!F14</f>
        <v>0.85396686913580244</v>
      </c>
      <c r="F14" s="6"/>
      <c r="G14" s="6">
        <f>0.384+0.05*Prices!$G14</f>
        <v>0.48649999999999999</v>
      </c>
      <c r="H14" s="6"/>
      <c r="I14" s="6">
        <f>0.403+0.035*Prices!$I14</f>
        <v>0.47510000000000002</v>
      </c>
      <c r="J14" s="6">
        <f>0.385+0.035*Prices!$I14</f>
        <v>0.45710000000000001</v>
      </c>
      <c r="K14" s="6"/>
      <c r="L14" s="6">
        <f t="shared" si="3"/>
        <v>0.68</v>
      </c>
      <c r="M14" s="6">
        <f>0.268+0.0111*Prices!M14</f>
        <v>0.28709200000000001</v>
      </c>
      <c r="N14" s="18">
        <f t="shared" si="4"/>
        <v>0.96709200000000006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14">
        <f t="shared" si="5"/>
        <v>3</v>
      </c>
      <c r="AA14" s="15">
        <v>0</v>
      </c>
      <c r="AB14" s="15"/>
      <c r="AC14" s="15"/>
      <c r="AD14" s="15"/>
      <c r="AE14" s="15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</row>
    <row r="15" spans="1:49" ht="13.5" x14ac:dyDescent="0.25">
      <c r="A15" s="1">
        <f t="shared" si="2"/>
        <v>35612</v>
      </c>
      <c r="B15" s="9">
        <f t="shared" si="0"/>
        <v>9</v>
      </c>
      <c r="C15" s="6"/>
      <c r="D15" s="6">
        <f>0.627+0.0166*Prices!$D15</f>
        <v>0.65073800000000004</v>
      </c>
      <c r="E15" s="6">
        <f>0.627+0.172+0.0166*Prices!$D15+0.0137*Prices!F15</f>
        <v>0.8504636746784735</v>
      </c>
      <c r="F15" s="6"/>
      <c r="G15" s="6">
        <f>0.384+0.05*Prices!$G15</f>
        <v>0.48350000000000004</v>
      </c>
      <c r="H15" s="6"/>
      <c r="I15" s="6">
        <f>0.403+0.035*Prices!$I15</f>
        <v>0.47370000000000001</v>
      </c>
      <c r="J15" s="6">
        <f>0.385+0.035*Prices!$I15</f>
        <v>0.45569999999999999</v>
      </c>
      <c r="K15" s="6"/>
      <c r="L15" s="6">
        <f t="shared" si="3"/>
        <v>0.68</v>
      </c>
      <c r="M15" s="6">
        <f>0.268+0.0111*Prices!M15</f>
        <v>0.28531600000000001</v>
      </c>
      <c r="N15" s="18">
        <f t="shared" si="4"/>
        <v>0.96531600000000006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14">
        <f t="shared" si="5"/>
        <v>4</v>
      </c>
      <c r="AA15" s="15">
        <v>0</v>
      </c>
      <c r="AB15" s="15"/>
      <c r="AC15" s="15"/>
      <c r="AD15" s="15"/>
      <c r="AE15" s="15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</row>
    <row r="16" spans="1:49" ht="13.5" x14ac:dyDescent="0.25">
      <c r="A16" s="1">
        <f t="shared" si="2"/>
        <v>35643</v>
      </c>
      <c r="B16" s="9">
        <f t="shared" si="0"/>
        <v>10</v>
      </c>
      <c r="C16" s="6"/>
      <c r="D16" s="6">
        <f>0.627+0.0166*Prices!$D16</f>
        <v>0.64974200000000004</v>
      </c>
      <c r="E16" s="6">
        <f>0.627+0.172+0.0166*Prices!$D16+0.0137*Prices!F16</f>
        <v>0.85059273051904949</v>
      </c>
      <c r="F16" s="6"/>
      <c r="G16" s="6">
        <f>0.384+0.05*Prices!$G16</f>
        <v>0.48649999999999999</v>
      </c>
      <c r="H16" s="6"/>
      <c r="I16" s="6">
        <f>0.403+0.035*Prices!$I16</f>
        <v>0.47545000000000004</v>
      </c>
      <c r="J16" s="6">
        <f>0.385+0.035*Prices!$I16</f>
        <v>0.45745000000000002</v>
      </c>
      <c r="K16" s="6"/>
      <c r="L16" s="6">
        <f t="shared" si="3"/>
        <v>0.68</v>
      </c>
      <c r="M16" s="6">
        <f>0.268+0.0111*Prices!M16</f>
        <v>0.28476100000000004</v>
      </c>
      <c r="N16" s="18">
        <f t="shared" si="4"/>
        <v>0.96476100000000009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14">
        <f t="shared" si="5"/>
        <v>5</v>
      </c>
      <c r="AA16" s="15">
        <v>0</v>
      </c>
      <c r="AB16" s="15"/>
      <c r="AC16" s="15"/>
      <c r="AD16" s="15"/>
      <c r="AE16" s="15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</row>
    <row r="17" spans="1:49" ht="13.5" x14ac:dyDescent="0.25">
      <c r="A17" s="1">
        <f t="shared" si="2"/>
        <v>35674</v>
      </c>
      <c r="B17" s="9">
        <f t="shared" si="0"/>
        <v>11</v>
      </c>
      <c r="C17" s="6"/>
      <c r="D17" s="6">
        <f>0.627+0.0166*Prices!$D17</f>
        <v>0.65156800000000004</v>
      </c>
      <c r="E17" s="6">
        <f>0.627+0.172+0.0166*Prices!$D17+0.0137*Prices!F17</f>
        <v>0.85257991445242365</v>
      </c>
      <c r="F17" s="6"/>
      <c r="G17" s="6">
        <f>0.384+0.05*Prices!$G17</f>
        <v>0.50150000000000006</v>
      </c>
      <c r="H17" s="6"/>
      <c r="I17" s="6">
        <f>0.403+0.035*Prices!$I17</f>
        <v>0.48665000000000003</v>
      </c>
      <c r="J17" s="6">
        <f>0.385+0.035*Prices!$I17</f>
        <v>0.46865000000000001</v>
      </c>
      <c r="K17" s="6"/>
      <c r="L17" s="6">
        <f t="shared" si="3"/>
        <v>0.68</v>
      </c>
      <c r="M17" s="6">
        <f>0.268+0.0111*Prices!M17</f>
        <v>0.28720300000000004</v>
      </c>
      <c r="N17" s="18">
        <f t="shared" si="4"/>
        <v>0.96720300000000003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14">
        <f t="shared" si="5"/>
        <v>6</v>
      </c>
      <c r="AA17" s="15">
        <v>0</v>
      </c>
      <c r="AB17" s="15"/>
      <c r="AC17" s="15"/>
      <c r="AD17" s="15"/>
      <c r="AE17" s="15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</row>
    <row r="18" spans="1:49" ht="13.5" x14ac:dyDescent="0.25">
      <c r="A18" s="1">
        <f t="shared" si="2"/>
        <v>35704</v>
      </c>
      <c r="B18" s="9">
        <f t="shared" si="0"/>
        <v>12</v>
      </c>
      <c r="C18" s="6"/>
      <c r="D18" s="6">
        <f>0.627+0.0166*Prices!$D18</f>
        <v>0.661694</v>
      </c>
      <c r="E18" s="6">
        <f>0.627+0.172+0.0166*Prices!$D18+0.0137*Prices!F18</f>
        <v>0.87783946059732609</v>
      </c>
      <c r="F18" s="6"/>
      <c r="G18" s="6">
        <f>0.384+0.05*Prices!$G18</f>
        <v>0.52600000000000002</v>
      </c>
      <c r="H18" s="6"/>
      <c r="I18" s="6">
        <f>0.403+0.035*Prices!$I18</f>
        <v>0.50590000000000002</v>
      </c>
      <c r="J18" s="6">
        <f>0.385+0.035*Prices!$I18</f>
        <v>0.4879</v>
      </c>
      <c r="K18" s="6"/>
      <c r="L18" s="6">
        <f t="shared" si="3"/>
        <v>0.68</v>
      </c>
      <c r="M18" s="6">
        <f>0.268+0.0111*Prices!M18</f>
        <v>0.29341900000000004</v>
      </c>
      <c r="N18" s="18">
        <f t="shared" si="4"/>
        <v>0.97341900000000003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14">
        <f t="shared" si="5"/>
        <v>7</v>
      </c>
      <c r="AA18" s="15">
        <v>0</v>
      </c>
      <c r="AB18" s="15"/>
      <c r="AC18" s="15"/>
      <c r="AD18" s="15"/>
      <c r="AE18" s="15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</row>
    <row r="19" spans="1:49" ht="13.5" x14ac:dyDescent="0.25">
      <c r="A19" s="1">
        <f t="shared" si="2"/>
        <v>35735</v>
      </c>
      <c r="B19" s="9">
        <f t="shared" si="0"/>
        <v>13</v>
      </c>
      <c r="C19" s="6"/>
      <c r="D19" s="6">
        <f>0.627+0.0166*Prices!$D19</f>
        <v>0.67679999999999996</v>
      </c>
      <c r="E19" s="6">
        <f>0.627+0.172+0.0166*Prices!$D19+0.0137*Prices!F19</f>
        <v>0.88695570175438587</v>
      </c>
      <c r="F19" s="6"/>
      <c r="G19" s="6">
        <f>0.384+0.05*Prices!$G19</f>
        <v>0.53700000000000003</v>
      </c>
      <c r="H19" s="6"/>
      <c r="I19" s="6">
        <f>0.403+0.035*Prices!$I19</f>
        <v>0.51290000000000002</v>
      </c>
      <c r="J19" s="6">
        <f>0.385+0.035*Prices!$I19</f>
        <v>0.49490000000000001</v>
      </c>
      <c r="K19" s="6"/>
      <c r="L19" s="6">
        <f t="shared" si="3"/>
        <v>0.68</v>
      </c>
      <c r="M19" s="6">
        <f>0.268+0.0111*Prices!M19</f>
        <v>0.30141099999999998</v>
      </c>
      <c r="N19" s="18">
        <f t="shared" si="4"/>
        <v>0.98141100000000003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14">
        <f t="shared" si="5"/>
        <v>8</v>
      </c>
      <c r="AA19" s="15">
        <v>0</v>
      </c>
      <c r="AB19" s="15"/>
      <c r="AC19" s="15"/>
      <c r="AD19" s="15"/>
      <c r="AE19" s="15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</row>
    <row r="20" spans="1:49" ht="13.5" x14ac:dyDescent="0.25">
      <c r="A20" s="1">
        <f t="shared" si="2"/>
        <v>35765</v>
      </c>
      <c r="B20" s="9">
        <f t="shared" si="0"/>
        <v>14</v>
      </c>
      <c r="C20" s="6"/>
      <c r="D20" s="6">
        <f>0.627+0.0166*Prices!$D20</f>
        <v>0.65903800000000001</v>
      </c>
      <c r="E20" s="6">
        <f>0.627+0.172+0.0166*Prices!$D20+0.0137*Prices!F20</f>
        <v>0.86241044758064511</v>
      </c>
      <c r="F20" s="6"/>
      <c r="G20" s="6">
        <f>0.384+0.05*Prices!$G20</f>
        <v>0.49399999999999999</v>
      </c>
      <c r="H20" s="6"/>
      <c r="I20" s="6">
        <f>0.403+0.035*Prices!$I20</f>
        <v>0.47930000000000006</v>
      </c>
      <c r="J20" s="6">
        <f>0.385+0.035*Prices!$I20</f>
        <v>0.46130000000000004</v>
      </c>
      <c r="K20" s="6"/>
      <c r="L20" s="6">
        <f t="shared" si="3"/>
        <v>0.68</v>
      </c>
      <c r="M20" s="6">
        <f>0.268+0.0111*Prices!M20</f>
        <v>0.28920100000000004</v>
      </c>
      <c r="N20" s="18">
        <f t="shared" si="4"/>
        <v>0.96920100000000009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14">
        <f t="shared" si="5"/>
        <v>9</v>
      </c>
      <c r="AA20" s="15">
        <v>0</v>
      </c>
      <c r="AB20" s="15"/>
      <c r="AC20" s="15"/>
      <c r="AD20" s="15"/>
      <c r="AE20" s="15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</row>
    <row r="21" spans="1:49" ht="13.5" x14ac:dyDescent="0.25">
      <c r="A21" s="1">
        <f t="shared" si="2"/>
        <v>35796</v>
      </c>
      <c r="B21" s="9">
        <f t="shared" si="0"/>
        <v>15</v>
      </c>
      <c r="C21" s="6"/>
      <c r="D21" s="6">
        <f>0.627+0.0166*Prices!$D21</f>
        <v>0.66086400000000001</v>
      </c>
      <c r="E21" s="6">
        <f>0.627+0.172+0.0166*Prices!$D21+0.0137*Prices!F21</f>
        <v>0.86422125957446805</v>
      </c>
      <c r="F21" s="6"/>
      <c r="G21" s="6">
        <f>0.384+0.05*Prices!$G21</f>
        <v>0.48849999999999999</v>
      </c>
      <c r="H21" s="6"/>
      <c r="I21" s="6">
        <f>0.403+0.035*Prices!$I21</f>
        <v>0.47545000000000004</v>
      </c>
      <c r="J21" s="6">
        <f>0.385+0.035*Prices!$I21</f>
        <v>0.45745000000000002</v>
      </c>
      <c r="K21" s="6"/>
      <c r="L21" s="6">
        <f t="shared" si="3"/>
        <v>0.68</v>
      </c>
      <c r="M21" s="6">
        <f>0.268+0.0111*Prices!M21</f>
        <v>0.29086600000000001</v>
      </c>
      <c r="N21" s="18">
        <f t="shared" si="4"/>
        <v>0.97086600000000001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14">
        <f t="shared" si="5"/>
        <v>10</v>
      </c>
      <c r="AA21" s="15">
        <v>0</v>
      </c>
      <c r="AB21" s="15"/>
      <c r="AC21" s="15"/>
      <c r="AD21" s="15"/>
      <c r="AE21" s="15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</row>
    <row r="22" spans="1:49" ht="13.5" x14ac:dyDescent="0.25">
      <c r="A22" s="1">
        <f t="shared" si="2"/>
        <v>35827</v>
      </c>
      <c r="B22" s="9">
        <f t="shared" si="0"/>
        <v>16</v>
      </c>
      <c r="C22" s="6"/>
      <c r="D22" s="6">
        <f>0.627+0.0166*Prices!$D22</f>
        <v>0.65505400000000003</v>
      </c>
      <c r="E22" s="6">
        <f>0.627+0.172+0.0166*Prices!$D22+0.0137*Prices!F22</f>
        <v>0.85548860495347556</v>
      </c>
      <c r="F22" s="6"/>
      <c r="G22" s="6">
        <f>0.384+0.05*Prices!$G22</f>
        <v>0.47750000000000004</v>
      </c>
      <c r="H22" s="6"/>
      <c r="I22" s="6">
        <f>0.403+0.035*Prices!$I22</f>
        <v>0.46775000000000005</v>
      </c>
      <c r="J22" s="6">
        <f>0.385+0.035*Prices!$I22</f>
        <v>0.44975000000000004</v>
      </c>
      <c r="K22" s="6"/>
      <c r="L22" s="6">
        <f t="shared" si="3"/>
        <v>0.68</v>
      </c>
      <c r="M22" s="6">
        <f>0.268+0.0111*Prices!M22</f>
        <v>0.28764700000000004</v>
      </c>
      <c r="N22" s="18">
        <f t="shared" si="4"/>
        <v>0.96764700000000015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14">
        <f t="shared" si="5"/>
        <v>11</v>
      </c>
      <c r="AA22" s="15">
        <v>0</v>
      </c>
      <c r="AB22" s="15"/>
      <c r="AC22" s="15"/>
      <c r="AD22" s="15"/>
      <c r="AE22" s="15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</row>
    <row r="23" spans="1:49" ht="13.5" x14ac:dyDescent="0.25">
      <c r="A23" s="1">
        <f t="shared" si="2"/>
        <v>35855</v>
      </c>
      <c r="B23" s="9">
        <f t="shared" si="0"/>
        <v>17</v>
      </c>
      <c r="C23" s="6"/>
      <c r="D23" s="6">
        <f>0.627+0.0166*Prices!$D23</f>
        <v>0.65820800000000002</v>
      </c>
      <c r="E23" s="6">
        <f>0.627+0.172+0.0166*Prices!$D23+0.0137*Prices!F23</f>
        <v>0.86452949602385676</v>
      </c>
      <c r="F23" s="6"/>
      <c r="G23" s="6">
        <f>0.384+0.05*Prices!$G23</f>
        <v>0.48749999999999999</v>
      </c>
      <c r="H23" s="6"/>
      <c r="I23" s="6">
        <f>0.403+0.035*Prices!$I23</f>
        <v>0.47475000000000001</v>
      </c>
      <c r="J23" s="6">
        <f>0.385+0.035*Prices!$I23</f>
        <v>0.45674999999999999</v>
      </c>
      <c r="K23" s="6"/>
      <c r="L23" s="6">
        <f t="shared" si="3"/>
        <v>0.68</v>
      </c>
      <c r="M23" s="6">
        <f>0.268+0.0111*Prices!M23</f>
        <v>0.28920100000000004</v>
      </c>
      <c r="N23" s="18">
        <f t="shared" si="4"/>
        <v>0.96920100000000009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14">
        <f t="shared" si="5"/>
        <v>12</v>
      </c>
      <c r="AA23" s="15">
        <v>0</v>
      </c>
      <c r="AB23" s="15"/>
      <c r="AC23" s="15"/>
      <c r="AD23" s="15"/>
      <c r="AE23" s="15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</row>
    <row r="24" spans="1:49" ht="13.5" x14ac:dyDescent="0.25">
      <c r="A24" s="1">
        <f t="shared" si="2"/>
        <v>35886</v>
      </c>
      <c r="B24" s="9">
        <f t="shared" si="0"/>
        <v>18</v>
      </c>
      <c r="C24" s="6"/>
      <c r="D24" s="6">
        <f>0.627+0.0166*Prices!$D24</f>
        <v>0.65854000000000001</v>
      </c>
      <c r="E24" s="6">
        <f>0.627+0.172+0.0166*Prices!$D24+0.0137*Prices!F24</f>
        <v>0.86152444763513514</v>
      </c>
      <c r="F24" s="6"/>
      <c r="G24" s="6">
        <f>0.384+0.05*Prices!$G24</f>
        <v>0.49149999999999999</v>
      </c>
      <c r="H24" s="6"/>
      <c r="I24" s="6">
        <f>0.403+0.035*Prices!$I24</f>
        <v>0.47685</v>
      </c>
      <c r="J24" s="6">
        <f>0.385+0.035*Prices!$I24</f>
        <v>0.45884999999999998</v>
      </c>
      <c r="K24" s="6"/>
      <c r="L24" s="6">
        <f t="shared" si="3"/>
        <v>0.68</v>
      </c>
      <c r="M24" s="6">
        <f>0.268+0.0111*Prices!M24</f>
        <v>0.28986700000000004</v>
      </c>
      <c r="N24" s="18">
        <f t="shared" si="4"/>
        <v>0.96986700000000003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14">
        <f t="shared" si="5"/>
        <v>13</v>
      </c>
      <c r="AA24" s="15">
        <v>0</v>
      </c>
      <c r="AB24" s="15"/>
      <c r="AC24" s="15"/>
      <c r="AD24" s="15"/>
      <c r="AE24" s="15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</row>
    <row r="25" spans="1:49" ht="13.5" x14ac:dyDescent="0.25">
      <c r="A25" s="1">
        <f t="shared" si="2"/>
        <v>35916</v>
      </c>
      <c r="B25" s="9">
        <f t="shared" si="0"/>
        <v>19</v>
      </c>
      <c r="C25" s="6"/>
      <c r="D25" s="6">
        <f>0.627+0.0166*Prices!$D25</f>
        <v>0.65970200000000001</v>
      </c>
      <c r="E25" s="6">
        <f>0.627+0.172+0.0166*Prices!$D25+0.0137*Prices!F25</f>
        <v>0.86259549999999996</v>
      </c>
      <c r="F25" s="6"/>
      <c r="G25" s="6">
        <f>0.384+0.05*Prices!$G25</f>
        <v>0.49</v>
      </c>
      <c r="H25" s="6"/>
      <c r="I25" s="6">
        <f>0.403+0.035*Prices!$I25</f>
        <v>0.47720000000000007</v>
      </c>
      <c r="J25" s="6">
        <f>0.385+0.035*Prices!$I25</f>
        <v>0.45920000000000005</v>
      </c>
      <c r="K25" s="6"/>
      <c r="L25" s="6">
        <f t="shared" si="3"/>
        <v>0.68</v>
      </c>
      <c r="M25" s="6">
        <f>0.268+0.0111*Prices!M25</f>
        <v>0.29219800000000001</v>
      </c>
      <c r="N25" s="18">
        <f t="shared" si="4"/>
        <v>0.97219800000000012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14">
        <f t="shared" si="5"/>
        <v>14</v>
      </c>
      <c r="AA25" s="15">
        <v>0</v>
      </c>
      <c r="AB25" s="15"/>
      <c r="AC25" s="15"/>
      <c r="AD25" s="15"/>
      <c r="AE25" s="15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</row>
    <row r="26" spans="1:49" ht="13.5" x14ac:dyDescent="0.25">
      <c r="A26" s="1">
        <f t="shared" si="2"/>
        <v>35947</v>
      </c>
      <c r="B26" s="9">
        <f t="shared" si="0"/>
        <v>20</v>
      </c>
      <c r="C26" s="6"/>
      <c r="D26" s="6">
        <f>0.627+0.0166*Prices!$D26</f>
        <v>0.65439000000000003</v>
      </c>
      <c r="E26" s="6">
        <f>0.627+0.172+0.0166*Prices!$D26+0.0137*Prices!F26</f>
        <v>0.8548220666666666</v>
      </c>
      <c r="F26" s="6"/>
      <c r="G26" s="6">
        <f>0.384+0.05*Prices!$G26</f>
        <v>0.47850000000000004</v>
      </c>
      <c r="H26" s="6"/>
      <c r="I26" s="6">
        <f>0.403+0.035*Prices!$I26</f>
        <v>0.46810000000000002</v>
      </c>
      <c r="J26" s="6">
        <f>0.385+0.035*Prices!$I26</f>
        <v>0.4501</v>
      </c>
      <c r="K26" s="6"/>
      <c r="L26" s="6">
        <f t="shared" si="3"/>
        <v>0.68</v>
      </c>
      <c r="M26" s="6">
        <f>0.268+0.0111*Prices!M26</f>
        <v>0.28664800000000001</v>
      </c>
      <c r="N26" s="18">
        <f t="shared" si="4"/>
        <v>0.96664800000000006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14">
        <f t="shared" si="5"/>
        <v>15</v>
      </c>
      <c r="AA26" s="15">
        <v>0</v>
      </c>
      <c r="AB26" s="15"/>
      <c r="AC26" s="15"/>
      <c r="AD26" s="15"/>
      <c r="AE26" s="15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</row>
    <row r="27" spans="1:49" ht="13.5" x14ac:dyDescent="0.25">
      <c r="A27" s="1">
        <f t="shared" si="2"/>
        <v>35977</v>
      </c>
      <c r="B27" s="9">
        <f t="shared" si="0"/>
        <v>21</v>
      </c>
      <c r="C27" s="6"/>
      <c r="D27" s="6">
        <f>0.627+0.0166*Prices!$D27</f>
        <v>0.65389200000000003</v>
      </c>
      <c r="E27" s="6">
        <f>0.627+0.172+0.0166*Prices!$D27+0.0137*Prices!F27</f>
        <v>0.85928118333333325</v>
      </c>
      <c r="F27" s="6"/>
      <c r="G27" s="6">
        <f>0.384+0.05*Prices!$G27</f>
        <v>0.49249999999999999</v>
      </c>
      <c r="H27" s="6"/>
      <c r="I27" s="6">
        <f>0.403+0.035*Prices!$I27</f>
        <v>0.47930000000000006</v>
      </c>
      <c r="J27" s="6">
        <f>0.385+0.035*Prices!$I27</f>
        <v>0.46130000000000004</v>
      </c>
      <c r="K27" s="6"/>
      <c r="L27" s="6">
        <f t="shared" si="3"/>
        <v>0.68</v>
      </c>
      <c r="M27" s="6">
        <f>0.268+0.0111*Prices!M27</f>
        <v>0.28809100000000004</v>
      </c>
      <c r="N27" s="18">
        <f t="shared" si="4"/>
        <v>0.96809100000000003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14">
        <f t="shared" si="5"/>
        <v>16</v>
      </c>
      <c r="AA27" s="15">
        <v>0</v>
      </c>
      <c r="AB27" s="15"/>
      <c r="AC27" s="15"/>
      <c r="AD27" s="15"/>
      <c r="AE27" s="15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</row>
    <row r="28" spans="1:49" ht="13.5" x14ac:dyDescent="0.25">
      <c r="A28" s="1">
        <f t="shared" si="2"/>
        <v>36008</v>
      </c>
      <c r="B28" s="9">
        <f t="shared" si="0"/>
        <v>22</v>
      </c>
      <c r="C28" s="6"/>
      <c r="D28" s="6">
        <f>0.627+0.0166*Prices!$D28</f>
        <v>0.65571800000000002</v>
      </c>
      <c r="E28" s="6">
        <f>0.627+0.172+0.0166*Prices!$D28+0.0137*Prices!F28</f>
        <v>0.86057369354838709</v>
      </c>
      <c r="F28" s="6"/>
      <c r="G28" s="6">
        <f>0.384+0.05*Prices!$G28</f>
        <v>0.48099999999999998</v>
      </c>
      <c r="H28" s="6"/>
      <c r="I28" s="6">
        <f>0.403+0.035*Prices!$I28</f>
        <v>0.47055000000000002</v>
      </c>
      <c r="J28" s="6">
        <f>0.385+0.035*Prices!$I28</f>
        <v>0.45255000000000001</v>
      </c>
      <c r="K28" s="6"/>
      <c r="L28" s="6">
        <f t="shared" si="3"/>
        <v>0.68</v>
      </c>
      <c r="M28" s="6">
        <f>0.268+0.0111*Prices!M28</f>
        <v>0.29064400000000001</v>
      </c>
      <c r="N28" s="18">
        <f t="shared" si="4"/>
        <v>0.97064400000000006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14">
        <f t="shared" si="5"/>
        <v>17</v>
      </c>
      <c r="AA28" s="15">
        <v>0</v>
      </c>
      <c r="AB28" s="15"/>
      <c r="AC28" s="15"/>
      <c r="AD28" s="15"/>
      <c r="AE28" s="15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</row>
    <row r="29" spans="1:49" ht="13.5" x14ac:dyDescent="0.25">
      <c r="A29" s="1">
        <f t="shared" si="2"/>
        <v>36039</v>
      </c>
      <c r="B29" s="9">
        <f t="shared" si="0"/>
        <v>23</v>
      </c>
      <c r="C29" s="6"/>
      <c r="D29" s="6">
        <f>0.627+0.0166*Prices!$D29</f>
        <v>0.65339400000000003</v>
      </c>
      <c r="E29" s="6">
        <f>0.627+0.172+0.0166*Prices!$D29+0.0137*Prices!F29</f>
        <v>0.85696068965517236</v>
      </c>
      <c r="F29" s="6"/>
      <c r="G29" s="6">
        <f>0.384+0.05*Prices!$G29</f>
        <v>0.46350000000000002</v>
      </c>
      <c r="H29" s="6"/>
      <c r="I29" s="6">
        <f>0.403+0.035*Prices!$I29</f>
        <v>0.45935000000000004</v>
      </c>
      <c r="J29" s="6">
        <f>0.385+0.035*Prices!$I29</f>
        <v>0.44135000000000002</v>
      </c>
      <c r="K29" s="6"/>
      <c r="L29" s="6">
        <f t="shared" si="3"/>
        <v>0.68</v>
      </c>
      <c r="M29" s="6">
        <f>0.268+0.0111*Prices!M29</f>
        <v>0.28775800000000001</v>
      </c>
      <c r="N29" s="18">
        <f t="shared" si="4"/>
        <v>0.96775800000000012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14">
        <f t="shared" si="5"/>
        <v>18</v>
      </c>
      <c r="AA29" s="15">
        <v>0</v>
      </c>
      <c r="AB29" s="15"/>
      <c r="AC29" s="15"/>
      <c r="AD29" s="15"/>
      <c r="AE29" s="15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</row>
    <row r="30" spans="1:49" ht="13.5" x14ac:dyDescent="0.25">
      <c r="A30" s="1">
        <f t="shared" si="2"/>
        <v>36069</v>
      </c>
      <c r="B30" s="9">
        <f t="shared" si="0"/>
        <v>24</v>
      </c>
      <c r="C30" s="6"/>
      <c r="D30" s="6">
        <f>0.627+0.0166*Prices!$D30</f>
        <v>0.65422400000000003</v>
      </c>
      <c r="E30" s="6">
        <f>0.627+0.172+0.0166*Prices!$D30+0.0137*Prices!F30</f>
        <v>0.85889408064516126</v>
      </c>
      <c r="F30" s="6"/>
      <c r="G30" s="6">
        <f>0.384+0.05*Prices!$G30</f>
        <v>0.48849999999999999</v>
      </c>
      <c r="H30" s="6"/>
      <c r="I30" s="6">
        <f>0.403+0.035*Prices!$I30</f>
        <v>0.4667</v>
      </c>
      <c r="J30" s="6">
        <f>0.385+0.035*Prices!$I30</f>
        <v>0.44869999999999999</v>
      </c>
      <c r="K30" s="6"/>
      <c r="L30" s="6">
        <f t="shared" ref="L30:L58" si="6">L$9</f>
        <v>0.68</v>
      </c>
      <c r="M30" s="6">
        <f>0.268+0.0111*Prices!M30</f>
        <v>0.28798000000000001</v>
      </c>
      <c r="N30" s="18">
        <f t="shared" si="4"/>
        <v>0.96798000000000006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14">
        <f t="shared" si="5"/>
        <v>19</v>
      </c>
      <c r="AA30" s="15">
        <v>0</v>
      </c>
      <c r="AB30" s="15"/>
      <c r="AC30" s="15"/>
      <c r="AD30" s="15"/>
      <c r="AE30" s="15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</row>
    <row r="31" spans="1:49" ht="13.5" x14ac:dyDescent="0.25">
      <c r="A31" s="1">
        <f t="shared" si="2"/>
        <v>36100</v>
      </c>
      <c r="B31" s="9">
        <f t="shared" si="0"/>
        <v>25</v>
      </c>
      <c r="C31" s="6"/>
      <c r="D31" s="6">
        <f>0.627+0.0166*Prices!$D31</f>
        <v>0.66036600000000001</v>
      </c>
      <c r="E31" s="6">
        <f>0.627+0.172+0.0166*Prices!$D31+0.0137*Prices!F31</f>
        <v>0.86796398214285708</v>
      </c>
      <c r="F31" s="6"/>
      <c r="G31" s="6">
        <f>0.384+0.05*Prices!$G31</f>
        <v>0.48350000000000004</v>
      </c>
      <c r="H31" s="6"/>
      <c r="I31" s="6">
        <f>0.403+0.035*Prices!$I31</f>
        <v>0.47055000000000002</v>
      </c>
      <c r="J31" s="6">
        <f>0.385+0.035*Prices!$I31</f>
        <v>0.45255000000000001</v>
      </c>
      <c r="K31" s="6"/>
      <c r="L31" s="6">
        <f t="shared" si="6"/>
        <v>0.68</v>
      </c>
      <c r="M31" s="6">
        <f>0.268+0.0111*Prices!M31</f>
        <v>0.29286400000000001</v>
      </c>
      <c r="N31" s="18">
        <f t="shared" si="4"/>
        <v>0.97286400000000006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14">
        <f t="shared" si="5"/>
        <v>20</v>
      </c>
      <c r="AA31" s="15">
        <v>0</v>
      </c>
      <c r="AB31" s="15"/>
      <c r="AC31" s="15"/>
      <c r="AD31" s="15"/>
      <c r="AE31" s="15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</row>
    <row r="32" spans="1:49" ht="13.5" x14ac:dyDescent="0.25">
      <c r="A32" s="1">
        <f t="shared" si="2"/>
        <v>36130</v>
      </c>
      <c r="B32" s="9">
        <f t="shared" si="0"/>
        <v>26</v>
      </c>
      <c r="C32" s="6"/>
      <c r="D32" s="6">
        <f>0.627+0.0166*Prices!$D32</f>
        <v>0.66020000000000001</v>
      </c>
      <c r="E32" s="6">
        <f>0.627+0.172+0.0166*Prices!$D32+0.0137*Prices!F32</f>
        <v>0.86716098275862064</v>
      </c>
      <c r="F32" s="6"/>
      <c r="G32" s="6">
        <f>0.384+0.05*Prices!$G32</f>
        <v>0.48350000000000004</v>
      </c>
      <c r="H32" s="6"/>
      <c r="I32" s="6">
        <f>0.403+0.035*Prices!$I32</f>
        <v>0.47300000000000003</v>
      </c>
      <c r="J32" s="6">
        <f>0.385+0.035*Prices!$I32</f>
        <v>0.45500000000000002</v>
      </c>
      <c r="K32" s="6"/>
      <c r="L32" s="6">
        <f t="shared" si="6"/>
        <v>0.68</v>
      </c>
      <c r="M32" s="6">
        <f>0.268+0.0111*Prices!M32</f>
        <v>0.29197600000000001</v>
      </c>
      <c r="N32" s="18">
        <f t="shared" si="4"/>
        <v>0.97197600000000006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</row>
    <row r="33" spans="1:49" ht="13.5" x14ac:dyDescent="0.25">
      <c r="A33" s="1">
        <f t="shared" si="2"/>
        <v>36161</v>
      </c>
      <c r="B33" s="9">
        <f t="shared" si="0"/>
        <v>27</v>
      </c>
      <c r="C33" s="6"/>
      <c r="D33" s="6">
        <f>0.627+0.0166*Prices!$D33</f>
        <v>0.65688000000000002</v>
      </c>
      <c r="E33" s="6">
        <f>0.627+0.172+0.0166*Prices!$D33+0.0137*Prices!F33</f>
        <v>0.8573075</v>
      </c>
      <c r="F33" s="6"/>
      <c r="G33" s="6">
        <f>0.384+0.05*Prices!$G33</f>
        <v>0.47100000000000003</v>
      </c>
      <c r="H33" s="6"/>
      <c r="I33" s="6">
        <f>0.403+0.035*Prices!$I33</f>
        <v>0.46320000000000006</v>
      </c>
      <c r="J33" s="6">
        <f>0.385+0.035*Prices!$I33</f>
        <v>0.44520000000000004</v>
      </c>
      <c r="K33" s="6"/>
      <c r="L33" s="6">
        <f t="shared" si="6"/>
        <v>0.68</v>
      </c>
      <c r="M33" s="6">
        <f>0.268+0.0111*Prices!M33</f>
        <v>0.29142100000000004</v>
      </c>
      <c r="N33" s="18">
        <f t="shared" si="4"/>
        <v>0.97142100000000009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</row>
    <row r="34" spans="1:49" ht="13.5" x14ac:dyDescent="0.25">
      <c r="A34" s="1">
        <f t="shared" si="2"/>
        <v>36192</v>
      </c>
      <c r="B34" s="9">
        <f t="shared" si="0"/>
        <v>28</v>
      </c>
      <c r="C34" s="6"/>
      <c r="D34" s="6">
        <f>0.627+0.0166*Prices!$D34</f>
        <v>0.65422400000000003</v>
      </c>
      <c r="E34" s="6">
        <f>0.627+0.172+0.0166*Prices!$D34+0.0137*Prices!F34</f>
        <v>0.8528998571428571</v>
      </c>
      <c r="F34" s="6"/>
      <c r="G34" s="6">
        <f>0.384+0.05*Prices!$G34</f>
        <v>0.46750000000000003</v>
      </c>
      <c r="H34" s="6"/>
      <c r="I34" s="6">
        <f>0.403+0.035*Prices!$I34</f>
        <v>0.46145000000000003</v>
      </c>
      <c r="J34" s="6">
        <f>0.385+0.035*Prices!$I34</f>
        <v>0.44345000000000001</v>
      </c>
      <c r="K34" s="6"/>
      <c r="L34" s="6">
        <f t="shared" si="6"/>
        <v>0.68</v>
      </c>
      <c r="M34" s="6">
        <f>0.268+0.0111*Prices!M34</f>
        <v>0.28742500000000004</v>
      </c>
      <c r="N34" s="18">
        <f t="shared" si="4"/>
        <v>0.96742500000000009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</row>
    <row r="35" spans="1:49" ht="13.5" x14ac:dyDescent="0.25">
      <c r="A35" s="1">
        <f t="shared" si="2"/>
        <v>36220</v>
      </c>
      <c r="B35" s="9">
        <f t="shared" si="0"/>
        <v>29</v>
      </c>
      <c r="C35" s="6"/>
      <c r="D35" s="6">
        <f>0.627+0.0166*Prices!$D35</f>
        <v>0.65206600000000003</v>
      </c>
      <c r="E35" s="6">
        <f>0.627+0.172+0.0166*Prices!$D35+0.0137*Prices!F35</f>
        <v>0.85036999999999996</v>
      </c>
      <c r="F35" s="6"/>
      <c r="G35" s="6">
        <f>0.384+0.05*Prices!$G35</f>
        <v>0.46250000000000002</v>
      </c>
      <c r="H35" s="6"/>
      <c r="I35" s="6">
        <f>0.403+0.035*Prices!$I35</f>
        <v>0.45585000000000003</v>
      </c>
      <c r="J35" s="6">
        <f>0.385+0.035*Prices!$I35</f>
        <v>0.43785000000000002</v>
      </c>
      <c r="K35" s="6"/>
      <c r="L35" s="6">
        <f t="shared" si="6"/>
        <v>0.68</v>
      </c>
      <c r="M35" s="6">
        <f>0.268+0.0111*Prices!M35</f>
        <v>0.28598200000000001</v>
      </c>
      <c r="N35" s="18">
        <f t="shared" si="4"/>
        <v>0.96598200000000012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</row>
    <row r="36" spans="1:49" ht="13.5" x14ac:dyDescent="0.25">
      <c r="A36" s="1">
        <f t="shared" si="2"/>
        <v>36251</v>
      </c>
      <c r="B36" s="9">
        <f t="shared" si="0"/>
        <v>30</v>
      </c>
      <c r="C36" s="6"/>
      <c r="D36" s="6">
        <f>0.627+0.0166*Prices!$D36</f>
        <v>0.65256400000000003</v>
      </c>
      <c r="E36" s="6">
        <f>0.627+0.172+0.0166*Prices!$D36+0.0137*Prices!F36</f>
        <v>0.85576574999999999</v>
      </c>
      <c r="F36" s="6"/>
      <c r="G36" s="6">
        <f>0.384+0.05*Prices!$G36</f>
        <v>0.46700000000000003</v>
      </c>
      <c r="H36" s="6"/>
      <c r="I36" s="6">
        <f>0.403+0.035*Prices!$I36</f>
        <v>0.46180000000000004</v>
      </c>
      <c r="J36" s="6">
        <f>0.385+0.035*Prices!$I36</f>
        <v>0.44380000000000003</v>
      </c>
      <c r="K36" s="6"/>
      <c r="L36" s="6">
        <f t="shared" si="6"/>
        <v>0.68</v>
      </c>
      <c r="M36" s="6">
        <f>0.268+0.0111*Prices!M36</f>
        <v>0.28631500000000004</v>
      </c>
      <c r="N36" s="18">
        <f t="shared" si="4"/>
        <v>0.96631500000000004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</row>
    <row r="37" spans="1:49" ht="13.5" x14ac:dyDescent="0.25">
      <c r="A37" s="1">
        <f t="shared" si="2"/>
        <v>36281</v>
      </c>
      <c r="B37" s="9">
        <f t="shared" si="0"/>
        <v>31</v>
      </c>
      <c r="C37" s="6"/>
      <c r="D37" s="6">
        <f>0.627+0.0166*Prices!$D37</f>
        <v>0.66003400000000001</v>
      </c>
      <c r="E37" s="6">
        <f>0.627+0.172+0.0166*Prices!$D37+0.0137*Prices!F37</f>
        <v>0.86506425806451603</v>
      </c>
      <c r="F37" s="6"/>
      <c r="G37" s="6">
        <f>0.384+0.05*Prices!$G37</f>
        <v>0.49199999999999999</v>
      </c>
      <c r="H37" s="6"/>
      <c r="I37" s="6">
        <f>0.403+0.035*Prices!$I37</f>
        <v>0.47895000000000004</v>
      </c>
      <c r="J37" s="6">
        <f>0.385+0.035*Prices!$I37</f>
        <v>0.46095000000000003</v>
      </c>
      <c r="K37" s="6"/>
      <c r="L37" s="6">
        <f t="shared" si="6"/>
        <v>0.68</v>
      </c>
      <c r="M37" s="6">
        <f>0.268+0.0111*Prices!M37</f>
        <v>0.29153200000000001</v>
      </c>
      <c r="N37" s="18">
        <f t="shared" si="4"/>
        <v>0.97153200000000006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</row>
    <row r="38" spans="1:49" ht="13.5" x14ac:dyDescent="0.25">
      <c r="A38" s="1">
        <f t="shared" si="2"/>
        <v>36312</v>
      </c>
      <c r="B38" s="9">
        <f t="shared" si="0"/>
        <v>32</v>
      </c>
      <c r="C38" s="6"/>
      <c r="D38" s="6">
        <f>0.627+0.0166*Prices!$D38</f>
        <v>0.65920400000000001</v>
      </c>
      <c r="E38" s="6">
        <f>0.627+0.172+0.0166*Prices!$D38+0.0137*Prices!F38</f>
        <v>0.86488773333333324</v>
      </c>
      <c r="F38" s="6"/>
      <c r="G38" s="6">
        <f>0.384+0.05*Prices!$G38</f>
        <v>0.48799999999999999</v>
      </c>
      <c r="H38" s="6"/>
      <c r="I38" s="6">
        <f>0.403+0.035*Prices!$I38</f>
        <v>0.4758</v>
      </c>
      <c r="J38" s="6">
        <f>0.385+0.035*Prices!$I38</f>
        <v>0.45779999999999998</v>
      </c>
      <c r="K38" s="6"/>
      <c r="L38" s="6">
        <f t="shared" si="6"/>
        <v>0.68</v>
      </c>
      <c r="M38" s="6">
        <f>0.268+0.0111*Prices!M38</f>
        <v>0.29131000000000001</v>
      </c>
      <c r="N38" s="18">
        <f t="shared" si="4"/>
        <v>0.97131000000000012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</row>
    <row r="39" spans="1:49" ht="13.5" x14ac:dyDescent="0.25">
      <c r="A39" s="1">
        <f t="shared" si="2"/>
        <v>36342</v>
      </c>
      <c r="B39" s="9">
        <f t="shared" si="0"/>
        <v>33</v>
      </c>
      <c r="C39" s="6"/>
      <c r="D39" s="6">
        <f>0.627+0.0166*Prices!$D39</f>
        <v>0.66020000000000001</v>
      </c>
      <c r="E39" s="6">
        <f>0.627+0.172+0.0166*Prices!$D39+0.0137*Prices!F39</f>
        <v>0.86613622580645155</v>
      </c>
      <c r="F39" s="6"/>
      <c r="G39" s="6">
        <f>0.384+0.05*Prices!$G39</f>
        <v>0.49249999999999999</v>
      </c>
      <c r="H39" s="6"/>
      <c r="I39" s="6">
        <f>0.403+0.035*Prices!$I39</f>
        <v>0.48035000000000005</v>
      </c>
      <c r="J39" s="6">
        <f>0.385+0.035*Prices!$I39</f>
        <v>0.46235000000000004</v>
      </c>
      <c r="K39" s="6"/>
      <c r="L39" s="6">
        <f t="shared" si="6"/>
        <v>0.68</v>
      </c>
      <c r="M39" s="6">
        <f>0.268+0.0111*Prices!M39</f>
        <v>0.29253100000000004</v>
      </c>
      <c r="N39" s="18">
        <f t="shared" si="4"/>
        <v>0.97253100000000003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</row>
    <row r="40" spans="1:49" ht="13.5" x14ac:dyDescent="0.25">
      <c r="A40" s="1">
        <f t="shared" si="2"/>
        <v>36373</v>
      </c>
      <c r="B40" s="9">
        <f t="shared" si="0"/>
        <v>34</v>
      </c>
      <c r="C40" s="6"/>
      <c r="D40" s="6">
        <f>0.627+0.0166*Prices!$D40</f>
        <v>0.663188</v>
      </c>
      <c r="E40" s="6">
        <f>0.627+0.172+0.0166*Prices!$D40+0.0137*Prices!F40</f>
        <v>0.87277903225806441</v>
      </c>
      <c r="F40" s="6"/>
      <c r="G40" s="6">
        <f>0.384+0.05*Prices!$G40</f>
        <v>0.50650000000000006</v>
      </c>
      <c r="H40" s="6"/>
      <c r="I40" s="6">
        <f>0.403+0.035*Prices!$I40</f>
        <v>0.49085000000000001</v>
      </c>
      <c r="J40" s="6">
        <f>0.385+0.035*Prices!$I40</f>
        <v>0.47284999999999999</v>
      </c>
      <c r="K40" s="6"/>
      <c r="L40" s="6">
        <f t="shared" si="6"/>
        <v>0.68</v>
      </c>
      <c r="M40" s="6">
        <f>0.268+0.0111*Prices!M40</f>
        <v>0.29330800000000001</v>
      </c>
      <c r="N40" s="18">
        <f t="shared" si="4"/>
        <v>0.97330800000000006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</row>
    <row r="41" spans="1:49" ht="13.5" x14ac:dyDescent="0.25">
      <c r="A41" s="1">
        <f t="shared" si="2"/>
        <v>36404</v>
      </c>
      <c r="B41" s="9">
        <f t="shared" ref="B41:B58" si="7">B40+1</f>
        <v>35</v>
      </c>
      <c r="C41" s="6"/>
      <c r="D41" s="6">
        <f>0.627+0.0166*Prices!$D41</f>
        <v>0.66949599999999998</v>
      </c>
      <c r="E41" s="6">
        <f>0.627+0.172+0.0166*Prices!$D41+0.0137*Prices!F41</f>
        <v>0.87969844999999991</v>
      </c>
      <c r="F41" s="6"/>
      <c r="G41" s="6">
        <f>0.384+0.05*Prices!$G41</f>
        <v>0.52249999999999996</v>
      </c>
      <c r="H41" s="6"/>
      <c r="I41" s="6">
        <f>0.403+0.035*Prices!$I41</f>
        <v>0.50029999999999997</v>
      </c>
      <c r="J41" s="6">
        <f>0.385+0.035*Prices!$I41</f>
        <v>0.48230000000000001</v>
      </c>
      <c r="K41" s="6"/>
      <c r="L41" s="6">
        <f t="shared" si="6"/>
        <v>0.68</v>
      </c>
      <c r="M41" s="6">
        <f>0.268+0.0111*Prices!M41</f>
        <v>0.29730400000000001</v>
      </c>
      <c r="N41" s="18">
        <f t="shared" si="4"/>
        <v>0.97730400000000006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</row>
    <row r="42" spans="1:49" ht="13.5" x14ac:dyDescent="0.25">
      <c r="A42" s="1">
        <f t="shared" ref="A42:A58" si="8">EOMONTH(A41,0)+1</f>
        <v>36434</v>
      </c>
      <c r="B42" s="9">
        <f t="shared" si="7"/>
        <v>36</v>
      </c>
      <c r="C42" s="6"/>
      <c r="D42" s="6">
        <f>0.627+0.0166*Prices!$D42</f>
        <v>0.66667399999999999</v>
      </c>
      <c r="E42" s="6">
        <f>0.627+0.172+0.0166*Prices!$D42+0.0137*Prices!F42</f>
        <v>0.88191517741935477</v>
      </c>
      <c r="F42" s="6"/>
      <c r="G42" s="6">
        <f>0.384+0.05*Prices!$G42</f>
        <v>0.50750000000000006</v>
      </c>
      <c r="H42" s="6"/>
      <c r="I42" s="6">
        <f>0.403+0.035*Prices!$I42</f>
        <v>0.49085000000000001</v>
      </c>
      <c r="J42" s="6">
        <f>0.385+0.035*Prices!$I42</f>
        <v>0.47284999999999999</v>
      </c>
      <c r="K42" s="6"/>
      <c r="L42" s="6">
        <f t="shared" si="6"/>
        <v>0.68</v>
      </c>
      <c r="M42" s="6">
        <f>0.268+0.0111*Prices!M42</f>
        <v>0.29630500000000004</v>
      </c>
      <c r="N42" s="18">
        <f t="shared" si="4"/>
        <v>0.97630500000000009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</row>
    <row r="43" spans="1:49" ht="13.5" x14ac:dyDescent="0.25">
      <c r="A43" s="1">
        <f t="shared" si="8"/>
        <v>36465</v>
      </c>
      <c r="B43" s="9">
        <f t="shared" si="7"/>
        <v>37</v>
      </c>
      <c r="C43" s="6"/>
      <c r="D43" s="6">
        <f>0.627+0.0166*Prices!$D43</f>
        <v>0.67447599999999996</v>
      </c>
      <c r="E43" s="6">
        <f>0.627+0.172+0.0166*Prices!$D43+0.0137*Prices!F43</f>
        <v>0.8830093333333332</v>
      </c>
      <c r="F43" s="6"/>
      <c r="G43" s="6">
        <f>0.384+0.05*Prices!$G43</f>
        <v>0.52800000000000002</v>
      </c>
      <c r="H43" s="6"/>
      <c r="I43" s="6">
        <f>0.403+0.035*Prices!$I43</f>
        <v>0.50345000000000006</v>
      </c>
      <c r="J43" s="6">
        <f>0.385+0.035*Prices!$I43</f>
        <v>0.48545000000000005</v>
      </c>
      <c r="K43" s="6"/>
      <c r="L43" s="6">
        <f t="shared" si="6"/>
        <v>0.68</v>
      </c>
      <c r="M43" s="6">
        <f>0.268+0.0111*Prices!M43</f>
        <v>0.30141099999999998</v>
      </c>
      <c r="N43" s="18">
        <f t="shared" si="4"/>
        <v>0.98141100000000003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</row>
    <row r="44" spans="1:49" ht="13.5" x14ac:dyDescent="0.25">
      <c r="A44" s="1">
        <f t="shared" si="8"/>
        <v>36495</v>
      </c>
      <c r="B44" s="9">
        <f t="shared" si="7"/>
        <v>38</v>
      </c>
      <c r="C44" s="6"/>
      <c r="D44" s="6">
        <f>0.627+0.0166*Prices!$D44</f>
        <v>0.66186</v>
      </c>
      <c r="E44" s="6">
        <f>0.627+0.172+0.0166*Prices!$D44+0.0137*Prices!F44</f>
        <v>0.86824479032258062</v>
      </c>
      <c r="F44" s="6"/>
      <c r="G44" s="6">
        <f>0.384+0.05*Prices!$G44</f>
        <v>0.48849999999999999</v>
      </c>
      <c r="H44" s="6"/>
      <c r="I44" s="6">
        <f>0.403+0.035*Prices!$I44</f>
        <v>0.47755000000000003</v>
      </c>
      <c r="J44" s="6">
        <f>0.385+0.035*Prices!$I44</f>
        <v>0.45955000000000001</v>
      </c>
      <c r="K44" s="6"/>
      <c r="L44" s="6">
        <f t="shared" si="6"/>
        <v>0.68</v>
      </c>
      <c r="M44" s="6">
        <f>0.268+0.0111*Prices!M44</f>
        <v>0.29364100000000004</v>
      </c>
      <c r="N44" s="18">
        <f t="shared" si="4"/>
        <v>0.97364100000000009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</row>
    <row r="45" spans="1:49" ht="13.5" x14ac:dyDescent="0.25">
      <c r="A45" s="1">
        <f t="shared" si="8"/>
        <v>36526</v>
      </c>
      <c r="B45" s="9">
        <f t="shared" si="7"/>
        <v>39</v>
      </c>
      <c r="C45" s="6"/>
      <c r="D45" s="6">
        <f>0.627+0.0166*Prices!$D45</f>
        <v>0.663354</v>
      </c>
      <c r="E45" s="6">
        <f>0.627+0.172+0.0166*Prices!$D45+0.0137*Prices!F45</f>
        <v>0.86931232258064506</v>
      </c>
      <c r="F45" s="6"/>
      <c r="G45" s="6">
        <f>0.384+0.05*Prices!$G45</f>
        <v>0.49299999999999999</v>
      </c>
      <c r="H45" s="6"/>
      <c r="I45" s="6">
        <f>0.403+0.035*Prices!$I45</f>
        <v>0.47965000000000002</v>
      </c>
      <c r="J45" s="6">
        <f>0.385+0.035*Prices!$I45</f>
        <v>0.46165</v>
      </c>
      <c r="K45" s="6"/>
      <c r="L45" s="6">
        <f t="shared" si="6"/>
        <v>0.68</v>
      </c>
      <c r="M45" s="6">
        <f>0.268+0.0111*Prices!M45</f>
        <v>0.29375200000000001</v>
      </c>
      <c r="N45" s="18">
        <f t="shared" si="4"/>
        <v>0.97375200000000006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</row>
    <row r="46" spans="1:49" ht="13.5" x14ac:dyDescent="0.25">
      <c r="A46" s="1">
        <f t="shared" si="8"/>
        <v>36557</v>
      </c>
      <c r="B46" s="9">
        <f t="shared" si="7"/>
        <v>40</v>
      </c>
      <c r="C46" s="6"/>
      <c r="D46" s="6">
        <f>0.627+0.0166*Prices!$D46</f>
        <v>0.66650799999999999</v>
      </c>
      <c r="E46" s="6">
        <f>0.627+0.172+0.0166*Prices!$D46+0.0137*Prices!F46</f>
        <v>0.87544367241379306</v>
      </c>
      <c r="F46" s="6"/>
      <c r="G46" s="6">
        <f>0.384+0.05*Prices!$G46</f>
        <v>0.50550000000000006</v>
      </c>
      <c r="H46" s="6"/>
      <c r="I46" s="6">
        <f>0.403+0.035*Prices!$I46</f>
        <v>0.48595000000000005</v>
      </c>
      <c r="J46" s="6">
        <f>0.385+0.035*Prices!$I46</f>
        <v>0.46795000000000003</v>
      </c>
      <c r="K46" s="6"/>
      <c r="L46" s="6">
        <f t="shared" si="6"/>
        <v>0.68</v>
      </c>
      <c r="M46" s="6">
        <f>0.268+0.0111*Prices!M46</f>
        <v>0.29563900000000004</v>
      </c>
      <c r="N46" s="18">
        <f t="shared" si="4"/>
        <v>0.97563900000000015</v>
      </c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</row>
    <row r="47" spans="1:49" ht="13.5" x14ac:dyDescent="0.25">
      <c r="A47" s="1">
        <f t="shared" si="8"/>
        <v>36586</v>
      </c>
      <c r="B47" s="9">
        <f t="shared" si="7"/>
        <v>41</v>
      </c>
      <c r="C47" s="6"/>
      <c r="D47" s="6">
        <f>0.627+0.0166*Prices!$D47</f>
        <v>0.66600999999999999</v>
      </c>
      <c r="E47" s="6">
        <f>0.627+0.172+0.0166*Prices!$D47+0.0137*Prices!F47</f>
        <v>0.87863049999999987</v>
      </c>
      <c r="F47" s="6"/>
      <c r="G47" s="6">
        <f>0.384+0.05*Prices!$G47</f>
        <v>0.50450000000000006</v>
      </c>
      <c r="H47" s="6"/>
      <c r="I47" s="6">
        <f>0.403+0.035*Prices!$I47</f>
        <v>0.48665000000000003</v>
      </c>
      <c r="J47" s="6">
        <f>0.385+0.035*Prices!$I47</f>
        <v>0.46865000000000001</v>
      </c>
      <c r="K47" s="6"/>
      <c r="L47" s="6">
        <f t="shared" si="6"/>
        <v>0.68</v>
      </c>
      <c r="M47" s="6">
        <f>0.268+0.0111*Prices!M47</f>
        <v>0.29508400000000001</v>
      </c>
      <c r="N47" s="18">
        <f t="shared" si="4"/>
        <v>0.97508400000000006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</row>
    <row r="48" spans="1:49" ht="13.5" x14ac:dyDescent="0.25">
      <c r="A48" s="1">
        <f t="shared" si="8"/>
        <v>36617</v>
      </c>
      <c r="B48" s="9">
        <f t="shared" si="7"/>
        <v>42</v>
      </c>
      <c r="C48" s="6"/>
      <c r="D48" s="6">
        <f>0.627+0.0166*Prices!$D48</f>
        <v>0.67181999999999997</v>
      </c>
      <c r="E48" s="6">
        <f>0.627+0.172+0.0166*Prices!$D48+0.0137*Prices!F48</f>
        <v>0.88608449999999994</v>
      </c>
      <c r="F48" s="6"/>
      <c r="G48" s="6">
        <f>0.384+0.05*Prices!$G48</f>
        <v>0.52350000000000008</v>
      </c>
      <c r="H48" s="6"/>
      <c r="I48" s="6">
        <f>0.403+0.035*Prices!$I48</f>
        <v>0.50170000000000003</v>
      </c>
      <c r="J48" s="6">
        <f>0.385+0.035*Prices!$I48</f>
        <v>0.48370000000000002</v>
      </c>
      <c r="K48" s="6"/>
      <c r="L48" s="6">
        <f t="shared" si="6"/>
        <v>0.68</v>
      </c>
      <c r="M48" s="6">
        <f>0.268+0.0111*Prices!M48</f>
        <v>0.30019000000000001</v>
      </c>
      <c r="N48" s="18">
        <f t="shared" si="4"/>
        <v>0.98019000000000012</v>
      </c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</row>
    <row r="49" spans="1:49" ht="13.5" x14ac:dyDescent="0.25">
      <c r="A49" s="1">
        <f t="shared" si="8"/>
        <v>36647</v>
      </c>
      <c r="B49" s="9">
        <f t="shared" si="7"/>
        <v>43</v>
      </c>
      <c r="C49" s="6"/>
      <c r="D49" s="6">
        <f>0.627+0.0166*Prices!$D49</f>
        <v>0.67248399999999997</v>
      </c>
      <c r="E49" s="6">
        <f>0.627+0.172+0.0166*Prices!$D49+0.0137*Prices!F49</f>
        <v>0.89486906451612891</v>
      </c>
      <c r="F49" s="6"/>
      <c r="G49" s="6">
        <f>0.384+0.05*Prices!$G49</f>
        <v>0.52849999999999997</v>
      </c>
      <c r="H49" s="6"/>
      <c r="I49" s="6">
        <f>0.403+0.035*Prices!$I49</f>
        <v>0.50345000000000006</v>
      </c>
      <c r="J49" s="6">
        <f>0.385+0.035*Prices!$I49</f>
        <v>0.48545000000000005</v>
      </c>
      <c r="K49" s="6"/>
      <c r="L49" s="6">
        <f t="shared" si="6"/>
        <v>0.68</v>
      </c>
      <c r="M49" s="6">
        <f>0.268+0.0111*Prices!M49</f>
        <v>0.30063400000000001</v>
      </c>
      <c r="N49" s="18">
        <f t="shared" si="4"/>
        <v>0.98063400000000001</v>
      </c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</row>
    <row r="50" spans="1:49" ht="13.5" x14ac:dyDescent="0.25">
      <c r="A50" s="1">
        <f t="shared" si="8"/>
        <v>36678</v>
      </c>
      <c r="B50" s="9">
        <f t="shared" si="7"/>
        <v>44</v>
      </c>
      <c r="C50" s="6"/>
      <c r="D50" s="6">
        <f>0.627+0.0166*Prices!$D50</f>
        <v>0.68692600000000004</v>
      </c>
      <c r="E50" s="6">
        <f>0.627+0.172+0.0166*Prices!$D50+0.0137*Prices!F50</f>
        <v>0.92285019999999995</v>
      </c>
      <c r="F50" s="6"/>
      <c r="G50" s="6">
        <f>0.384+0.05*Prices!$G50</f>
        <v>0.59000000000000008</v>
      </c>
      <c r="H50" s="6"/>
      <c r="I50" s="6">
        <f>0.403+0.035*Prices!$I50</f>
        <v>0.53915000000000002</v>
      </c>
      <c r="J50" s="6">
        <f>0.385+0.035*Prices!$I50</f>
        <v>0.52115</v>
      </c>
      <c r="K50" s="6"/>
      <c r="L50" s="6">
        <f t="shared" si="6"/>
        <v>0.68</v>
      </c>
      <c r="M50" s="6">
        <f>0.268+0.0111*Prices!M50</f>
        <v>0.31106800000000001</v>
      </c>
      <c r="N50" s="18">
        <f t="shared" si="4"/>
        <v>0.99106800000000006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</row>
    <row r="51" spans="1:49" ht="13.5" x14ac:dyDescent="0.25">
      <c r="A51" s="1">
        <f t="shared" si="8"/>
        <v>36708</v>
      </c>
      <c r="B51" s="9">
        <f t="shared" si="7"/>
        <v>45</v>
      </c>
      <c r="C51" s="6"/>
      <c r="D51" s="6">
        <f>0.627+0.0166*Prices!$D51</f>
        <v>0.69257000000000002</v>
      </c>
      <c r="E51" s="6">
        <f>0.627+0.172+0.0166*Prices!$D51+0.0137*Prices!F51</f>
        <v>0.9247837096774193</v>
      </c>
      <c r="F51" s="6"/>
      <c r="G51" s="6">
        <f>0.384+0.05*Prices!$G51</f>
        <v>0.60200000000000009</v>
      </c>
      <c r="H51" s="6"/>
      <c r="I51" s="6">
        <f>0.403+0.035*Prices!$I51</f>
        <v>0.55910000000000004</v>
      </c>
      <c r="J51" s="6">
        <f>0.385+0.035*Prices!$I51</f>
        <v>0.54110000000000003</v>
      </c>
      <c r="K51" s="6"/>
      <c r="L51" s="6">
        <f t="shared" si="6"/>
        <v>0.68</v>
      </c>
      <c r="M51" s="6">
        <f>0.268+0.0111*Prices!M51</f>
        <v>0.31795000000000001</v>
      </c>
      <c r="N51" s="18">
        <f t="shared" si="4"/>
        <v>0.99795000000000011</v>
      </c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</row>
    <row r="52" spans="1:49" ht="13.5" x14ac:dyDescent="0.25">
      <c r="A52" s="1">
        <f t="shared" si="8"/>
        <v>36739</v>
      </c>
      <c r="B52" s="9">
        <f t="shared" si="7"/>
        <v>46</v>
      </c>
      <c r="C52" s="6"/>
      <c r="D52" s="6">
        <f>0.627+0.0166*Prices!$D52</f>
        <v>0.67879200000000006</v>
      </c>
      <c r="E52" s="6">
        <f>0.627+0.172+0.0166*Prices!$D52+0.0137*Prices!F52</f>
        <v>0.91742924193548381</v>
      </c>
      <c r="F52" s="6"/>
      <c r="G52" s="6">
        <f>0.384+0.05*Prices!$G52</f>
        <v>0.57400000000000007</v>
      </c>
      <c r="H52" s="6"/>
      <c r="I52" s="6">
        <f>0.403+0.035*Prices!$I52</f>
        <v>0.53320000000000001</v>
      </c>
      <c r="J52" s="6">
        <f>0.385+0.035*Prices!$I52</f>
        <v>0.51519999999999999</v>
      </c>
      <c r="K52" s="6"/>
      <c r="L52" s="6">
        <f t="shared" si="6"/>
        <v>0.68</v>
      </c>
      <c r="M52" s="6">
        <f>0.268+0.0111*Prices!M52</f>
        <v>0.31228900000000004</v>
      </c>
      <c r="N52" s="18">
        <f t="shared" si="4"/>
        <v>0.99228900000000009</v>
      </c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</row>
    <row r="53" spans="1:49" ht="13.5" x14ac:dyDescent="0.25">
      <c r="A53" s="1">
        <f t="shared" si="8"/>
        <v>36770</v>
      </c>
      <c r="B53" s="9">
        <f t="shared" si="7"/>
        <v>47</v>
      </c>
      <c r="C53" s="6"/>
      <c r="D53" s="6">
        <f>0.627+0.0166*Prices!$D53</f>
        <v>0.68460200000000004</v>
      </c>
      <c r="E53" s="6">
        <f>0.627+0.172+0.0166*Prices!$D53+0.0137*Prices!F53</f>
        <v>0.93765576666666672</v>
      </c>
      <c r="F53" s="6"/>
      <c r="G53" s="6">
        <f>0.384+0.05*Prices!$G53</f>
        <v>0.60950000000000004</v>
      </c>
      <c r="H53" s="6"/>
      <c r="I53" s="6">
        <f>0.403+0.035*Prices!$I53</f>
        <v>0.56225000000000003</v>
      </c>
      <c r="J53" s="6">
        <f>0.385+0.035*Prices!$I53</f>
        <v>0.54425000000000001</v>
      </c>
      <c r="K53" s="6"/>
      <c r="L53" s="6">
        <f t="shared" si="6"/>
        <v>0.68</v>
      </c>
      <c r="M53" s="6">
        <f>0.268+0.0111*Prices!M53</f>
        <v>0.33360100000000004</v>
      </c>
      <c r="N53" s="18">
        <f t="shared" si="4"/>
        <v>1.013601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</row>
    <row r="54" spans="1:49" ht="13.5" x14ac:dyDescent="0.25">
      <c r="A54" s="1">
        <f t="shared" si="8"/>
        <v>36800</v>
      </c>
      <c r="B54" s="9">
        <f t="shared" si="7"/>
        <v>48</v>
      </c>
      <c r="C54" s="6"/>
      <c r="D54" s="6">
        <f>0.627+0.0166*Prices!$D54</f>
        <v>0.698546</v>
      </c>
      <c r="E54" s="6">
        <f>0.627+0.172+0.0166*Prices!$D54+0.0137*Prices!F54</f>
        <v>0.94717319354838703</v>
      </c>
      <c r="F54" s="6"/>
      <c r="G54" s="6">
        <f>0.384+0.05*Prices!$G54</f>
        <v>0.64250000000000007</v>
      </c>
      <c r="H54" s="6"/>
      <c r="I54" s="6">
        <f>0.403+0.035*Prices!$I54</f>
        <v>0.58360000000000001</v>
      </c>
      <c r="J54" s="6">
        <f>0.385+0.035*Prices!$I54</f>
        <v>0.56559999999999999</v>
      </c>
      <c r="K54" s="6"/>
      <c r="L54" s="6">
        <f t="shared" si="6"/>
        <v>0.68</v>
      </c>
      <c r="M54" s="6">
        <f>0.268+0.0111*Prices!M54</f>
        <v>0.32694100000000004</v>
      </c>
      <c r="N54" s="18">
        <f t="shared" si="4"/>
        <v>1.0069410000000001</v>
      </c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</row>
    <row r="55" spans="1:49" ht="13.5" x14ac:dyDescent="0.25">
      <c r="A55" s="1">
        <f t="shared" si="8"/>
        <v>36831</v>
      </c>
      <c r="B55" s="9">
        <f t="shared" si="7"/>
        <v>49</v>
      </c>
      <c r="C55" s="6"/>
      <c r="D55" s="6">
        <f>0.627+0.0166*Prices!$D55</f>
        <v>0.699542</v>
      </c>
      <c r="E55" s="6">
        <f>0.627+0.172+0.0166*Prices!$D55+0.0137*Prices!F55</f>
        <v>1.0053476166666666</v>
      </c>
      <c r="F55" s="6"/>
      <c r="G55" s="6">
        <f>0.384+0.05*Prices!$G55</f>
        <v>0.60699999999999998</v>
      </c>
      <c r="H55" s="6"/>
      <c r="I55" s="6">
        <f>0.403+0.035*Prices!$I55</f>
        <v>0.56400000000000006</v>
      </c>
      <c r="J55" s="6">
        <f>0.385+0.035*Prices!$I55</f>
        <v>0.54600000000000004</v>
      </c>
      <c r="K55" s="6"/>
      <c r="L55" s="6">
        <f t="shared" si="6"/>
        <v>0.68</v>
      </c>
      <c r="M55" s="6">
        <f>0.268+0.0111*Prices!M55</f>
        <v>0.32416600000000001</v>
      </c>
      <c r="N55" s="18">
        <f t="shared" si="4"/>
        <v>1.0041660000000001</v>
      </c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</row>
    <row r="56" spans="1:49" ht="13.5" x14ac:dyDescent="0.25">
      <c r="A56" s="1">
        <f t="shared" si="8"/>
        <v>36861</v>
      </c>
      <c r="B56" s="9">
        <f t="shared" si="7"/>
        <v>50</v>
      </c>
      <c r="C56" s="6"/>
      <c r="D56" s="6">
        <f>0.627+0.0166*Prices!$D56</f>
        <v>0.72776200000000002</v>
      </c>
      <c r="E56" s="6">
        <f>0.627+0.172+0.0166*Prices!$D56+0.0137*Prices!F56</f>
        <v>1.1873912903225805</v>
      </c>
      <c r="F56" s="6"/>
      <c r="G56" s="6">
        <f>0.384+0.05*Prices!$G56</f>
        <v>0.69950000000000001</v>
      </c>
      <c r="H56" s="6"/>
      <c r="I56" s="6">
        <f>0.403+0.035*Prices!$I56</f>
        <v>0.62665000000000004</v>
      </c>
      <c r="J56" s="6">
        <f>0.385+0.035*Prices!$I56</f>
        <v>0.60865000000000002</v>
      </c>
      <c r="K56" s="6"/>
      <c r="L56" s="6">
        <f t="shared" si="6"/>
        <v>0.68</v>
      </c>
      <c r="M56" s="6">
        <f>0.268+0.0111*Prices!M56</f>
        <v>0.41818300000000003</v>
      </c>
      <c r="N56" s="18">
        <f t="shared" si="4"/>
        <v>1.0981830000000001</v>
      </c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</row>
    <row r="57" spans="1:49" ht="13.5" x14ac:dyDescent="0.25">
      <c r="A57" s="1">
        <f t="shared" si="8"/>
        <v>36892</v>
      </c>
      <c r="B57" s="9">
        <f t="shared" si="7"/>
        <v>51</v>
      </c>
      <c r="C57" s="6"/>
      <c r="D57" s="6">
        <f>0.627+0.0166*Prices!$D57</f>
        <v>0.77258199999999999</v>
      </c>
      <c r="E57" s="6">
        <f>0.627+0.172+0.0166*Prices!$D57+0.0137*Prices!F57</f>
        <v>1.0917045322580643</v>
      </c>
      <c r="F57" s="6"/>
      <c r="G57" s="6">
        <f>0.384+0.05*Prices!$G57</f>
        <v>0.88149999999999995</v>
      </c>
      <c r="H57" s="6"/>
      <c r="I57" s="6">
        <f>0.403+0.035*Prices!$I57</f>
        <v>0.74530000000000007</v>
      </c>
      <c r="J57" s="6">
        <f>0.385+0.035*Prices!$I57</f>
        <v>0.72730000000000006</v>
      </c>
      <c r="K57" s="6"/>
      <c r="L57" s="6">
        <f t="shared" si="6"/>
        <v>0.68</v>
      </c>
      <c r="M57" s="6">
        <f>0.268+0.0111*Prices!M57</f>
        <v>0.42528700000000003</v>
      </c>
      <c r="N57" s="18">
        <f t="shared" si="4"/>
        <v>1.1052870000000001</v>
      </c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</row>
    <row r="58" spans="1:49" ht="13.5" x14ac:dyDescent="0.25">
      <c r="A58" s="1">
        <f t="shared" si="8"/>
        <v>36923</v>
      </c>
      <c r="B58" s="9">
        <f t="shared" si="7"/>
        <v>52</v>
      </c>
      <c r="C58" s="6"/>
      <c r="D58" s="6">
        <f>0.627+0.0166*Prices!$D58</f>
        <v>0.733406</v>
      </c>
      <c r="E58" s="6">
        <f>0.627+0.172+0.0166*Prices!$D58+0.0137*Prices!F58</f>
        <v>1.0591947272727271</v>
      </c>
      <c r="F58" s="6"/>
      <c r="G58" s="6">
        <f>0.384+0.05*Prices!$G58</f>
        <v>0.72900000000000009</v>
      </c>
      <c r="H58" s="6"/>
      <c r="I58" s="6">
        <f>0.403+0.035*Prices!$I58</f>
        <v>0.63855000000000006</v>
      </c>
      <c r="J58" s="6">
        <f>0.385+0.035*Prices!$I58</f>
        <v>0.62055000000000005</v>
      </c>
      <c r="K58" s="6"/>
      <c r="L58" s="6">
        <f t="shared" si="6"/>
        <v>0.68</v>
      </c>
      <c r="M58" s="6">
        <f>0.268+0.0111*Prices!M58</f>
        <v>0.37644700000000003</v>
      </c>
      <c r="N58" s="18">
        <f t="shared" si="4"/>
        <v>1.0564470000000001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</row>
    <row r="59" spans="1:49" x14ac:dyDescent="0.2">
      <c r="A59" s="1"/>
      <c r="B59" s="1"/>
      <c r="C59" s="1"/>
    </row>
    <row r="60" spans="1:49" x14ac:dyDescent="0.2">
      <c r="A60" s="1"/>
      <c r="B60" s="1"/>
      <c r="C60" s="1"/>
    </row>
    <row r="61" spans="1:49" x14ac:dyDescent="0.2">
      <c r="A61" s="1"/>
      <c r="B61" s="1"/>
      <c r="C61" s="1"/>
    </row>
    <row r="62" spans="1:49" x14ac:dyDescent="0.2">
      <c r="A62" s="1"/>
      <c r="B62" s="1"/>
      <c r="C62" s="1"/>
    </row>
    <row r="63" spans="1:49" x14ac:dyDescent="0.2">
      <c r="A63" s="1"/>
      <c r="B63" s="1"/>
      <c r="C63" s="1"/>
    </row>
    <row r="64" spans="1:49" x14ac:dyDescent="0.2">
      <c r="A64" s="1"/>
      <c r="B64" s="1"/>
      <c r="C64" s="1"/>
    </row>
    <row r="65" spans="1:3" x14ac:dyDescent="0.2">
      <c r="A65" s="1"/>
      <c r="B65" s="1"/>
      <c r="C65" s="1"/>
    </row>
    <row r="66" spans="1:3" x14ac:dyDescent="0.2">
      <c r="A66" s="1"/>
      <c r="B66" s="1"/>
      <c r="C66" s="1"/>
    </row>
    <row r="67" spans="1:3" x14ac:dyDescent="0.2">
      <c r="A67" s="1"/>
      <c r="B67" s="1"/>
      <c r="C67" s="1"/>
    </row>
    <row r="68" spans="1:3" x14ac:dyDescent="0.2">
      <c r="A68" s="1"/>
      <c r="B68" s="1"/>
      <c r="C68" s="1"/>
    </row>
    <row r="69" spans="1:3" x14ac:dyDescent="0.2">
      <c r="A69" s="1"/>
      <c r="B69" s="1"/>
      <c r="C69" s="1"/>
    </row>
    <row r="70" spans="1:3" x14ac:dyDescent="0.2">
      <c r="A70" s="1"/>
      <c r="B70" s="1"/>
      <c r="C70" s="1"/>
    </row>
    <row r="71" spans="1:3" x14ac:dyDescent="0.2">
      <c r="A71" s="1"/>
      <c r="B71" s="1"/>
      <c r="C71" s="1"/>
    </row>
    <row r="72" spans="1:3" x14ac:dyDescent="0.2">
      <c r="A72" s="1"/>
      <c r="B72" s="1"/>
      <c r="C72" s="1"/>
    </row>
    <row r="73" spans="1:3" x14ac:dyDescent="0.2">
      <c r="A73" s="1"/>
      <c r="B73" s="1"/>
      <c r="C73" s="1"/>
    </row>
    <row r="74" spans="1:3" x14ac:dyDescent="0.2">
      <c r="A74" s="1"/>
      <c r="B74" s="1"/>
      <c r="C74" s="1"/>
    </row>
    <row r="75" spans="1:3" x14ac:dyDescent="0.2">
      <c r="A75" s="1"/>
      <c r="B75" s="1"/>
      <c r="C75" s="1"/>
    </row>
    <row r="76" spans="1:3" x14ac:dyDescent="0.2">
      <c r="A76" s="1"/>
      <c r="B76" s="1"/>
      <c r="C76" s="1"/>
    </row>
    <row r="77" spans="1:3" x14ac:dyDescent="0.2">
      <c r="A77" s="1"/>
      <c r="B77" s="1"/>
      <c r="C77" s="1"/>
    </row>
    <row r="78" spans="1:3" x14ac:dyDescent="0.2">
      <c r="A78" s="1"/>
      <c r="B78" s="1"/>
      <c r="C78" s="1"/>
    </row>
    <row r="79" spans="1:3" x14ac:dyDescent="0.2">
      <c r="A79" s="1"/>
      <c r="B79" s="1"/>
      <c r="C79" s="1"/>
    </row>
    <row r="80" spans="1:3" x14ac:dyDescent="0.2">
      <c r="A80" s="1"/>
      <c r="B80" s="1"/>
      <c r="C80" s="1"/>
    </row>
    <row r="81" spans="1:3" x14ac:dyDescent="0.2">
      <c r="A81" s="1"/>
      <c r="B81" s="1"/>
      <c r="C81" s="1"/>
    </row>
    <row r="82" spans="1:3" x14ac:dyDescent="0.2">
      <c r="A82" s="1"/>
      <c r="B82" s="1"/>
      <c r="C82" s="1"/>
    </row>
    <row r="83" spans="1:3" x14ac:dyDescent="0.2">
      <c r="A83" s="1"/>
      <c r="B83" s="1"/>
      <c r="C83" s="1"/>
    </row>
    <row r="84" spans="1:3" x14ac:dyDescent="0.2">
      <c r="A84" s="1"/>
      <c r="B84" s="1"/>
      <c r="C84" s="1"/>
    </row>
    <row r="85" spans="1:3" x14ac:dyDescent="0.2">
      <c r="A85" s="1"/>
      <c r="B85" s="1"/>
      <c r="C85" s="1"/>
    </row>
    <row r="86" spans="1:3" x14ac:dyDescent="0.2">
      <c r="A86" s="1"/>
      <c r="B86" s="1"/>
      <c r="C86" s="1"/>
    </row>
    <row r="87" spans="1:3" x14ac:dyDescent="0.2">
      <c r="A87" s="1"/>
      <c r="B87" s="1"/>
      <c r="C87" s="1"/>
    </row>
    <row r="88" spans="1:3" x14ac:dyDescent="0.2">
      <c r="A88" s="1"/>
      <c r="B88" s="1"/>
      <c r="C88" s="1"/>
    </row>
    <row r="89" spans="1:3" x14ac:dyDescent="0.2">
      <c r="A89" s="1"/>
      <c r="B89" s="1"/>
      <c r="C89" s="1"/>
    </row>
    <row r="90" spans="1:3" x14ac:dyDescent="0.2">
      <c r="A90" s="1"/>
      <c r="B90" s="1"/>
      <c r="C90" s="1"/>
    </row>
    <row r="91" spans="1:3" x14ac:dyDescent="0.2">
      <c r="A91" s="1"/>
      <c r="B91" s="1"/>
      <c r="C91" s="1"/>
    </row>
    <row r="92" spans="1:3" x14ac:dyDescent="0.2">
      <c r="A92" s="1"/>
      <c r="B92" s="1"/>
      <c r="C92" s="1"/>
    </row>
    <row r="93" spans="1:3" x14ac:dyDescent="0.2">
      <c r="A93" s="1"/>
      <c r="B93" s="1"/>
      <c r="C93" s="1"/>
    </row>
    <row r="94" spans="1:3" x14ac:dyDescent="0.2">
      <c r="A94" s="1"/>
      <c r="B94" s="1"/>
      <c r="C94" s="1"/>
    </row>
    <row r="95" spans="1:3" x14ac:dyDescent="0.2">
      <c r="A95" s="1"/>
      <c r="B95" s="1"/>
      <c r="C95" s="1"/>
    </row>
    <row r="96" spans="1:3" x14ac:dyDescent="0.2">
      <c r="A96" s="1"/>
      <c r="B96" s="1"/>
      <c r="C96" s="1"/>
    </row>
    <row r="97" spans="1:3" x14ac:dyDescent="0.2">
      <c r="A97" s="1"/>
      <c r="B97" s="1"/>
      <c r="C97" s="1"/>
    </row>
    <row r="98" spans="1:3" x14ac:dyDescent="0.2">
      <c r="A98" s="1"/>
      <c r="B98" s="1"/>
      <c r="C98" s="1"/>
    </row>
    <row r="99" spans="1:3" x14ac:dyDescent="0.2">
      <c r="A99" s="1"/>
      <c r="B99" s="1"/>
      <c r="C99" s="1"/>
    </row>
    <row r="100" spans="1:3" x14ac:dyDescent="0.2">
      <c r="A100" s="1"/>
      <c r="B100" s="1"/>
      <c r="C100" s="1"/>
    </row>
    <row r="101" spans="1:3" x14ac:dyDescent="0.2">
      <c r="A101" s="1"/>
      <c r="B101" s="1"/>
      <c r="C101" s="1"/>
    </row>
    <row r="102" spans="1:3" x14ac:dyDescent="0.2">
      <c r="A102" s="1"/>
      <c r="B102" s="1"/>
      <c r="C102" s="1"/>
    </row>
    <row r="103" spans="1:3" x14ac:dyDescent="0.2">
      <c r="A103" s="1"/>
      <c r="B103" s="1"/>
      <c r="C103" s="1"/>
    </row>
    <row r="104" spans="1:3" x14ac:dyDescent="0.2">
      <c r="A104" s="1"/>
      <c r="B104" s="1"/>
      <c r="C104" s="1"/>
    </row>
    <row r="105" spans="1:3" x14ac:dyDescent="0.2">
      <c r="A105" s="1"/>
      <c r="B105" s="1"/>
      <c r="C105" s="1"/>
    </row>
    <row r="106" spans="1:3" x14ac:dyDescent="0.2">
      <c r="A106" s="1"/>
      <c r="B106" s="1"/>
      <c r="C106" s="1"/>
    </row>
  </sheetData>
  <mergeCells count="5">
    <mergeCell ref="D2:P2"/>
    <mergeCell ref="D3:F3"/>
    <mergeCell ref="G3:H3"/>
    <mergeCell ref="I3:K3"/>
    <mergeCell ref="L3:P3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7"/>
  <sheetViews>
    <sheetView showGridLines="0" tabSelected="1" workbookViewId="0">
      <selection activeCell="A5" sqref="A5"/>
    </sheetView>
  </sheetViews>
  <sheetFormatPr defaultRowHeight="12.75" x14ac:dyDescent="0.2"/>
  <cols>
    <col min="2" max="2" width="6.83203125" hidden="1" customWidth="1"/>
    <col min="3" max="3" width="39.33203125" customWidth="1"/>
    <col min="4" max="4" width="6.83203125" hidden="1" customWidth="1"/>
    <col min="5" max="5" width="39.6640625" customWidth="1"/>
    <col min="6" max="6" width="23" customWidth="1"/>
    <col min="7" max="7" width="6.83203125" hidden="1" customWidth="1"/>
    <col min="8" max="8" width="17.5" customWidth="1"/>
    <col min="10" max="10" width="15" customWidth="1"/>
  </cols>
  <sheetData>
    <row r="1" spans="1:1" s="22" customFormat="1" ht="18" x14ac:dyDescent="0.25">
      <c r="A1" s="22" t="s">
        <v>25</v>
      </c>
    </row>
    <row r="20" spans="1:10" x14ac:dyDescent="0.2">
      <c r="C20" s="4" t="s">
        <v>11</v>
      </c>
      <c r="D20" s="4"/>
      <c r="E20" s="4" t="s">
        <v>12</v>
      </c>
      <c r="G20" s="4"/>
    </row>
    <row r="21" spans="1:10" ht="18.75" customHeight="1" x14ac:dyDescent="0.2">
      <c r="F21" s="3" t="str">
        <f>HLOOKUP(B22,Prices!$C$5:$N$6,2,0)&amp;"/"&amp;HLOOKUP(D22,Prices!$C$5:$N$6,2,0)&amp;" Spread"</f>
        <v>Permian/SoCal Spread</v>
      </c>
      <c r="H21" s="4" t="str">
        <f>HLOOKUP(G22,Tolls!$D$7:$P$8,2,0)&amp;" Toll"</f>
        <v>Transwestern Toll</v>
      </c>
      <c r="J21" s="4" t="s">
        <v>24</v>
      </c>
    </row>
    <row r="22" spans="1:10" x14ac:dyDescent="0.2">
      <c r="B22" s="13">
        <v>5</v>
      </c>
      <c r="D22" s="13">
        <v>6</v>
      </c>
      <c r="G22" s="13">
        <f>B22*1000+D22</f>
        <v>5006</v>
      </c>
    </row>
    <row r="23" spans="1:10" x14ac:dyDescent="0.2">
      <c r="A23" s="1">
        <f>Prices!A9</f>
        <v>35431</v>
      </c>
      <c r="C23" s="16">
        <f>HLOOKUP(B$22,Prices!$C$8:$T$58,Prices!$B9,0)</f>
        <v>4.0999999999999996</v>
      </c>
      <c r="E23" s="16">
        <f>HLOOKUP(D$22,Prices!$C$8:$T$58,Prices!$B9,0)</f>
        <v>4.0599999999999996</v>
      </c>
      <c r="F23" s="17">
        <f>E23-C23</f>
        <v>-4.0000000000000036E-2</v>
      </c>
      <c r="H23" s="17">
        <f>IF(ISERROR(HLOOKUP(G$22,Tolls!$D$7:$R$58,Tolls!$B9,0)),"Not Available",HLOOKUP(G$22,Tolls!$D$7:$R$58,Tolls!$B9,0))</f>
        <v>0.58899999999999997</v>
      </c>
      <c r="J23" s="17">
        <f>F23-H23</f>
        <v>-0.629</v>
      </c>
    </row>
    <row r="24" spans="1:10" x14ac:dyDescent="0.2">
      <c r="A24" s="1">
        <f>Prices!A10</f>
        <v>35462</v>
      </c>
      <c r="C24" s="16">
        <f>HLOOKUP(B$22,Prices!$C$8:$T$58,Prices!$B10,0)</f>
        <v>2.5</v>
      </c>
      <c r="E24" s="16">
        <f>HLOOKUP(D$22,Prices!$C$8:$T$58,Prices!$B10,0)</f>
        <v>2.59</v>
      </c>
      <c r="F24" s="17">
        <f t="shared" ref="F24:F72" si="0">E24-C24</f>
        <v>8.9999999999999858E-2</v>
      </c>
      <c r="H24" s="17">
        <f>IF(ISERROR(HLOOKUP(G$22,Tolls!$D$7:$R$58,Tolls!$B10,0)),"Not Available",HLOOKUP(G$22,Tolls!$D$7:$R$58,Tolls!$B10,0))</f>
        <v>0.50900000000000001</v>
      </c>
      <c r="J24" s="17">
        <f t="shared" ref="J24:J72" si="1">F24-H24</f>
        <v>-0.41900000000000015</v>
      </c>
    </row>
    <row r="25" spans="1:10" x14ac:dyDescent="0.2">
      <c r="A25" s="1">
        <f>Prices!A11</f>
        <v>35490</v>
      </c>
      <c r="C25" s="16">
        <f>HLOOKUP(B$22,Prices!$C$8:$T$58,Prices!$B11,0)</f>
        <v>1.52</v>
      </c>
      <c r="E25" s="16">
        <f>HLOOKUP(D$22,Prices!$C$8:$T$58,Prices!$B11,0)</f>
        <v>1.57</v>
      </c>
      <c r="F25" s="17">
        <f t="shared" si="0"/>
        <v>5.0000000000000044E-2</v>
      </c>
      <c r="H25" s="17">
        <f>IF(ISERROR(HLOOKUP(G$22,Tolls!$D$7:$R$58,Tolls!$B11,0)),"Not Available",HLOOKUP(G$22,Tolls!$D$7:$R$58,Tolls!$B11,0))</f>
        <v>0.46</v>
      </c>
      <c r="J25" s="17">
        <f t="shared" si="1"/>
        <v>-0.41</v>
      </c>
    </row>
    <row r="26" spans="1:10" x14ac:dyDescent="0.2">
      <c r="A26" s="1">
        <f>Prices!A12</f>
        <v>35521</v>
      </c>
      <c r="C26" s="16">
        <f>HLOOKUP(B$22,Prices!$C$8:$T$58,Prices!$B12,0)</f>
        <v>1.61</v>
      </c>
      <c r="E26" s="16">
        <f>HLOOKUP(D$22,Prices!$C$8:$T$58,Prices!$B12,0)</f>
        <v>1.75</v>
      </c>
      <c r="F26" s="17">
        <f t="shared" si="0"/>
        <v>0.1399999999999999</v>
      </c>
      <c r="H26" s="17">
        <f>IF(ISERROR(HLOOKUP(G$22,Tolls!$D$7:$R$58,Tolls!$B12,0)),"Not Available",HLOOKUP(G$22,Tolls!$D$7:$R$58,Tolls!$B12,0))</f>
        <v>0.46450000000000002</v>
      </c>
      <c r="J26" s="17">
        <f t="shared" si="1"/>
        <v>-0.32450000000000012</v>
      </c>
    </row>
    <row r="27" spans="1:10" x14ac:dyDescent="0.2">
      <c r="A27" s="1">
        <f>Prices!A13</f>
        <v>35551</v>
      </c>
      <c r="C27" s="16">
        <f>HLOOKUP(B$22,Prices!$C$8:$T$58,Prices!$B13,0)</f>
        <v>1.89</v>
      </c>
      <c r="E27" s="16">
        <f>HLOOKUP(D$22,Prices!$C$8:$T$58,Prices!$B13,0)</f>
        <v>2.02</v>
      </c>
      <c r="F27" s="17">
        <f t="shared" si="0"/>
        <v>0.13000000000000012</v>
      </c>
      <c r="H27" s="17">
        <f>IF(ISERROR(HLOOKUP(G$22,Tolls!$D$7:$R$58,Tolls!$B13,0)),"Not Available",HLOOKUP(G$22,Tolls!$D$7:$R$58,Tolls!$B13,0))</f>
        <v>0.47850000000000004</v>
      </c>
      <c r="J27" s="17">
        <f t="shared" si="1"/>
        <v>-0.34849999999999992</v>
      </c>
    </row>
    <row r="28" spans="1:10" x14ac:dyDescent="0.2">
      <c r="A28" s="1">
        <f>Prices!A14</f>
        <v>35582</v>
      </c>
      <c r="C28" s="16">
        <f>HLOOKUP(B$22,Prices!$C$8:$T$58,Prices!$B14,0)</f>
        <v>2.0499999999999998</v>
      </c>
      <c r="E28" s="16">
        <f>HLOOKUP(D$22,Prices!$C$8:$T$58,Prices!$B14,0)</f>
        <v>2.21</v>
      </c>
      <c r="F28" s="17">
        <f t="shared" si="0"/>
        <v>0.16000000000000014</v>
      </c>
      <c r="H28" s="17">
        <f>IF(ISERROR(HLOOKUP(G$22,Tolls!$D$7:$R$58,Tolls!$B14,0)),"Not Available",HLOOKUP(G$22,Tolls!$D$7:$R$58,Tolls!$B14,0))</f>
        <v>0.48649999999999999</v>
      </c>
      <c r="J28" s="17">
        <f t="shared" si="1"/>
        <v>-0.32649999999999985</v>
      </c>
    </row>
    <row r="29" spans="1:10" x14ac:dyDescent="0.2">
      <c r="A29" s="1">
        <f>Prices!A15</f>
        <v>35612</v>
      </c>
      <c r="C29" s="16">
        <f>HLOOKUP(B$22,Prices!$C$8:$T$58,Prices!$B15,0)</f>
        <v>1.99</v>
      </c>
      <c r="E29" s="16">
        <f>HLOOKUP(D$22,Prices!$C$8:$T$58,Prices!$B15,0)</f>
        <v>2.15</v>
      </c>
      <c r="F29" s="17">
        <f t="shared" si="0"/>
        <v>0.15999999999999992</v>
      </c>
      <c r="H29" s="17">
        <f>IF(ISERROR(HLOOKUP(G$22,Tolls!$D$7:$R$58,Tolls!$B15,0)),"Not Available",HLOOKUP(G$22,Tolls!$D$7:$R$58,Tolls!$B15,0))</f>
        <v>0.48350000000000004</v>
      </c>
      <c r="J29" s="17">
        <f t="shared" si="1"/>
        <v>-0.32350000000000012</v>
      </c>
    </row>
    <row r="30" spans="1:10" x14ac:dyDescent="0.2">
      <c r="A30" s="1">
        <f>Prices!A16</f>
        <v>35643</v>
      </c>
      <c r="C30" s="16">
        <f>HLOOKUP(B$22,Prices!$C$8:$T$58,Prices!$B16,0)</f>
        <v>2.0499999999999998</v>
      </c>
      <c r="E30" s="16">
        <f>HLOOKUP(D$22,Prices!$C$8:$T$58,Prices!$B16,0)</f>
        <v>2.23</v>
      </c>
      <c r="F30" s="17">
        <f t="shared" si="0"/>
        <v>0.18000000000000016</v>
      </c>
      <c r="H30" s="17">
        <f>IF(ISERROR(HLOOKUP(G$22,Tolls!$D$7:$R$58,Tolls!$B16,0)),"Not Available",HLOOKUP(G$22,Tolls!$D$7:$R$58,Tolls!$B16,0))</f>
        <v>0.48649999999999999</v>
      </c>
      <c r="J30" s="17">
        <f t="shared" si="1"/>
        <v>-0.30649999999999983</v>
      </c>
    </row>
    <row r="31" spans="1:10" x14ac:dyDescent="0.2">
      <c r="A31" s="1">
        <f>Prices!A17</f>
        <v>35674</v>
      </c>
      <c r="C31" s="16">
        <f>HLOOKUP(B$22,Prices!$C$8:$T$58,Prices!$B17,0)</f>
        <v>2.35</v>
      </c>
      <c r="E31" s="16">
        <f>HLOOKUP(D$22,Prices!$C$8:$T$58,Prices!$B17,0)</f>
        <v>2.4500000000000002</v>
      </c>
      <c r="F31" s="17">
        <f t="shared" si="0"/>
        <v>0.10000000000000009</v>
      </c>
      <c r="H31" s="17">
        <f>IF(ISERROR(HLOOKUP(G$22,Tolls!$D$7:$R$58,Tolls!$B17,0)),"Not Available",HLOOKUP(G$22,Tolls!$D$7:$R$58,Tolls!$B17,0))</f>
        <v>0.50150000000000006</v>
      </c>
      <c r="J31" s="17">
        <f t="shared" si="1"/>
        <v>-0.40149999999999997</v>
      </c>
    </row>
    <row r="32" spans="1:10" x14ac:dyDescent="0.2">
      <c r="A32" s="1">
        <f>Prices!A18</f>
        <v>35704</v>
      </c>
      <c r="C32" s="16">
        <f>HLOOKUP(B$22,Prices!$C$8:$T$58,Prices!$B18,0)</f>
        <v>2.84</v>
      </c>
      <c r="E32" s="16">
        <f>HLOOKUP(D$22,Prices!$C$8:$T$58,Prices!$B18,0)</f>
        <v>3.09</v>
      </c>
      <c r="F32" s="17">
        <f t="shared" si="0"/>
        <v>0.25</v>
      </c>
      <c r="H32" s="17">
        <f>IF(ISERROR(HLOOKUP(G$22,Tolls!$D$7:$R$58,Tolls!$B18,0)),"Not Available",HLOOKUP(G$22,Tolls!$D$7:$R$58,Tolls!$B18,0))</f>
        <v>0.52600000000000002</v>
      </c>
      <c r="J32" s="17">
        <f t="shared" si="1"/>
        <v>-0.27600000000000002</v>
      </c>
    </row>
    <row r="33" spans="1:10" x14ac:dyDescent="0.2">
      <c r="A33" s="1">
        <f>Prices!A19</f>
        <v>35735</v>
      </c>
      <c r="C33" s="16">
        <f>HLOOKUP(B$22,Prices!$C$8:$T$58,Prices!$B19,0)</f>
        <v>3.06</v>
      </c>
      <c r="E33" s="16">
        <f>HLOOKUP(D$22,Prices!$C$8:$T$58,Prices!$B19,0)</f>
        <v>3.37</v>
      </c>
      <c r="F33" s="17">
        <f t="shared" si="0"/>
        <v>0.31000000000000005</v>
      </c>
      <c r="H33" s="17">
        <f>IF(ISERROR(HLOOKUP(G$22,Tolls!$D$7:$R$58,Tolls!$B19,0)),"Not Available",HLOOKUP(G$22,Tolls!$D$7:$R$58,Tolls!$B19,0))</f>
        <v>0.53700000000000003</v>
      </c>
      <c r="J33" s="17">
        <f t="shared" si="1"/>
        <v>-0.22699999999999998</v>
      </c>
    </row>
    <row r="34" spans="1:10" x14ac:dyDescent="0.2">
      <c r="A34" s="1">
        <f>Prices!A20</f>
        <v>35765</v>
      </c>
      <c r="C34" s="16">
        <f>HLOOKUP(B$22,Prices!$C$8:$T$58,Prices!$B20,0)</f>
        <v>2.2000000000000002</v>
      </c>
      <c r="E34" s="16">
        <f>HLOOKUP(D$22,Prices!$C$8:$T$58,Prices!$B20,0)</f>
        <v>2.29</v>
      </c>
      <c r="F34" s="17">
        <f t="shared" si="0"/>
        <v>8.9999999999999858E-2</v>
      </c>
      <c r="H34" s="17">
        <f>IF(ISERROR(HLOOKUP(G$22,Tolls!$D$7:$R$58,Tolls!$B20,0)),"Not Available",HLOOKUP(G$22,Tolls!$D$7:$R$58,Tolls!$B20,0))</f>
        <v>0.49399999999999999</v>
      </c>
      <c r="J34" s="17">
        <f t="shared" si="1"/>
        <v>-0.40400000000000014</v>
      </c>
    </row>
    <row r="35" spans="1:10" x14ac:dyDescent="0.2">
      <c r="A35" s="1">
        <f>Prices!A21</f>
        <v>35796</v>
      </c>
      <c r="C35" s="16">
        <f>HLOOKUP(B$22,Prices!$C$8:$T$58,Prices!$B21,0)</f>
        <v>2.09</v>
      </c>
      <c r="E35" s="16">
        <f>HLOOKUP(D$22,Prices!$C$8:$T$58,Prices!$B21,0)</f>
        <v>2.2400000000000002</v>
      </c>
      <c r="F35" s="17">
        <f t="shared" si="0"/>
        <v>0.15000000000000036</v>
      </c>
      <c r="H35" s="17">
        <f>IF(ISERROR(HLOOKUP(G$22,Tolls!$D$7:$R$58,Tolls!$B21,0)),"Not Available",HLOOKUP(G$22,Tolls!$D$7:$R$58,Tolls!$B21,0))</f>
        <v>0.48849999999999999</v>
      </c>
      <c r="J35" s="17">
        <f t="shared" si="1"/>
        <v>-0.33849999999999963</v>
      </c>
    </row>
    <row r="36" spans="1:10" x14ac:dyDescent="0.2">
      <c r="A36" s="1">
        <f>Prices!A22</f>
        <v>35827</v>
      </c>
      <c r="C36" s="16">
        <f>HLOOKUP(B$22,Prices!$C$8:$T$58,Prices!$B22,0)</f>
        <v>1.87</v>
      </c>
      <c r="E36" s="16">
        <f>HLOOKUP(D$22,Prices!$C$8:$T$58,Prices!$B22,0)</f>
        <v>2.09</v>
      </c>
      <c r="F36" s="17">
        <f t="shared" si="0"/>
        <v>0.21999999999999975</v>
      </c>
      <c r="H36" s="17">
        <f>IF(ISERROR(HLOOKUP(G$22,Tolls!$D$7:$R$58,Tolls!$B22,0)),"Not Available",HLOOKUP(G$22,Tolls!$D$7:$R$58,Tolls!$B22,0))</f>
        <v>0.47750000000000004</v>
      </c>
      <c r="J36" s="17">
        <f t="shared" si="1"/>
        <v>-0.25750000000000028</v>
      </c>
    </row>
    <row r="37" spans="1:10" x14ac:dyDescent="0.2">
      <c r="A37" s="1">
        <f>Prices!A23</f>
        <v>35855</v>
      </c>
      <c r="C37" s="16">
        <f>HLOOKUP(B$22,Prices!$C$8:$T$58,Prices!$B23,0)</f>
        <v>2.0699999999999998</v>
      </c>
      <c r="E37" s="16">
        <f>HLOOKUP(D$22,Prices!$C$8:$T$58,Prices!$B23,0)</f>
        <v>2.33</v>
      </c>
      <c r="F37" s="17">
        <f t="shared" si="0"/>
        <v>0.26000000000000023</v>
      </c>
      <c r="H37" s="17">
        <f>IF(ISERROR(HLOOKUP(G$22,Tolls!$D$7:$R$58,Tolls!$B23,0)),"Not Available",HLOOKUP(G$22,Tolls!$D$7:$R$58,Tolls!$B23,0))</f>
        <v>0.48749999999999999</v>
      </c>
      <c r="J37" s="17">
        <f t="shared" si="1"/>
        <v>-0.22749999999999976</v>
      </c>
    </row>
    <row r="38" spans="1:10" x14ac:dyDescent="0.2">
      <c r="A38" s="1">
        <f>Prices!A24</f>
        <v>35886</v>
      </c>
      <c r="C38" s="16">
        <f>HLOOKUP(B$22,Prices!$C$8:$T$58,Prices!$B24,0)</f>
        <v>2.15</v>
      </c>
      <c r="E38" s="16">
        <f>HLOOKUP(D$22,Prices!$C$8:$T$58,Prices!$B24,0)</f>
        <v>2.39</v>
      </c>
      <c r="F38" s="17">
        <f t="shared" si="0"/>
        <v>0.24000000000000021</v>
      </c>
      <c r="H38" s="17">
        <f>IF(ISERROR(HLOOKUP(G$22,Tolls!$D$7:$R$58,Tolls!$B24,0)),"Not Available",HLOOKUP(G$22,Tolls!$D$7:$R$58,Tolls!$B24,0))</f>
        <v>0.49149999999999999</v>
      </c>
      <c r="J38" s="17">
        <f t="shared" si="1"/>
        <v>-0.25149999999999978</v>
      </c>
    </row>
    <row r="39" spans="1:10" x14ac:dyDescent="0.2">
      <c r="A39" s="1">
        <f>Prices!A25</f>
        <v>35916</v>
      </c>
      <c r="C39" s="16">
        <f>HLOOKUP(B$22,Prices!$C$8:$T$58,Prices!$B25,0)</f>
        <v>2.12</v>
      </c>
      <c r="E39" s="16">
        <f>HLOOKUP(D$22,Prices!$C$8:$T$58,Prices!$B25,0)</f>
        <v>2.37</v>
      </c>
      <c r="F39" s="17">
        <f t="shared" si="0"/>
        <v>0.25</v>
      </c>
      <c r="H39" s="17">
        <f>IF(ISERROR(HLOOKUP(G$22,Tolls!$D$7:$R$58,Tolls!$B25,0)),"Not Available",HLOOKUP(G$22,Tolls!$D$7:$R$58,Tolls!$B25,0))</f>
        <v>0.49</v>
      </c>
      <c r="J39" s="17">
        <f t="shared" si="1"/>
        <v>-0.24</v>
      </c>
    </row>
    <row r="40" spans="1:10" x14ac:dyDescent="0.2">
      <c r="A40" s="1">
        <f>Prices!A26</f>
        <v>35947</v>
      </c>
      <c r="C40" s="16">
        <f>HLOOKUP(B$22,Prices!$C$8:$T$58,Prices!$B26,0)</f>
        <v>1.89</v>
      </c>
      <c r="E40" s="16">
        <f>HLOOKUP(D$22,Prices!$C$8:$T$58,Prices!$B26,0)</f>
        <v>2.11</v>
      </c>
      <c r="F40" s="17">
        <f t="shared" si="0"/>
        <v>0.21999999999999997</v>
      </c>
      <c r="H40" s="17">
        <f>IF(ISERROR(HLOOKUP(G$22,Tolls!$D$7:$R$58,Tolls!$B26,0)),"Not Available",HLOOKUP(G$22,Tolls!$D$7:$R$58,Tolls!$B26,0))</f>
        <v>0.47850000000000004</v>
      </c>
      <c r="J40" s="17">
        <f t="shared" si="1"/>
        <v>-0.25850000000000006</v>
      </c>
    </row>
    <row r="41" spans="1:10" x14ac:dyDescent="0.2">
      <c r="A41" s="1">
        <f>Prices!A27</f>
        <v>35977</v>
      </c>
      <c r="C41" s="16">
        <f>HLOOKUP(B$22,Prices!$C$8:$T$58,Prices!$B27,0)</f>
        <v>2.17</v>
      </c>
      <c r="E41" s="16">
        <f>HLOOKUP(D$22,Prices!$C$8:$T$58,Prices!$B27,0)</f>
        <v>2.2400000000000002</v>
      </c>
      <c r="F41" s="17">
        <f t="shared" si="0"/>
        <v>7.0000000000000284E-2</v>
      </c>
      <c r="H41" s="17">
        <f>IF(ISERROR(HLOOKUP(G$22,Tolls!$D$7:$R$58,Tolls!$B27,0)),"Not Available",HLOOKUP(G$22,Tolls!$D$7:$R$58,Tolls!$B27,0))</f>
        <v>0.49249999999999999</v>
      </c>
      <c r="J41" s="17">
        <f t="shared" si="1"/>
        <v>-0.42249999999999971</v>
      </c>
    </row>
    <row r="42" spans="1:10" x14ac:dyDescent="0.2">
      <c r="A42" s="1">
        <f>Prices!A28</f>
        <v>36008</v>
      </c>
      <c r="C42" s="16">
        <f>HLOOKUP(B$22,Prices!$C$8:$T$58,Prices!$B28,0)</f>
        <v>1.94</v>
      </c>
      <c r="E42" s="16">
        <f>HLOOKUP(D$22,Prices!$C$8:$T$58,Prices!$B28,0)</f>
        <v>2.2799999999999998</v>
      </c>
      <c r="F42" s="17">
        <f t="shared" si="0"/>
        <v>0.33999999999999986</v>
      </c>
      <c r="H42" s="17">
        <f>IF(ISERROR(HLOOKUP(G$22,Tolls!$D$7:$R$58,Tolls!$B28,0)),"Not Available",HLOOKUP(G$22,Tolls!$D$7:$R$58,Tolls!$B28,0))</f>
        <v>0.48099999999999998</v>
      </c>
      <c r="J42" s="17">
        <f t="shared" si="1"/>
        <v>-0.14100000000000013</v>
      </c>
    </row>
    <row r="43" spans="1:10" x14ac:dyDescent="0.2">
      <c r="A43" s="1">
        <f>Prices!A29</f>
        <v>36039</v>
      </c>
      <c r="C43" s="16">
        <f>HLOOKUP(B$22,Prices!$C$8:$T$58,Prices!$B29,0)</f>
        <v>1.59</v>
      </c>
      <c r="E43" s="16">
        <f>HLOOKUP(D$22,Prices!$C$8:$T$58,Prices!$B29,0)</f>
        <v>2</v>
      </c>
      <c r="F43" s="17">
        <f t="shared" si="0"/>
        <v>0.40999999999999992</v>
      </c>
      <c r="H43" s="17">
        <f>IF(ISERROR(HLOOKUP(G$22,Tolls!$D$7:$R$58,Tolls!$B29,0)),"Not Available",HLOOKUP(G$22,Tolls!$D$7:$R$58,Tolls!$B29,0))</f>
        <v>0.46350000000000002</v>
      </c>
      <c r="J43" s="17">
        <f t="shared" si="1"/>
        <v>-5.3500000000000103E-2</v>
      </c>
    </row>
    <row r="44" spans="1:10" x14ac:dyDescent="0.2">
      <c r="A44" s="1">
        <f>Prices!A30</f>
        <v>36069</v>
      </c>
      <c r="C44" s="16">
        <f>HLOOKUP(B$22,Prices!$C$8:$T$58,Prices!$B30,0)</f>
        <v>2.09</v>
      </c>
      <c r="E44" s="16">
        <f>HLOOKUP(D$22,Prices!$C$8:$T$58,Prices!$B30,0)</f>
        <v>2.02</v>
      </c>
      <c r="F44" s="17">
        <f t="shared" si="0"/>
        <v>-6.999999999999984E-2</v>
      </c>
      <c r="H44" s="17">
        <f>IF(ISERROR(HLOOKUP(G$22,Tolls!$D$7:$R$58,Tolls!$B30,0)),"Not Available",HLOOKUP(G$22,Tolls!$D$7:$R$58,Tolls!$B30,0))</f>
        <v>0.48849999999999999</v>
      </c>
      <c r="J44" s="17">
        <f t="shared" si="1"/>
        <v>-0.55849999999999977</v>
      </c>
    </row>
    <row r="45" spans="1:10" x14ac:dyDescent="0.2">
      <c r="A45" s="1">
        <f>Prices!A31</f>
        <v>36100</v>
      </c>
      <c r="C45" s="16">
        <f>HLOOKUP(B$22,Prices!$C$8:$T$58,Prices!$B31,0)</f>
        <v>1.99</v>
      </c>
      <c r="E45" s="16">
        <f>HLOOKUP(D$22,Prices!$C$8:$T$58,Prices!$B31,0)</f>
        <v>2.33</v>
      </c>
      <c r="F45" s="17">
        <f t="shared" si="0"/>
        <v>0.34000000000000008</v>
      </c>
      <c r="H45" s="17">
        <f>IF(ISERROR(HLOOKUP(G$22,Tolls!$D$7:$R$58,Tolls!$B31,0)),"Not Available",HLOOKUP(G$22,Tolls!$D$7:$R$58,Tolls!$B31,0))</f>
        <v>0.48350000000000004</v>
      </c>
      <c r="J45" s="17">
        <f t="shared" si="1"/>
        <v>-0.14349999999999996</v>
      </c>
    </row>
    <row r="46" spans="1:10" x14ac:dyDescent="0.2">
      <c r="A46" s="1">
        <f>Prices!A32</f>
        <v>36130</v>
      </c>
      <c r="C46" s="16">
        <f>HLOOKUP(B$22,Prices!$C$8:$T$58,Prices!$B32,0)</f>
        <v>1.99</v>
      </c>
      <c r="E46" s="16">
        <f>HLOOKUP(D$22,Prices!$C$8:$T$58,Prices!$B32,0)</f>
        <v>2.2799999999999998</v>
      </c>
      <c r="F46" s="17">
        <f t="shared" si="0"/>
        <v>0.28999999999999981</v>
      </c>
      <c r="H46" s="17">
        <f>IF(ISERROR(HLOOKUP(G$22,Tolls!$D$7:$R$58,Tolls!$B32,0)),"Not Available",HLOOKUP(G$22,Tolls!$D$7:$R$58,Tolls!$B32,0))</f>
        <v>0.48350000000000004</v>
      </c>
      <c r="J46" s="17">
        <f t="shared" si="1"/>
        <v>-0.19350000000000023</v>
      </c>
    </row>
    <row r="47" spans="1:10" x14ac:dyDescent="0.2">
      <c r="A47" s="1">
        <f>Prices!A33</f>
        <v>36161</v>
      </c>
      <c r="C47" s="16">
        <f>HLOOKUP(B$22,Prices!$C$8:$T$58,Prices!$B33,0)</f>
        <v>1.74</v>
      </c>
      <c r="E47" s="16">
        <f>HLOOKUP(D$22,Prices!$C$8:$T$58,Prices!$B33,0)</f>
        <v>2.02</v>
      </c>
      <c r="F47" s="17">
        <f t="shared" si="0"/>
        <v>0.28000000000000003</v>
      </c>
      <c r="H47" s="17">
        <f>IF(ISERROR(HLOOKUP(G$22,Tolls!$D$7:$R$58,Tolls!$B33,0)),"Not Available",HLOOKUP(G$22,Tolls!$D$7:$R$58,Tolls!$B33,0))</f>
        <v>0.47100000000000003</v>
      </c>
      <c r="J47" s="17">
        <f t="shared" si="1"/>
        <v>-0.191</v>
      </c>
    </row>
    <row r="48" spans="1:10" x14ac:dyDescent="0.2">
      <c r="A48" s="1">
        <f>Prices!A34</f>
        <v>36192</v>
      </c>
      <c r="C48" s="16">
        <f>HLOOKUP(B$22,Prices!$C$8:$T$58,Prices!$B34,0)</f>
        <v>1.67</v>
      </c>
      <c r="E48" s="16">
        <f>HLOOKUP(D$22,Prices!$C$8:$T$58,Prices!$B34,0)</f>
        <v>1.82</v>
      </c>
      <c r="F48" s="17">
        <f t="shared" si="0"/>
        <v>0.15000000000000013</v>
      </c>
      <c r="H48" s="17">
        <f>IF(ISERROR(HLOOKUP(G$22,Tolls!$D$7:$R$58,Tolls!$B34,0)),"Not Available",HLOOKUP(G$22,Tolls!$D$7:$R$58,Tolls!$B34,0))</f>
        <v>0.46750000000000003</v>
      </c>
      <c r="J48" s="17">
        <f t="shared" si="1"/>
        <v>-0.31749999999999989</v>
      </c>
    </row>
    <row r="49" spans="1:10" x14ac:dyDescent="0.2">
      <c r="A49" s="1">
        <f>Prices!A35</f>
        <v>36220</v>
      </c>
      <c r="C49" s="16">
        <f>HLOOKUP(B$22,Prices!$C$8:$T$58,Prices!$B35,0)</f>
        <v>1.57</v>
      </c>
      <c r="E49" s="16">
        <f>HLOOKUP(D$22,Prices!$C$8:$T$58,Prices!$B35,0)</f>
        <v>1.73</v>
      </c>
      <c r="F49" s="17">
        <f t="shared" si="0"/>
        <v>0.15999999999999992</v>
      </c>
      <c r="H49" s="17">
        <f>IF(ISERROR(HLOOKUP(G$22,Tolls!$D$7:$R$58,Tolls!$B35,0)),"Not Available",HLOOKUP(G$22,Tolls!$D$7:$R$58,Tolls!$B35,0))</f>
        <v>0.46250000000000002</v>
      </c>
      <c r="J49" s="17">
        <f t="shared" si="1"/>
        <v>-0.3025000000000001</v>
      </c>
    </row>
    <row r="50" spans="1:10" x14ac:dyDescent="0.2">
      <c r="A50" s="1">
        <f>Prices!A36</f>
        <v>36251</v>
      </c>
      <c r="C50" s="16">
        <f>HLOOKUP(B$22,Prices!$C$8:$T$58,Prices!$B36,0)</f>
        <v>1.66</v>
      </c>
      <c r="E50" s="16">
        <f>HLOOKUP(D$22,Prices!$C$8:$T$58,Prices!$B36,0)</f>
        <v>1.79</v>
      </c>
      <c r="F50" s="17">
        <f t="shared" si="0"/>
        <v>0.13000000000000012</v>
      </c>
      <c r="H50" s="17">
        <f>IF(ISERROR(HLOOKUP(G$22,Tolls!$D$7:$R$58,Tolls!$B36,0)),"Not Available",HLOOKUP(G$22,Tolls!$D$7:$R$58,Tolls!$B36,0))</f>
        <v>0.46700000000000003</v>
      </c>
      <c r="J50" s="17">
        <f t="shared" si="1"/>
        <v>-0.33699999999999991</v>
      </c>
    </row>
    <row r="51" spans="1:10" x14ac:dyDescent="0.2">
      <c r="A51" s="1">
        <f>Prices!A37</f>
        <v>36281</v>
      </c>
      <c r="C51" s="16">
        <f>HLOOKUP(B$22,Prices!$C$8:$T$58,Prices!$B37,0)</f>
        <v>2.16</v>
      </c>
      <c r="E51" s="16">
        <f>HLOOKUP(D$22,Prices!$C$8:$T$58,Prices!$B37,0)</f>
        <v>2.23</v>
      </c>
      <c r="F51" s="17">
        <f t="shared" si="0"/>
        <v>6.999999999999984E-2</v>
      </c>
      <c r="H51" s="17">
        <f>IF(ISERROR(HLOOKUP(G$22,Tolls!$D$7:$R$58,Tolls!$B37,0)),"Not Available",HLOOKUP(G$22,Tolls!$D$7:$R$58,Tolls!$B37,0))</f>
        <v>0.49199999999999999</v>
      </c>
      <c r="J51" s="17">
        <f t="shared" si="1"/>
        <v>-0.42200000000000015</v>
      </c>
    </row>
    <row r="52" spans="1:10" x14ac:dyDescent="0.2">
      <c r="A52" s="1">
        <f>Prices!A38</f>
        <v>36312</v>
      </c>
      <c r="C52" s="16">
        <f>HLOOKUP(B$22,Prices!$C$8:$T$58,Prices!$B38,0)</f>
        <v>2.08</v>
      </c>
      <c r="E52" s="16">
        <f>HLOOKUP(D$22,Prices!$C$8:$T$58,Prices!$B38,0)</f>
        <v>2.2200000000000002</v>
      </c>
      <c r="F52" s="17">
        <f t="shared" si="0"/>
        <v>0.14000000000000012</v>
      </c>
      <c r="H52" s="17">
        <f>IF(ISERROR(HLOOKUP(G$22,Tolls!$D$7:$R$58,Tolls!$B38,0)),"Not Available",HLOOKUP(G$22,Tolls!$D$7:$R$58,Tolls!$B38,0))</f>
        <v>0.48799999999999999</v>
      </c>
      <c r="J52" s="17">
        <f t="shared" si="1"/>
        <v>-0.34799999999999986</v>
      </c>
    </row>
    <row r="53" spans="1:10" x14ac:dyDescent="0.2">
      <c r="A53" s="1">
        <f>Prices!A39</f>
        <v>36342</v>
      </c>
      <c r="C53" s="16">
        <f>HLOOKUP(B$22,Prices!$C$8:$T$58,Prices!$B39,0)</f>
        <v>2.17</v>
      </c>
      <c r="E53" s="16">
        <f>HLOOKUP(D$22,Prices!$C$8:$T$58,Prices!$B39,0)</f>
        <v>2.38</v>
      </c>
      <c r="F53" s="17">
        <f t="shared" si="0"/>
        <v>0.20999999999999996</v>
      </c>
      <c r="H53" s="17">
        <f>IF(ISERROR(HLOOKUP(G$22,Tolls!$D$7:$R$58,Tolls!$B39,0)),"Not Available",HLOOKUP(G$22,Tolls!$D$7:$R$58,Tolls!$B39,0))</f>
        <v>0.49249999999999999</v>
      </c>
      <c r="J53" s="17">
        <f t="shared" si="1"/>
        <v>-0.28250000000000003</v>
      </c>
    </row>
    <row r="54" spans="1:10" x14ac:dyDescent="0.2">
      <c r="A54" s="1">
        <f>Prices!A40</f>
        <v>36373</v>
      </c>
      <c r="C54" s="16">
        <f>HLOOKUP(B$22,Prices!$C$8:$T$58,Prices!$B40,0)</f>
        <v>2.4500000000000002</v>
      </c>
      <c r="E54" s="16">
        <f>HLOOKUP(D$22,Prices!$C$8:$T$58,Prices!$B40,0)</f>
        <v>2.59</v>
      </c>
      <c r="F54" s="17">
        <f t="shared" si="0"/>
        <v>0.13999999999999968</v>
      </c>
      <c r="H54" s="17">
        <f>IF(ISERROR(HLOOKUP(G$22,Tolls!$D$7:$R$58,Tolls!$B40,0)),"Not Available",HLOOKUP(G$22,Tolls!$D$7:$R$58,Tolls!$B40,0))</f>
        <v>0.50650000000000006</v>
      </c>
      <c r="J54" s="17">
        <f t="shared" si="1"/>
        <v>-0.36650000000000038</v>
      </c>
    </row>
    <row r="55" spans="1:10" x14ac:dyDescent="0.2">
      <c r="A55" s="1">
        <f>Prices!A41</f>
        <v>36404</v>
      </c>
      <c r="C55" s="16">
        <f>HLOOKUP(B$22,Prices!$C$8:$T$58,Prices!$B41,0)</f>
        <v>2.77</v>
      </c>
      <c r="E55" s="16">
        <f>HLOOKUP(D$22,Prices!$C$8:$T$58,Prices!$B41,0)</f>
        <v>2.93</v>
      </c>
      <c r="F55" s="17">
        <f t="shared" si="0"/>
        <v>0.16000000000000014</v>
      </c>
      <c r="H55" s="17">
        <f>IF(ISERROR(HLOOKUP(G$22,Tolls!$D$7:$R$58,Tolls!$B41,0)),"Not Available",HLOOKUP(G$22,Tolls!$D$7:$R$58,Tolls!$B41,0))</f>
        <v>0.52249999999999996</v>
      </c>
      <c r="J55" s="17">
        <f t="shared" si="1"/>
        <v>-0.36249999999999982</v>
      </c>
    </row>
    <row r="56" spans="1:10" x14ac:dyDescent="0.2">
      <c r="A56" s="1">
        <f>Prices!A42</f>
        <v>36434</v>
      </c>
      <c r="C56" s="16">
        <f>HLOOKUP(B$22,Prices!$C$8:$T$58,Prices!$B42,0)</f>
        <v>2.4700000000000002</v>
      </c>
      <c r="E56" s="16">
        <f>HLOOKUP(D$22,Prices!$C$8:$T$58,Prices!$B42,0)</f>
        <v>2.7</v>
      </c>
      <c r="F56" s="17">
        <f t="shared" si="0"/>
        <v>0.22999999999999998</v>
      </c>
      <c r="H56" s="17">
        <f>IF(ISERROR(HLOOKUP(G$22,Tolls!$D$7:$R$58,Tolls!$B42,0)),"Not Available",HLOOKUP(G$22,Tolls!$D$7:$R$58,Tolls!$B42,0))</f>
        <v>0.50750000000000006</v>
      </c>
      <c r="J56" s="17">
        <f t="shared" si="1"/>
        <v>-0.27750000000000008</v>
      </c>
    </row>
    <row r="57" spans="1:10" x14ac:dyDescent="0.2">
      <c r="A57" s="1">
        <f>Prices!A43</f>
        <v>36465</v>
      </c>
      <c r="C57" s="16">
        <f>HLOOKUP(B$22,Prices!$C$8:$T$58,Prices!$B43,0)</f>
        <v>2.88</v>
      </c>
      <c r="E57" s="16">
        <f>HLOOKUP(D$22,Prices!$C$8:$T$58,Prices!$B43,0)</f>
        <v>3.06</v>
      </c>
      <c r="F57" s="17">
        <f t="shared" si="0"/>
        <v>0.18000000000000016</v>
      </c>
      <c r="H57" s="17">
        <f>IF(ISERROR(HLOOKUP(G$22,Tolls!$D$7:$R$58,Tolls!$B43,0)),"Not Available",HLOOKUP(G$22,Tolls!$D$7:$R$58,Tolls!$B43,0))</f>
        <v>0.52800000000000002</v>
      </c>
      <c r="J57" s="17">
        <f t="shared" si="1"/>
        <v>-0.34799999999999986</v>
      </c>
    </row>
    <row r="58" spans="1:10" x14ac:dyDescent="0.2">
      <c r="A58" s="1">
        <f>Prices!A44</f>
        <v>36495</v>
      </c>
      <c r="C58" s="16">
        <f>HLOOKUP(B$22,Prices!$C$8:$T$58,Prices!$B44,0)</f>
        <v>2.09</v>
      </c>
      <c r="E58" s="16">
        <f>HLOOKUP(D$22,Prices!$C$8:$T$58,Prices!$B44,0)</f>
        <v>2.41</v>
      </c>
      <c r="F58" s="17">
        <f t="shared" si="0"/>
        <v>0.32000000000000028</v>
      </c>
      <c r="H58" s="17">
        <f>IF(ISERROR(HLOOKUP(G$22,Tolls!$D$7:$R$58,Tolls!$B44,0)),"Not Available",HLOOKUP(G$22,Tolls!$D$7:$R$58,Tolls!$B44,0))</f>
        <v>0.48849999999999999</v>
      </c>
      <c r="J58" s="17">
        <f t="shared" si="1"/>
        <v>-0.16849999999999971</v>
      </c>
    </row>
    <row r="59" spans="1:10" x14ac:dyDescent="0.2">
      <c r="A59" s="1">
        <f>Prices!A45</f>
        <v>36526</v>
      </c>
      <c r="C59" s="16">
        <f>HLOOKUP(B$22,Prices!$C$8:$T$58,Prices!$B45,0)</f>
        <v>2.1800000000000002</v>
      </c>
      <c r="E59" s="16">
        <f>HLOOKUP(D$22,Prices!$C$8:$T$58,Prices!$B45,0)</f>
        <v>2.38</v>
      </c>
      <c r="F59" s="17">
        <f t="shared" si="0"/>
        <v>0.19999999999999973</v>
      </c>
      <c r="H59" s="17">
        <f>IF(ISERROR(HLOOKUP(G$22,Tolls!$D$7:$R$58,Tolls!$B45,0)),"Not Available",HLOOKUP(G$22,Tolls!$D$7:$R$58,Tolls!$B45,0))</f>
        <v>0.49299999999999999</v>
      </c>
      <c r="J59" s="17">
        <f t="shared" si="1"/>
        <v>-0.29300000000000026</v>
      </c>
    </row>
    <row r="60" spans="1:10" x14ac:dyDescent="0.2">
      <c r="A60" s="1">
        <f>Prices!A46</f>
        <v>36557</v>
      </c>
      <c r="C60" s="16">
        <f>HLOOKUP(B$22,Prices!$C$8:$T$58,Prices!$B46,0)</f>
        <v>2.4300000000000002</v>
      </c>
      <c r="E60" s="16">
        <f>HLOOKUP(D$22,Prices!$C$8:$T$58,Prices!$B46,0)</f>
        <v>2.5499999999999998</v>
      </c>
      <c r="F60" s="17">
        <f t="shared" si="0"/>
        <v>0.11999999999999966</v>
      </c>
      <c r="H60" s="17">
        <f>IF(ISERROR(HLOOKUP(G$22,Tolls!$D$7:$R$58,Tolls!$B46,0)),"Not Available",HLOOKUP(G$22,Tolls!$D$7:$R$58,Tolls!$B46,0))</f>
        <v>0.50550000000000006</v>
      </c>
      <c r="J60" s="17">
        <f t="shared" si="1"/>
        <v>-0.3855000000000004</v>
      </c>
    </row>
    <row r="61" spans="1:10" x14ac:dyDescent="0.2">
      <c r="A61" s="1">
        <f>Prices!A47</f>
        <v>36586</v>
      </c>
      <c r="C61" s="16">
        <f>HLOOKUP(B$22,Prices!$C$8:$T$58,Prices!$B47,0)</f>
        <v>2.41</v>
      </c>
      <c r="E61" s="16">
        <f>HLOOKUP(D$22,Prices!$C$8:$T$58,Prices!$B47,0)</f>
        <v>2.58</v>
      </c>
      <c r="F61" s="17">
        <f t="shared" si="0"/>
        <v>0.16999999999999993</v>
      </c>
      <c r="H61" s="17">
        <f>IF(ISERROR(HLOOKUP(G$22,Tolls!$D$7:$R$58,Tolls!$B47,0)),"Not Available",HLOOKUP(G$22,Tolls!$D$7:$R$58,Tolls!$B47,0))</f>
        <v>0.50450000000000006</v>
      </c>
      <c r="J61" s="17">
        <f t="shared" si="1"/>
        <v>-0.33450000000000013</v>
      </c>
    </row>
    <row r="62" spans="1:10" x14ac:dyDescent="0.2">
      <c r="A62" s="1">
        <f>Prices!A48</f>
        <v>36617</v>
      </c>
      <c r="C62" s="16">
        <f>HLOOKUP(B$22,Prices!$C$8:$T$58,Prices!$B48,0)</f>
        <v>2.79</v>
      </c>
      <c r="E62" s="16">
        <f>HLOOKUP(D$22,Prices!$C$8:$T$58,Prices!$B48,0)</f>
        <v>3.04</v>
      </c>
      <c r="F62" s="17">
        <f t="shared" si="0"/>
        <v>0.25</v>
      </c>
      <c r="H62" s="17">
        <f>IF(ISERROR(HLOOKUP(G$22,Tolls!$D$7:$R$58,Tolls!$B48,0)),"Not Available",HLOOKUP(G$22,Tolls!$D$7:$R$58,Tolls!$B48,0))</f>
        <v>0.52350000000000008</v>
      </c>
      <c r="J62" s="17">
        <f t="shared" si="1"/>
        <v>-0.27350000000000008</v>
      </c>
    </row>
    <row r="63" spans="1:10" x14ac:dyDescent="0.2">
      <c r="A63" s="1">
        <f>Prices!A49</f>
        <v>36647</v>
      </c>
      <c r="C63" s="16">
        <f>HLOOKUP(B$22,Prices!$C$8:$T$58,Prices!$B49,0)</f>
        <v>2.89</v>
      </c>
      <c r="E63" s="16">
        <f>HLOOKUP(D$22,Prices!$C$8:$T$58,Prices!$B49,0)</f>
        <v>3.04</v>
      </c>
      <c r="F63" s="17">
        <f t="shared" si="0"/>
        <v>0.14999999999999991</v>
      </c>
      <c r="H63" s="17">
        <f>IF(ISERROR(HLOOKUP(G$22,Tolls!$D$7:$R$58,Tolls!$B49,0)),"Not Available",HLOOKUP(G$22,Tolls!$D$7:$R$58,Tolls!$B49,0))</f>
        <v>0.52849999999999997</v>
      </c>
      <c r="J63" s="17">
        <f t="shared" si="1"/>
        <v>-0.37850000000000006</v>
      </c>
    </row>
    <row r="64" spans="1:10" x14ac:dyDescent="0.2">
      <c r="A64" s="1">
        <f>Prices!A50</f>
        <v>36678</v>
      </c>
      <c r="C64" s="16">
        <f>HLOOKUP(B$22,Prices!$C$8:$T$58,Prices!$B50,0)</f>
        <v>4.12</v>
      </c>
      <c r="E64" s="16">
        <f>HLOOKUP(D$22,Prices!$C$8:$T$58,Prices!$B50,0)</f>
        <v>4.3099999999999996</v>
      </c>
      <c r="F64" s="17">
        <f t="shared" si="0"/>
        <v>0.1899999999999995</v>
      </c>
      <c r="H64" s="17">
        <f>IF(ISERROR(HLOOKUP(G$22,Tolls!$D$7:$R$58,Tolls!$B50,0)),"Not Available",HLOOKUP(G$22,Tolls!$D$7:$R$58,Tolls!$B50,0))</f>
        <v>0.59000000000000008</v>
      </c>
      <c r="J64" s="17">
        <f t="shared" si="1"/>
        <v>-0.40000000000000058</v>
      </c>
    </row>
    <row r="65" spans="1:10" x14ac:dyDescent="0.2">
      <c r="A65" s="1">
        <f>Prices!A51</f>
        <v>36708</v>
      </c>
      <c r="C65" s="16">
        <f>HLOOKUP(B$22,Prices!$C$8:$T$58,Prices!$B51,0)</f>
        <v>4.3600000000000003</v>
      </c>
      <c r="E65" s="16">
        <f>HLOOKUP(D$22,Prices!$C$8:$T$58,Prices!$B51,0)</f>
        <v>4.9000000000000004</v>
      </c>
      <c r="F65" s="17">
        <f t="shared" si="0"/>
        <v>0.54</v>
      </c>
      <c r="H65" s="17">
        <f>IF(ISERROR(HLOOKUP(G$22,Tolls!$D$7:$R$58,Tolls!$B51,0)),"Not Available",HLOOKUP(G$22,Tolls!$D$7:$R$58,Tolls!$B51,0))</f>
        <v>0.60200000000000009</v>
      </c>
      <c r="J65" s="17">
        <f t="shared" si="1"/>
        <v>-6.2000000000000055E-2</v>
      </c>
    </row>
    <row r="66" spans="1:10" x14ac:dyDescent="0.2">
      <c r="A66" s="1">
        <f>Prices!A52</f>
        <v>36739</v>
      </c>
      <c r="C66" s="16">
        <f>HLOOKUP(B$22,Prices!$C$8:$T$58,Prices!$B52,0)</f>
        <v>3.8</v>
      </c>
      <c r="E66" s="16">
        <f>HLOOKUP(D$22,Prices!$C$8:$T$58,Prices!$B52,0)</f>
        <v>4.5599999999999996</v>
      </c>
      <c r="F66" s="17">
        <f t="shared" si="0"/>
        <v>0.75999999999999979</v>
      </c>
      <c r="H66" s="17">
        <f>IF(ISERROR(HLOOKUP(G$22,Tolls!$D$7:$R$58,Tolls!$B52,0)),"Not Available",HLOOKUP(G$22,Tolls!$D$7:$R$58,Tolls!$B52,0))</f>
        <v>0.57400000000000007</v>
      </c>
      <c r="J66" s="17">
        <f t="shared" si="1"/>
        <v>0.18599999999999972</v>
      </c>
    </row>
    <row r="67" spans="1:10" x14ac:dyDescent="0.2">
      <c r="A67" s="1">
        <f>Prices!A53</f>
        <v>36770</v>
      </c>
      <c r="C67" s="16">
        <f>HLOOKUP(B$22,Prices!$C$8:$T$58,Prices!$B53,0)</f>
        <v>4.51</v>
      </c>
      <c r="E67" s="16">
        <f>HLOOKUP(D$22,Prices!$C$8:$T$58,Prices!$B53,0)</f>
        <v>7</v>
      </c>
      <c r="F67" s="17">
        <f t="shared" si="0"/>
        <v>2.4900000000000002</v>
      </c>
      <c r="H67" s="17">
        <f>IF(ISERROR(HLOOKUP(G$22,Tolls!$D$7:$R$58,Tolls!$B53,0)),"Not Available",HLOOKUP(G$22,Tolls!$D$7:$R$58,Tolls!$B53,0))</f>
        <v>0.60950000000000004</v>
      </c>
      <c r="J67" s="17">
        <f t="shared" si="1"/>
        <v>1.8805000000000001</v>
      </c>
    </row>
    <row r="68" spans="1:10" x14ac:dyDescent="0.2">
      <c r="A68" s="1">
        <f>Prices!A54</f>
        <v>36800</v>
      </c>
      <c r="C68" s="16">
        <f>HLOOKUP(B$22,Prices!$C$8:$T$58,Prices!$B54,0)</f>
        <v>5.17</v>
      </c>
      <c r="E68" s="16">
        <f>HLOOKUP(D$22,Prices!$C$8:$T$58,Prices!$B54,0)</f>
        <v>5.57</v>
      </c>
      <c r="F68" s="17">
        <f t="shared" si="0"/>
        <v>0.40000000000000036</v>
      </c>
      <c r="H68" s="17">
        <f>IF(ISERROR(HLOOKUP(G$22,Tolls!$D$7:$R$58,Tolls!$B54,0)),"Not Available",HLOOKUP(G$22,Tolls!$D$7:$R$58,Tolls!$B54,0))</f>
        <v>0.64250000000000007</v>
      </c>
      <c r="J68" s="17">
        <f t="shared" si="1"/>
        <v>-0.24249999999999972</v>
      </c>
    </row>
    <row r="69" spans="1:10" x14ac:dyDescent="0.2">
      <c r="A69" s="1">
        <f>Prices!A55</f>
        <v>36831</v>
      </c>
      <c r="C69" s="16">
        <f>HLOOKUP(B$22,Prices!$C$8:$T$58,Prices!$B55,0)</f>
        <v>4.46</v>
      </c>
      <c r="E69" s="16">
        <f>HLOOKUP(D$22,Prices!$C$8:$T$58,Prices!$B55,0)</f>
        <v>5.2</v>
      </c>
      <c r="F69" s="17">
        <f t="shared" si="0"/>
        <v>0.74000000000000021</v>
      </c>
      <c r="H69" s="17">
        <f>IF(ISERROR(HLOOKUP(G$22,Tolls!$D$7:$R$58,Tolls!$B55,0)),"Not Available",HLOOKUP(G$22,Tolls!$D$7:$R$58,Tolls!$B55,0))</f>
        <v>0.60699999999999998</v>
      </c>
      <c r="J69" s="17">
        <f t="shared" si="1"/>
        <v>0.13300000000000023</v>
      </c>
    </row>
    <row r="70" spans="1:10" x14ac:dyDescent="0.2">
      <c r="A70" s="1">
        <f>Prices!A56</f>
        <v>36861</v>
      </c>
      <c r="C70" s="16">
        <f>HLOOKUP(B$22,Prices!$C$8:$T$58,Prices!$B56,0)</f>
        <v>6.31</v>
      </c>
      <c r="E70" s="16">
        <f>HLOOKUP(D$22,Prices!$C$8:$T$58,Prices!$B56,0)</f>
        <v>13.81</v>
      </c>
      <c r="F70" s="17">
        <f t="shared" si="0"/>
        <v>7.5000000000000009</v>
      </c>
      <c r="H70" s="17">
        <f>IF(ISERROR(HLOOKUP(G$22,Tolls!$D$7:$R$58,Tolls!$B56,0)),"Not Available",HLOOKUP(G$22,Tolls!$D$7:$R$58,Tolls!$B56,0))</f>
        <v>0.69950000000000001</v>
      </c>
      <c r="J70" s="17">
        <f t="shared" si="1"/>
        <v>6.8005000000000013</v>
      </c>
    </row>
    <row r="71" spans="1:10" x14ac:dyDescent="0.2">
      <c r="A71" s="1">
        <f>Prices!A57</f>
        <v>36892</v>
      </c>
      <c r="C71" s="16">
        <f>HLOOKUP(B$22,Prices!$C$8:$T$58,Prices!$B57,0)</f>
        <v>9.9499999999999993</v>
      </c>
      <c r="E71" s="16">
        <f>HLOOKUP(D$22,Prices!$C$8:$T$58,Prices!$B57,0)</f>
        <v>16.13</v>
      </c>
      <c r="F71" s="17">
        <f t="shared" si="0"/>
        <v>6.18</v>
      </c>
      <c r="H71" s="17">
        <f>IF(ISERROR(HLOOKUP(G$22,Tolls!$D$7:$R$58,Tolls!$B57,0)),"Not Available",HLOOKUP(G$22,Tolls!$D$7:$R$58,Tolls!$B57,0))</f>
        <v>0.88149999999999995</v>
      </c>
      <c r="J71" s="17">
        <f t="shared" si="1"/>
        <v>5.2984999999999998</v>
      </c>
    </row>
    <row r="72" spans="1:10" x14ac:dyDescent="0.2">
      <c r="A72" s="1">
        <f>Prices!A58</f>
        <v>36923</v>
      </c>
      <c r="C72" s="16">
        <f>HLOOKUP(B$22,Prices!$C$8:$T$58,Prices!$B58,0)</f>
        <v>6.9</v>
      </c>
      <c r="E72" s="16">
        <f>HLOOKUP(D$22,Prices!$C$8:$T$58,Prices!$B58,0)</f>
        <v>12.57</v>
      </c>
      <c r="F72" s="17">
        <f t="shared" si="0"/>
        <v>5.67</v>
      </c>
      <c r="H72" s="17">
        <f>IF(ISERROR(HLOOKUP(G$22,Tolls!$D$7:$R$58,Tolls!$B58,0)),"Not Available",HLOOKUP(G$22,Tolls!$D$7:$R$58,Tolls!$B58,0))</f>
        <v>0.72900000000000009</v>
      </c>
      <c r="J72" s="17">
        <f t="shared" si="1"/>
        <v>4.9409999999999998</v>
      </c>
    </row>
    <row r="73" spans="1:10" x14ac:dyDescent="0.2">
      <c r="A73" s="1"/>
    </row>
    <row r="74" spans="1:10" x14ac:dyDescent="0.2">
      <c r="A74" s="1"/>
    </row>
    <row r="75" spans="1:10" x14ac:dyDescent="0.2">
      <c r="A75" s="1"/>
    </row>
    <row r="76" spans="1:10" x14ac:dyDescent="0.2">
      <c r="A76" s="1"/>
    </row>
    <row r="77" spans="1:10" x14ac:dyDescent="0.2">
      <c r="A77" s="1"/>
    </row>
    <row r="78" spans="1:10" x14ac:dyDescent="0.2">
      <c r="A78" s="1"/>
    </row>
    <row r="79" spans="1:10" x14ac:dyDescent="0.2">
      <c r="A79" s="1"/>
    </row>
    <row r="80" spans="1:10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</sheetData>
  <phoneticPr fontId="0" type="noConversion"/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Drop Down 2">
              <controlPr defaultSize="0" autoLine="0" autoPict="0">
                <anchor moveWithCells="1">
                  <from>
                    <xdr:col>2</xdr:col>
                    <xdr:colOff>95250</xdr:colOff>
                    <xdr:row>20</xdr:row>
                    <xdr:rowOff>28575</xdr:rowOff>
                  </from>
                  <to>
                    <xdr:col>2</xdr:col>
                    <xdr:colOff>2209800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Drop Down 3">
              <controlPr defaultSize="0" autoLine="0" autoPict="0">
                <anchor moveWithCells="1">
                  <from>
                    <xdr:col>4</xdr:col>
                    <xdr:colOff>66675</xdr:colOff>
                    <xdr:row>20</xdr:row>
                    <xdr:rowOff>19050</xdr:rowOff>
                  </from>
                  <to>
                    <xdr:col>4</xdr:col>
                    <xdr:colOff>2219325</xdr:colOff>
                    <xdr:row>20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7"/>
  <sheetViews>
    <sheetView showGridLines="0" workbookViewId="0">
      <selection activeCell="H21" sqref="H21"/>
    </sheetView>
  </sheetViews>
  <sheetFormatPr defaultRowHeight="12.75" x14ac:dyDescent="0.2"/>
  <cols>
    <col min="2" max="2" width="6.83203125" hidden="1" customWidth="1"/>
    <col min="3" max="3" width="39.33203125" customWidth="1"/>
    <col min="4" max="4" width="6.83203125" hidden="1" customWidth="1"/>
    <col min="5" max="5" width="39.6640625" customWidth="1"/>
    <col min="6" max="6" width="23" customWidth="1"/>
    <col min="7" max="7" width="6.83203125" hidden="1" customWidth="1"/>
    <col min="8" max="8" width="13.5" customWidth="1"/>
    <col min="10" max="10" width="15" customWidth="1"/>
  </cols>
  <sheetData>
    <row r="1" spans="1:1" s="22" customFormat="1" ht="18" x14ac:dyDescent="0.25">
      <c r="A1" s="22" t="s">
        <v>25</v>
      </c>
    </row>
    <row r="20" spans="1:10" x14ac:dyDescent="0.2">
      <c r="C20" s="4" t="s">
        <v>11</v>
      </c>
      <c r="D20" s="4"/>
      <c r="E20" s="4" t="s">
        <v>12</v>
      </c>
      <c r="G20" s="4"/>
    </row>
    <row r="21" spans="1:10" ht="18.75" customHeight="1" x14ac:dyDescent="0.2">
      <c r="F21" s="3" t="str">
        <f>HLOOKUP(B22,Prices!$C$5:$N$6,2,0)&amp;"/"&amp;HLOOKUP(D22,Prices!$C$5:$N$6,2,0)&amp;" Spread"</f>
        <v>OPAL/PG&amp;E Spread</v>
      </c>
      <c r="H21" s="4" t="str">
        <f>HLOOKUP(G22,Tolls!$D$7:$P$8,2,0)&amp;" Toll"</f>
        <v>Kern/PG&amp;E Toll</v>
      </c>
      <c r="J21" s="4" t="s">
        <v>24</v>
      </c>
    </row>
    <row r="22" spans="1:10" x14ac:dyDescent="0.2">
      <c r="B22" s="13">
        <v>2</v>
      </c>
      <c r="D22" s="13">
        <v>4</v>
      </c>
      <c r="G22" s="13">
        <f>B22*1000+D22</f>
        <v>2004</v>
      </c>
    </row>
    <row r="23" spans="1:10" x14ac:dyDescent="0.2">
      <c r="A23" s="1">
        <f>Prices!A9</f>
        <v>35431</v>
      </c>
      <c r="C23" s="23">
        <f>HLOOKUP(B$22,Prices!$C$8:$T$58,Prices!$B9,0)</f>
        <v>4.25</v>
      </c>
      <c r="E23" s="23">
        <f>HLOOKUP(D$22,Prices!$C$8:$T$58,Prices!$B9,0)</f>
        <v>4.1749999999999998</v>
      </c>
      <c r="F23" s="17">
        <f t="shared" ref="F23:F54" si="0">E23-C23</f>
        <v>-7.5000000000000178E-2</v>
      </c>
      <c r="H23" s="17">
        <f>IF(ISERROR(HLOOKUP(G$22,Tolls!$D$7:$R$58,Tolls!$B9,0)),"Not Available",HLOOKUP(G$22,Tolls!$D$7:$R$58,Tolls!$B9,0))</f>
        <v>0.92674749999999995</v>
      </c>
      <c r="J23" s="17">
        <f t="shared" ref="J23:J54" si="1">F23-H23</f>
        <v>-1.0017475</v>
      </c>
    </row>
    <row r="24" spans="1:10" x14ac:dyDescent="0.2">
      <c r="A24" s="1">
        <f>Prices!A10</f>
        <v>35462</v>
      </c>
      <c r="C24" s="23">
        <f>HLOOKUP(B$22,Prices!$C$8:$T$58,Prices!$B10,0)</f>
        <v>2.5299999999999998</v>
      </c>
      <c r="E24" s="23">
        <f>HLOOKUP(D$22,Prices!$C$8:$T$58,Prices!$B10,0)</f>
        <v>2.8010574620909821</v>
      </c>
      <c r="F24" s="17">
        <f t="shared" si="0"/>
        <v>0.27105746209098225</v>
      </c>
      <c r="H24" s="17">
        <f>IF(ISERROR(HLOOKUP(G$22,Tolls!$D$7:$R$58,Tolls!$B10,0)),"Not Available",HLOOKUP(G$22,Tolls!$D$7:$R$58,Tolls!$B10,0))</f>
        <v>0.87937248723064632</v>
      </c>
      <c r="J24" s="17">
        <f t="shared" si="1"/>
        <v>-0.60831502513966407</v>
      </c>
    </row>
    <row r="25" spans="1:10" x14ac:dyDescent="0.2">
      <c r="A25" s="1">
        <f>Prices!A11</f>
        <v>35490</v>
      </c>
      <c r="C25" s="23">
        <f>HLOOKUP(B$22,Prices!$C$8:$T$58,Prices!$B11,0)</f>
        <v>1.39</v>
      </c>
      <c r="E25" s="23">
        <f>HLOOKUP(D$22,Prices!$C$8:$T$58,Prices!$B11,0)</f>
        <v>1.6951351351351354</v>
      </c>
      <c r="F25" s="17">
        <f t="shared" si="0"/>
        <v>0.30513513513513546</v>
      </c>
      <c r="H25" s="17">
        <f>IF(ISERROR(HLOOKUP(G$22,Tolls!$D$7:$R$58,Tolls!$B11,0)),"Not Available",HLOOKUP(G$22,Tolls!$D$7:$R$58,Tolls!$B11,0))</f>
        <v>0.84529735135135131</v>
      </c>
      <c r="J25" s="17">
        <f t="shared" si="1"/>
        <v>-0.54016221621621585</v>
      </c>
    </row>
    <row r="26" spans="1:10" x14ac:dyDescent="0.2">
      <c r="A26" s="1">
        <f>Prices!A12</f>
        <v>35521</v>
      </c>
      <c r="C26" s="23">
        <f>HLOOKUP(B$22,Prices!$C$8:$T$58,Prices!$B12,0)</f>
        <v>1.44</v>
      </c>
      <c r="E26" s="23">
        <f>HLOOKUP(D$22,Prices!$C$8:$T$58,Prices!$B12,0)</f>
        <v>2.1314212827988337</v>
      </c>
      <c r="F26" s="17">
        <f t="shared" si="0"/>
        <v>0.69142128279883375</v>
      </c>
      <c r="H26" s="17">
        <f>IF(ISERROR(HLOOKUP(G$22,Tolls!$D$7:$R$58,Tolls!$B12,0)),"Not Available",HLOOKUP(G$22,Tolls!$D$7:$R$58,Tolls!$B12,0))</f>
        <v>0.85210447157434399</v>
      </c>
      <c r="J26" s="17">
        <f t="shared" si="1"/>
        <v>-0.16068318877551024</v>
      </c>
    </row>
    <row r="27" spans="1:10" x14ac:dyDescent="0.2">
      <c r="A27" s="1">
        <f>Prices!A13</f>
        <v>35551</v>
      </c>
      <c r="C27" s="23">
        <f>HLOOKUP(B$22,Prices!$C$8:$T$58,Prices!$B13,0)</f>
        <v>1.64</v>
      </c>
      <c r="E27" s="23">
        <f>HLOOKUP(D$22,Prices!$C$8:$T$58,Prices!$B13,0)</f>
        <v>2.1165408057083388</v>
      </c>
      <c r="F27" s="17">
        <f t="shared" si="0"/>
        <v>0.4765408057083389</v>
      </c>
      <c r="H27" s="17">
        <f>IF(ISERROR(HLOOKUP(G$22,Tolls!$D$7:$R$58,Tolls!$B13,0)),"Not Available",HLOOKUP(G$22,Tolls!$D$7:$R$58,Tolls!$B13,0))</f>
        <v>0.85522060903820418</v>
      </c>
      <c r="J27" s="17">
        <f t="shared" si="1"/>
        <v>-0.37867980332986528</v>
      </c>
    </row>
    <row r="28" spans="1:10" x14ac:dyDescent="0.2">
      <c r="A28" s="1">
        <f>Prices!A14</f>
        <v>35582</v>
      </c>
      <c r="C28" s="23">
        <f>HLOOKUP(B$22,Prices!$C$8:$T$58,Prices!$B14,0)</f>
        <v>1.47</v>
      </c>
      <c r="E28" s="23">
        <f>HLOOKUP(D$22,Prices!$C$8:$T$58,Prices!$B14,0)</f>
        <v>2.2310123456790123</v>
      </c>
      <c r="F28" s="17">
        <f t="shared" si="0"/>
        <v>0.76101234567901233</v>
      </c>
      <c r="H28" s="17">
        <f>IF(ISERROR(HLOOKUP(G$22,Tolls!$D$7:$R$58,Tolls!$B14,0)),"Not Available",HLOOKUP(G$22,Tolls!$D$7:$R$58,Tolls!$B14,0))</f>
        <v>0.85396686913580244</v>
      </c>
      <c r="J28" s="17">
        <f t="shared" si="1"/>
        <v>-9.2954523456790117E-2</v>
      </c>
    </row>
    <row r="29" spans="1:10" x14ac:dyDescent="0.2">
      <c r="A29" s="1">
        <f>Prices!A15</f>
        <v>35612</v>
      </c>
      <c r="C29" s="23">
        <f>HLOOKUP(B$22,Prices!$C$8:$T$58,Prices!$B15,0)</f>
        <v>1.43</v>
      </c>
      <c r="E29" s="23">
        <f>HLOOKUP(D$22,Prices!$C$8:$T$58,Prices!$B15,0)</f>
        <v>2.0237718743411341</v>
      </c>
      <c r="F29" s="17">
        <f t="shared" si="0"/>
        <v>0.59377187434113421</v>
      </c>
      <c r="H29" s="17">
        <f>IF(ISERROR(HLOOKUP(G$22,Tolls!$D$7:$R$58,Tolls!$B15,0)),"Not Available",HLOOKUP(G$22,Tolls!$D$7:$R$58,Tolls!$B15,0))</f>
        <v>0.8504636746784735</v>
      </c>
      <c r="J29" s="17">
        <f t="shared" si="1"/>
        <v>-0.25669180033733929</v>
      </c>
    </row>
    <row r="30" spans="1:10" x14ac:dyDescent="0.2">
      <c r="A30" s="1">
        <f>Prices!A16</f>
        <v>35643</v>
      </c>
      <c r="C30" s="23">
        <f>HLOOKUP(B$22,Prices!$C$8:$T$58,Prices!$B16,0)</f>
        <v>1.37</v>
      </c>
      <c r="E30" s="23">
        <f>HLOOKUP(D$22,Prices!$C$8:$T$58,Prices!$B16,0)</f>
        <v>2.105892738616753</v>
      </c>
      <c r="F30" s="17">
        <f t="shared" si="0"/>
        <v>0.73589273861675286</v>
      </c>
      <c r="H30" s="17">
        <f>IF(ISERROR(HLOOKUP(G$22,Tolls!$D$7:$R$58,Tolls!$B16,0)),"Not Available",HLOOKUP(G$22,Tolls!$D$7:$R$58,Tolls!$B16,0))</f>
        <v>0.85059273051904949</v>
      </c>
      <c r="J30" s="17">
        <f t="shared" si="1"/>
        <v>-0.11469999190229663</v>
      </c>
    </row>
    <row r="31" spans="1:10" x14ac:dyDescent="0.2">
      <c r="A31" s="1">
        <f>Prices!A17</f>
        <v>35674</v>
      </c>
      <c r="C31" s="23">
        <f>HLOOKUP(B$22,Prices!$C$8:$T$58,Prices!$B17,0)</f>
        <v>1.48</v>
      </c>
      <c r="E31" s="23">
        <f>HLOOKUP(D$22,Prices!$C$8:$T$58,Prices!$B17,0)</f>
        <v>2.117657989228007</v>
      </c>
      <c r="F31" s="17">
        <f t="shared" si="0"/>
        <v>0.63765798922800698</v>
      </c>
      <c r="H31" s="17">
        <f>IF(ISERROR(HLOOKUP(G$22,Tolls!$D$7:$R$58,Tolls!$B17,0)),"Not Available",HLOOKUP(G$22,Tolls!$D$7:$R$58,Tolls!$B17,0))</f>
        <v>0.85257991445242365</v>
      </c>
      <c r="J31" s="17">
        <f t="shared" si="1"/>
        <v>-0.21492192522441667</v>
      </c>
    </row>
    <row r="32" spans="1:10" x14ac:dyDescent="0.2">
      <c r="A32" s="1">
        <f>Prices!A18</f>
        <v>35704</v>
      </c>
      <c r="C32" s="23">
        <f>HLOOKUP(B$22,Prices!$C$8:$T$58,Prices!$B18,0)</f>
        <v>2.09</v>
      </c>
      <c r="E32" s="23">
        <f>HLOOKUP(D$22,Prices!$C$8:$T$58,Prices!$B18,0)</f>
        <v>3.2222963939654119</v>
      </c>
      <c r="F32" s="17">
        <f t="shared" si="0"/>
        <v>1.132296393965412</v>
      </c>
      <c r="H32" s="17">
        <f>IF(ISERROR(HLOOKUP(G$22,Tolls!$D$7:$R$58,Tolls!$B18,0)),"Not Available",HLOOKUP(G$22,Tolls!$D$7:$R$58,Tolls!$B18,0))</f>
        <v>0.87783946059732609</v>
      </c>
      <c r="J32" s="17">
        <f t="shared" si="1"/>
        <v>0.25445693336808595</v>
      </c>
    </row>
    <row r="33" spans="1:10" x14ac:dyDescent="0.2">
      <c r="A33" s="1">
        <f>Prices!A19</f>
        <v>35735</v>
      </c>
      <c r="C33" s="23">
        <f>HLOOKUP(B$22,Prices!$C$8:$T$58,Prices!$B19,0)</f>
        <v>3</v>
      </c>
      <c r="E33" s="23">
        <f>HLOOKUP(D$22,Prices!$C$8:$T$58,Prices!$B19,0)</f>
        <v>2.7850877192982448</v>
      </c>
      <c r="F33" s="17">
        <f t="shared" si="0"/>
        <v>-0.21491228070175517</v>
      </c>
      <c r="H33" s="17">
        <f>IF(ISERROR(HLOOKUP(G$22,Tolls!$D$7:$R$58,Tolls!$B19,0)),"Not Available",HLOOKUP(G$22,Tolls!$D$7:$R$58,Tolls!$B19,0))</f>
        <v>0.88695570175438587</v>
      </c>
      <c r="J33" s="17">
        <f t="shared" si="1"/>
        <v>-1.101867982456141</v>
      </c>
    </row>
    <row r="34" spans="1:10" x14ac:dyDescent="0.2">
      <c r="A34" s="1">
        <f>Prices!A20</f>
        <v>35765</v>
      </c>
      <c r="C34" s="23">
        <f>HLOOKUP(B$22,Prices!$C$8:$T$58,Prices!$B20,0)</f>
        <v>1.93</v>
      </c>
      <c r="E34" s="23">
        <f>HLOOKUP(D$22,Prices!$C$8:$T$58,Prices!$B20,0)</f>
        <v>2.2899596774193549</v>
      </c>
      <c r="F34" s="17">
        <f t="shared" si="0"/>
        <v>0.35995967741935497</v>
      </c>
      <c r="H34" s="17">
        <f>IF(ISERROR(HLOOKUP(G$22,Tolls!$D$7:$R$58,Tolls!$B20,0)),"Not Available",HLOOKUP(G$22,Tolls!$D$7:$R$58,Tolls!$B20,0))</f>
        <v>0.86241044758064511</v>
      </c>
      <c r="J34" s="17">
        <f t="shared" si="1"/>
        <v>-0.50245077016129014</v>
      </c>
    </row>
    <row r="35" spans="1:10" x14ac:dyDescent="0.2">
      <c r="A35" s="1">
        <f>Prices!A21</f>
        <v>35796</v>
      </c>
      <c r="C35" s="23">
        <f>HLOOKUP(B$22,Prices!$C$8:$T$58,Prices!$B21,0)</f>
        <v>2.04</v>
      </c>
      <c r="E35" s="23">
        <f>HLOOKUP(D$22,Prices!$C$8:$T$58,Prices!$B21,0)</f>
        <v>2.2888510638297874</v>
      </c>
      <c r="F35" s="17">
        <f t="shared" si="0"/>
        <v>0.24885106382978739</v>
      </c>
      <c r="H35" s="17">
        <f>IF(ISERROR(HLOOKUP(G$22,Tolls!$D$7:$R$58,Tolls!$B21,0)),"Not Available",HLOOKUP(G$22,Tolls!$D$7:$R$58,Tolls!$B21,0))</f>
        <v>0.86422125957446805</v>
      </c>
      <c r="J35" s="17">
        <f t="shared" si="1"/>
        <v>-0.61537019574468066</v>
      </c>
    </row>
    <row r="36" spans="1:10" x14ac:dyDescent="0.2">
      <c r="A36" s="1">
        <f>Prices!A22</f>
        <v>35827</v>
      </c>
      <c r="C36" s="23">
        <f>HLOOKUP(B$22,Prices!$C$8:$T$58,Prices!$B22,0)</f>
        <v>1.69</v>
      </c>
      <c r="E36" s="23">
        <f>HLOOKUP(D$22,Prices!$C$8:$T$58,Prices!$B22,0)</f>
        <v>2.0755186097427489</v>
      </c>
      <c r="F36" s="17">
        <f t="shared" si="0"/>
        <v>0.38551860974274899</v>
      </c>
      <c r="H36" s="17">
        <f>IF(ISERROR(HLOOKUP(G$22,Tolls!$D$7:$R$58,Tolls!$B22,0)),"Not Available",HLOOKUP(G$22,Tolls!$D$7:$R$58,Tolls!$B22,0))</f>
        <v>0.85548860495347556</v>
      </c>
      <c r="J36" s="17">
        <f t="shared" si="1"/>
        <v>-0.46996999521072658</v>
      </c>
    </row>
    <row r="37" spans="1:10" x14ac:dyDescent="0.2">
      <c r="A37" s="1">
        <f>Prices!A23</f>
        <v>35855</v>
      </c>
      <c r="C37" s="23">
        <f>HLOOKUP(B$22,Prices!$C$8:$T$58,Prices!$B23,0)</f>
        <v>1.88</v>
      </c>
      <c r="E37" s="23">
        <f>HLOOKUP(D$22,Prices!$C$8:$T$58,Prices!$B23,0)</f>
        <v>2.5052186878727638</v>
      </c>
      <c r="F37" s="17">
        <f t="shared" si="0"/>
        <v>0.62521868787276391</v>
      </c>
      <c r="H37" s="17">
        <f>IF(ISERROR(HLOOKUP(G$22,Tolls!$D$7:$R$58,Tolls!$B23,0)),"Not Available",HLOOKUP(G$22,Tolls!$D$7:$R$58,Tolls!$B23,0))</f>
        <v>0.86452949602385676</v>
      </c>
      <c r="J37" s="17">
        <f t="shared" si="1"/>
        <v>-0.23931080815109285</v>
      </c>
    </row>
    <row r="38" spans="1:10" x14ac:dyDescent="0.2">
      <c r="A38" s="1">
        <f>Prices!A24</f>
        <v>35886</v>
      </c>
      <c r="C38" s="23">
        <f>HLOOKUP(B$22,Prices!$C$8:$T$58,Prices!$B24,0)</f>
        <v>1.9</v>
      </c>
      <c r="E38" s="23">
        <f>HLOOKUP(D$22,Prices!$C$8:$T$58,Prices!$B24,0)</f>
        <v>2.2616385135135135</v>
      </c>
      <c r="F38" s="17">
        <f t="shared" si="0"/>
        <v>0.36163851351351362</v>
      </c>
      <c r="H38" s="17">
        <f>IF(ISERROR(HLOOKUP(G$22,Tolls!$D$7:$R$58,Tolls!$B24,0)),"Not Available",HLOOKUP(G$22,Tolls!$D$7:$R$58,Tolls!$B24,0))</f>
        <v>0.86152444763513514</v>
      </c>
      <c r="J38" s="17">
        <f t="shared" si="1"/>
        <v>-0.49988593412162152</v>
      </c>
    </row>
    <row r="39" spans="1:10" x14ac:dyDescent="0.2">
      <c r="A39" s="1">
        <f>Prices!A25</f>
        <v>35916</v>
      </c>
      <c r="C39" s="23">
        <f>HLOOKUP(B$22,Prices!$C$8:$T$58,Prices!$B25,0)</f>
        <v>1.97</v>
      </c>
      <c r="E39" s="23">
        <f>HLOOKUP(D$22,Prices!$C$8:$T$58,Prices!$B25,0)</f>
        <v>2.2549999999999999</v>
      </c>
      <c r="F39" s="17">
        <f t="shared" si="0"/>
        <v>0.28499999999999992</v>
      </c>
      <c r="H39" s="17">
        <f>IF(ISERROR(HLOOKUP(G$22,Tolls!$D$7:$R$58,Tolls!$B25,0)),"Not Available",HLOOKUP(G$22,Tolls!$D$7:$R$58,Tolls!$B25,0))</f>
        <v>0.86259549999999996</v>
      </c>
      <c r="J39" s="17">
        <f t="shared" si="1"/>
        <v>-0.57759550000000004</v>
      </c>
    </row>
    <row r="40" spans="1:10" x14ac:dyDescent="0.2">
      <c r="A40" s="1">
        <f>Prices!A26</f>
        <v>35947</v>
      </c>
      <c r="C40" s="23">
        <f>HLOOKUP(B$22,Prices!$C$8:$T$58,Prices!$B26,0)</f>
        <v>1.65</v>
      </c>
      <c r="E40" s="23">
        <f>HLOOKUP(D$22,Prices!$C$8:$T$58,Prices!$B26,0)</f>
        <v>2.075333333333333</v>
      </c>
      <c r="F40" s="17">
        <f t="shared" si="0"/>
        <v>0.42533333333333312</v>
      </c>
      <c r="H40" s="17">
        <f>IF(ISERROR(HLOOKUP(G$22,Tolls!$D$7:$R$58,Tolls!$B26,0)),"Not Available",HLOOKUP(G$22,Tolls!$D$7:$R$58,Tolls!$B26,0))</f>
        <v>0.8548220666666666</v>
      </c>
      <c r="J40" s="17">
        <f t="shared" si="1"/>
        <v>-0.42948873333333348</v>
      </c>
    </row>
    <row r="41" spans="1:10" x14ac:dyDescent="0.2">
      <c r="A41" s="1">
        <f>Prices!A27</f>
        <v>35977</v>
      </c>
      <c r="C41" s="23">
        <f>HLOOKUP(B$22,Prices!$C$8:$T$58,Prices!$B27,0)</f>
        <v>1.62</v>
      </c>
      <c r="E41" s="23">
        <f>HLOOKUP(D$22,Prices!$C$8:$T$58,Prices!$B27,0)</f>
        <v>2.4371666666666667</v>
      </c>
      <c r="F41" s="17">
        <f t="shared" si="0"/>
        <v>0.8171666666666666</v>
      </c>
      <c r="H41" s="17">
        <f>IF(ISERROR(HLOOKUP(G$22,Tolls!$D$7:$R$58,Tolls!$B27,0)),"Not Available",HLOOKUP(G$22,Tolls!$D$7:$R$58,Tolls!$B27,0))</f>
        <v>0.85928118333333325</v>
      </c>
      <c r="J41" s="17">
        <f t="shared" si="1"/>
        <v>-4.2114516666666657E-2</v>
      </c>
    </row>
    <row r="42" spans="1:10" x14ac:dyDescent="0.2">
      <c r="A42" s="1">
        <f>Prices!A28</f>
        <v>36008</v>
      </c>
      <c r="C42" s="23">
        <f>HLOOKUP(B$22,Prices!$C$8:$T$58,Prices!$B28,0)</f>
        <v>1.73</v>
      </c>
      <c r="E42" s="23">
        <f>HLOOKUP(D$22,Prices!$C$8:$T$58,Prices!$B28,0)</f>
        <v>2.3982258064516118</v>
      </c>
      <c r="F42" s="17">
        <f t="shared" si="0"/>
        <v>0.66822580645161178</v>
      </c>
      <c r="H42" s="17">
        <f>IF(ISERROR(HLOOKUP(G$22,Tolls!$D$7:$R$58,Tolls!$B28,0)),"Not Available",HLOOKUP(G$22,Tolls!$D$7:$R$58,Tolls!$B28,0))</f>
        <v>0.86057369354838709</v>
      </c>
      <c r="J42" s="17">
        <f t="shared" si="1"/>
        <v>-0.19234788709677531</v>
      </c>
    </row>
    <row r="43" spans="1:10" x14ac:dyDescent="0.2">
      <c r="A43" s="1">
        <f>Prices!A29</f>
        <v>36039</v>
      </c>
      <c r="C43" s="23">
        <f>HLOOKUP(B$22,Prices!$C$8:$T$58,Prices!$B29,0)</f>
        <v>1.59</v>
      </c>
      <c r="E43" s="23">
        <f>HLOOKUP(D$22,Prices!$C$8:$T$58,Prices!$B29,0)</f>
        <v>2.3041379310344814</v>
      </c>
      <c r="F43" s="17">
        <f t="shared" si="0"/>
        <v>0.71413793103448131</v>
      </c>
      <c r="H43" s="17">
        <f>IF(ISERROR(HLOOKUP(G$22,Tolls!$D$7:$R$58,Tolls!$B29,0)),"Not Available",HLOOKUP(G$22,Tolls!$D$7:$R$58,Tolls!$B29,0))</f>
        <v>0.85696068965517236</v>
      </c>
      <c r="J43" s="17">
        <f t="shared" si="1"/>
        <v>-0.14282275862069105</v>
      </c>
    </row>
    <row r="44" spans="1:10" x14ac:dyDescent="0.2">
      <c r="A44" s="1">
        <f>Prices!A30</f>
        <v>36069</v>
      </c>
      <c r="C44" s="23">
        <f>HLOOKUP(B$22,Prices!$C$8:$T$58,Prices!$B30,0)</f>
        <v>1.64</v>
      </c>
      <c r="E44" s="23">
        <f>HLOOKUP(D$22,Prices!$C$8:$T$58,Prices!$B30,0)</f>
        <v>2.3846774193548392</v>
      </c>
      <c r="F44" s="17">
        <f t="shared" si="0"/>
        <v>0.74467741935483933</v>
      </c>
      <c r="H44" s="17">
        <f>IF(ISERROR(HLOOKUP(G$22,Tolls!$D$7:$R$58,Tolls!$B30,0)),"Not Available",HLOOKUP(G$22,Tolls!$D$7:$R$58,Tolls!$B30,0))</f>
        <v>0.85889408064516126</v>
      </c>
      <c r="J44" s="17">
        <f t="shared" si="1"/>
        <v>-0.11421666129032193</v>
      </c>
    </row>
    <row r="45" spans="1:10" x14ac:dyDescent="0.2">
      <c r="A45" s="1">
        <f>Prices!A31</f>
        <v>36100</v>
      </c>
      <c r="C45" s="23">
        <f>HLOOKUP(B$22,Prices!$C$8:$T$58,Prices!$B31,0)</f>
        <v>2.0099999999999998</v>
      </c>
      <c r="E45" s="23">
        <f>HLOOKUP(D$22,Prices!$C$8:$T$58,Prices!$B31,0)</f>
        <v>2.5983928571428581</v>
      </c>
      <c r="F45" s="17">
        <f t="shared" si="0"/>
        <v>0.58839285714285827</v>
      </c>
      <c r="H45" s="17">
        <f>IF(ISERROR(HLOOKUP(G$22,Tolls!$D$7:$R$58,Tolls!$B31,0)),"Not Available",HLOOKUP(G$22,Tolls!$D$7:$R$58,Tolls!$B31,0))</f>
        <v>0.86796398214285708</v>
      </c>
      <c r="J45" s="17">
        <f t="shared" si="1"/>
        <v>-0.27957112499999881</v>
      </c>
    </row>
    <row r="46" spans="1:10" x14ac:dyDescent="0.2">
      <c r="A46" s="1">
        <f>Prices!A32</f>
        <v>36130</v>
      </c>
      <c r="C46" s="23">
        <f>HLOOKUP(B$22,Prices!$C$8:$T$58,Prices!$B32,0)</f>
        <v>2</v>
      </c>
      <c r="E46" s="23">
        <f>HLOOKUP(D$22,Prices!$C$8:$T$58,Prices!$B32,0)</f>
        <v>2.5518965517241377</v>
      </c>
      <c r="F46" s="17">
        <f t="shared" si="0"/>
        <v>0.55189655172413765</v>
      </c>
      <c r="H46" s="17">
        <f>IF(ISERROR(HLOOKUP(G$22,Tolls!$D$7:$R$58,Tolls!$B32,0)),"Not Available",HLOOKUP(G$22,Tolls!$D$7:$R$58,Tolls!$B32,0))</f>
        <v>0.86716098275862064</v>
      </c>
      <c r="J46" s="17">
        <f t="shared" si="1"/>
        <v>-0.31526443103448298</v>
      </c>
    </row>
    <row r="47" spans="1:10" x14ac:dyDescent="0.2">
      <c r="A47" s="1">
        <f>Prices!A33</f>
        <v>36161</v>
      </c>
      <c r="C47" s="23">
        <f>HLOOKUP(B$22,Prices!$C$8:$T$58,Prices!$B33,0)</f>
        <v>1.8</v>
      </c>
      <c r="E47" s="23">
        <f>HLOOKUP(D$22,Prices!$C$8:$T$58,Prices!$B33,0)</f>
        <v>2.0750000000000002</v>
      </c>
      <c r="F47" s="17">
        <f t="shared" si="0"/>
        <v>0.27500000000000013</v>
      </c>
      <c r="H47" s="17">
        <f>IF(ISERROR(HLOOKUP(G$22,Tolls!$D$7:$R$58,Tolls!$B33,0)),"Not Available",HLOOKUP(G$22,Tolls!$D$7:$R$58,Tolls!$B33,0))</f>
        <v>0.8573075</v>
      </c>
      <c r="J47" s="17">
        <f t="shared" si="1"/>
        <v>-0.58230749999999987</v>
      </c>
    </row>
    <row r="48" spans="1:10" x14ac:dyDescent="0.2">
      <c r="A48" s="1">
        <f>Prices!A34</f>
        <v>36192</v>
      </c>
      <c r="C48" s="23">
        <f>HLOOKUP(B$22,Prices!$C$8:$T$58,Prices!$B34,0)</f>
        <v>1.64</v>
      </c>
      <c r="E48" s="23">
        <f>HLOOKUP(D$22,Prices!$C$8:$T$58,Prices!$B34,0)</f>
        <v>1.9471428571428575</v>
      </c>
      <c r="F48" s="17">
        <f t="shared" si="0"/>
        <v>0.30714285714285761</v>
      </c>
      <c r="H48" s="17">
        <f>IF(ISERROR(HLOOKUP(G$22,Tolls!$D$7:$R$58,Tolls!$B34,0)),"Not Available",HLOOKUP(G$22,Tolls!$D$7:$R$58,Tolls!$B34,0))</f>
        <v>0.8528998571428571</v>
      </c>
      <c r="J48" s="17">
        <f t="shared" si="1"/>
        <v>-0.54575699999999949</v>
      </c>
    </row>
    <row r="49" spans="1:10" x14ac:dyDescent="0.2">
      <c r="A49" s="1">
        <f>Prices!A35</f>
        <v>36220</v>
      </c>
      <c r="C49" s="23">
        <f>HLOOKUP(B$22,Prices!$C$8:$T$58,Prices!$B35,0)</f>
        <v>1.51</v>
      </c>
      <c r="E49" s="23">
        <f>HLOOKUP(D$22,Prices!$C$8:$T$58,Prices!$B35,0)</f>
        <v>1.92</v>
      </c>
      <c r="F49" s="17">
        <f t="shared" si="0"/>
        <v>0.40999999999999992</v>
      </c>
      <c r="H49" s="17">
        <f>IF(ISERROR(HLOOKUP(G$22,Tolls!$D$7:$R$58,Tolls!$B35,0)),"Not Available",HLOOKUP(G$22,Tolls!$D$7:$R$58,Tolls!$B35,0))</f>
        <v>0.85036999999999996</v>
      </c>
      <c r="J49" s="17">
        <f t="shared" si="1"/>
        <v>-0.44037000000000004</v>
      </c>
    </row>
    <row r="50" spans="1:10" x14ac:dyDescent="0.2">
      <c r="A50" s="1">
        <f>Prices!A36</f>
        <v>36251</v>
      </c>
      <c r="C50" s="23">
        <f>HLOOKUP(B$22,Prices!$C$8:$T$58,Prices!$B36,0)</f>
        <v>1.54</v>
      </c>
      <c r="E50" s="23">
        <f>HLOOKUP(D$22,Prices!$C$8:$T$58,Prices!$B36,0)</f>
        <v>2.2774999999999999</v>
      </c>
      <c r="F50" s="17">
        <f t="shared" si="0"/>
        <v>0.73749999999999982</v>
      </c>
      <c r="H50" s="17">
        <f>IF(ISERROR(HLOOKUP(G$22,Tolls!$D$7:$R$58,Tolls!$B36,0)),"Not Available",HLOOKUP(G$22,Tolls!$D$7:$R$58,Tolls!$B36,0))</f>
        <v>0.85576574999999999</v>
      </c>
      <c r="J50" s="17">
        <f t="shared" si="1"/>
        <v>-0.11826575000000017</v>
      </c>
    </row>
    <row r="51" spans="1:10" x14ac:dyDescent="0.2">
      <c r="A51" s="1">
        <f>Prices!A37</f>
        <v>36281</v>
      </c>
      <c r="C51" s="23">
        <f>HLOOKUP(B$22,Prices!$C$8:$T$58,Prices!$B37,0)</f>
        <v>1.99</v>
      </c>
      <c r="E51" s="23">
        <f>HLOOKUP(D$22,Prices!$C$8:$T$58,Prices!$B37,0)</f>
        <v>2.4109677419354831</v>
      </c>
      <c r="F51" s="17">
        <f t="shared" si="0"/>
        <v>0.42096774193548314</v>
      </c>
      <c r="H51" s="17">
        <f>IF(ISERROR(HLOOKUP(G$22,Tolls!$D$7:$R$58,Tolls!$B37,0)),"Not Available",HLOOKUP(G$22,Tolls!$D$7:$R$58,Tolls!$B37,0))</f>
        <v>0.86506425806451603</v>
      </c>
      <c r="J51" s="17">
        <f t="shared" si="1"/>
        <v>-0.44409651612903289</v>
      </c>
    </row>
    <row r="52" spans="1:10" x14ac:dyDescent="0.2">
      <c r="A52" s="1">
        <f>Prices!A38</f>
        <v>36312</v>
      </c>
      <c r="C52" s="23">
        <f>HLOOKUP(B$22,Prices!$C$8:$T$58,Prices!$B38,0)</f>
        <v>1.94</v>
      </c>
      <c r="E52" s="23">
        <f>HLOOKUP(D$22,Prices!$C$8:$T$58,Prices!$B38,0)</f>
        <v>2.4586666666666668</v>
      </c>
      <c r="F52" s="17">
        <f t="shared" si="0"/>
        <v>0.51866666666666683</v>
      </c>
      <c r="H52" s="17">
        <f>IF(ISERROR(HLOOKUP(G$22,Tolls!$D$7:$R$58,Tolls!$B38,0)),"Not Available",HLOOKUP(G$22,Tolls!$D$7:$R$58,Tolls!$B38,0))</f>
        <v>0.86488773333333324</v>
      </c>
      <c r="J52" s="17">
        <f t="shared" si="1"/>
        <v>-0.34622106666666641</v>
      </c>
    </row>
    <row r="53" spans="1:10" x14ac:dyDescent="0.2">
      <c r="A53" s="1">
        <f>Prices!A39</f>
        <v>36342</v>
      </c>
      <c r="C53" s="23">
        <f>HLOOKUP(B$22,Prices!$C$8:$T$58,Prices!$B39,0)</f>
        <v>2</v>
      </c>
      <c r="E53" s="23">
        <f>HLOOKUP(D$22,Prices!$C$8:$T$58,Prices!$B39,0)</f>
        <v>2.4770967741935483</v>
      </c>
      <c r="F53" s="17">
        <f t="shared" si="0"/>
        <v>0.47709677419354835</v>
      </c>
      <c r="H53" s="17">
        <f>IF(ISERROR(HLOOKUP(G$22,Tolls!$D$7:$R$58,Tolls!$B39,0)),"Not Available",HLOOKUP(G$22,Tolls!$D$7:$R$58,Tolls!$B39,0))</f>
        <v>0.86613622580645155</v>
      </c>
      <c r="J53" s="17">
        <f t="shared" si="1"/>
        <v>-0.38903945161290321</v>
      </c>
    </row>
    <row r="54" spans="1:10" x14ac:dyDescent="0.2">
      <c r="A54" s="1">
        <f>Prices!A40</f>
        <v>36373</v>
      </c>
      <c r="C54" s="23">
        <f>HLOOKUP(B$22,Prices!$C$8:$T$58,Prices!$B40,0)</f>
        <v>2.1800000000000002</v>
      </c>
      <c r="E54" s="23">
        <f>HLOOKUP(D$22,Prices!$C$8:$T$58,Prices!$B40,0)</f>
        <v>2.7438709677419348</v>
      </c>
      <c r="F54" s="17">
        <f t="shared" si="0"/>
        <v>0.56387096774193468</v>
      </c>
      <c r="H54" s="17">
        <f>IF(ISERROR(HLOOKUP(G$22,Tolls!$D$7:$R$58,Tolls!$B40,0)),"Not Available",HLOOKUP(G$22,Tolls!$D$7:$R$58,Tolls!$B40,0))</f>
        <v>0.87277903225806441</v>
      </c>
      <c r="J54" s="17">
        <f t="shared" si="1"/>
        <v>-0.30890806451612973</v>
      </c>
    </row>
    <row r="55" spans="1:10" x14ac:dyDescent="0.2">
      <c r="A55" s="1">
        <f>Prices!A41</f>
        <v>36404</v>
      </c>
      <c r="C55" s="23">
        <f>HLOOKUP(B$22,Prices!$C$8:$T$58,Prices!$B41,0)</f>
        <v>2.56</v>
      </c>
      <c r="E55" s="23">
        <f>HLOOKUP(D$22,Prices!$C$8:$T$58,Prices!$B41,0)</f>
        <v>2.7884999999999995</v>
      </c>
      <c r="F55" s="17">
        <f t="shared" ref="F55:F72" si="2">E55-C55</f>
        <v>0.22849999999999948</v>
      </c>
      <c r="H55" s="17">
        <f>IF(ISERROR(HLOOKUP(G$22,Tolls!$D$7:$R$58,Tolls!$B41,0)),"Not Available",HLOOKUP(G$22,Tolls!$D$7:$R$58,Tolls!$B41,0))</f>
        <v>0.87969844999999991</v>
      </c>
      <c r="J55" s="17">
        <f t="shared" ref="J55:J72" si="3">F55-H55</f>
        <v>-0.65119845000000043</v>
      </c>
    </row>
    <row r="56" spans="1:10" x14ac:dyDescent="0.2">
      <c r="A56" s="1">
        <f>Prices!A42</f>
        <v>36434</v>
      </c>
      <c r="C56" s="23">
        <f>HLOOKUP(B$22,Prices!$C$8:$T$58,Prices!$B42,0)</f>
        <v>2.39</v>
      </c>
      <c r="E56" s="23">
        <f>HLOOKUP(D$22,Prices!$C$8:$T$58,Prices!$B42,0)</f>
        <v>3.1562903225806451</v>
      </c>
      <c r="F56" s="17">
        <f t="shared" si="2"/>
        <v>0.766290322580645</v>
      </c>
      <c r="H56" s="17">
        <f>IF(ISERROR(HLOOKUP(G$22,Tolls!$D$7:$R$58,Tolls!$B42,0)),"Not Available",HLOOKUP(G$22,Tolls!$D$7:$R$58,Tolls!$B42,0))</f>
        <v>0.88191517741935477</v>
      </c>
      <c r="J56" s="17">
        <f t="shared" si="3"/>
        <v>-0.11562485483870977</v>
      </c>
    </row>
    <row r="57" spans="1:10" x14ac:dyDescent="0.2">
      <c r="A57" s="1">
        <f>Prices!A43</f>
        <v>36465</v>
      </c>
      <c r="C57" s="23">
        <f>HLOOKUP(B$22,Prices!$C$8:$T$58,Prices!$B43,0)</f>
        <v>2.86</v>
      </c>
      <c r="E57" s="23">
        <f>HLOOKUP(D$22,Prices!$C$8:$T$58,Prices!$B43,0)</f>
        <v>2.6666666666666661</v>
      </c>
      <c r="F57" s="17">
        <f t="shared" si="2"/>
        <v>-0.1933333333333338</v>
      </c>
      <c r="H57" s="17">
        <f>IF(ISERROR(HLOOKUP(G$22,Tolls!$D$7:$R$58,Tolls!$B43,0)),"Not Available",HLOOKUP(G$22,Tolls!$D$7:$R$58,Tolls!$B43,0))</f>
        <v>0.8830093333333332</v>
      </c>
      <c r="J57" s="17">
        <f t="shared" si="3"/>
        <v>-1.0763426666666671</v>
      </c>
    </row>
    <row r="58" spans="1:10" x14ac:dyDescent="0.2">
      <c r="A58" s="1">
        <f>Prices!A44</f>
        <v>36495</v>
      </c>
      <c r="C58" s="23">
        <f>HLOOKUP(B$22,Prices!$C$8:$T$58,Prices!$B44,0)</f>
        <v>2.1</v>
      </c>
      <c r="E58" s="23">
        <f>HLOOKUP(D$22,Prices!$C$8:$T$58,Prices!$B44,0)</f>
        <v>2.5098387096774193</v>
      </c>
      <c r="F58" s="17">
        <f t="shared" si="2"/>
        <v>0.4098387096774192</v>
      </c>
      <c r="H58" s="17">
        <f>IF(ISERROR(HLOOKUP(G$22,Tolls!$D$7:$R$58,Tolls!$B44,0)),"Not Available",HLOOKUP(G$22,Tolls!$D$7:$R$58,Tolls!$B44,0))</f>
        <v>0.86824479032258062</v>
      </c>
      <c r="J58" s="17">
        <f t="shared" si="3"/>
        <v>-0.45840608064516142</v>
      </c>
    </row>
    <row r="59" spans="1:10" x14ac:dyDescent="0.2">
      <c r="A59" s="1">
        <f>Prices!A45</f>
        <v>36526</v>
      </c>
      <c r="C59" s="23">
        <f>HLOOKUP(B$22,Prices!$C$8:$T$58,Prices!$B45,0)</f>
        <v>2.19</v>
      </c>
      <c r="E59" s="23">
        <f>HLOOKUP(D$22,Prices!$C$8:$T$58,Prices!$B45,0)</f>
        <v>2.4787096774193551</v>
      </c>
      <c r="F59" s="17">
        <f t="shared" si="2"/>
        <v>0.28870967741935516</v>
      </c>
      <c r="H59" s="17">
        <f>IF(ISERROR(HLOOKUP(G$22,Tolls!$D$7:$R$58,Tolls!$B45,0)),"Not Available",HLOOKUP(G$22,Tolls!$D$7:$R$58,Tolls!$B45,0))</f>
        <v>0.86931232258064506</v>
      </c>
      <c r="J59" s="17">
        <f t="shared" si="3"/>
        <v>-0.5806026451612899</v>
      </c>
    </row>
    <row r="60" spans="1:10" x14ac:dyDescent="0.2">
      <c r="A60" s="1">
        <f>Prices!A46</f>
        <v>36557</v>
      </c>
      <c r="C60" s="23">
        <f>HLOOKUP(B$22,Prices!$C$8:$T$58,Prices!$B46,0)</f>
        <v>2.38</v>
      </c>
      <c r="E60" s="23">
        <f>HLOOKUP(D$22,Prices!$C$8:$T$58,Prices!$B46,0)</f>
        <v>2.6960344827586225</v>
      </c>
      <c r="F60" s="17">
        <f t="shared" si="2"/>
        <v>0.31603448275862256</v>
      </c>
      <c r="H60" s="17">
        <f>IF(ISERROR(HLOOKUP(G$22,Tolls!$D$7:$R$58,Tolls!$B46,0)),"Not Available",HLOOKUP(G$22,Tolls!$D$7:$R$58,Tolls!$B46,0))</f>
        <v>0.87544367241379306</v>
      </c>
      <c r="J60" s="17">
        <f t="shared" si="3"/>
        <v>-0.5594091896551705</v>
      </c>
    </row>
    <row r="61" spans="1:10" x14ac:dyDescent="0.2">
      <c r="A61" s="1">
        <f>Prices!A47</f>
        <v>36586</v>
      </c>
      <c r="C61" s="23">
        <f>HLOOKUP(B$22,Prices!$C$8:$T$58,Prices!$B47,0)</f>
        <v>2.35</v>
      </c>
      <c r="E61" s="23">
        <f>HLOOKUP(D$22,Prices!$C$8:$T$58,Prices!$B47,0)</f>
        <v>2.9649999999999999</v>
      </c>
      <c r="F61" s="17">
        <f t="shared" si="2"/>
        <v>0.61499999999999977</v>
      </c>
      <c r="H61" s="17">
        <f>IF(ISERROR(HLOOKUP(G$22,Tolls!$D$7:$R$58,Tolls!$B47,0)),"Not Available",HLOOKUP(G$22,Tolls!$D$7:$R$58,Tolls!$B47,0))</f>
        <v>0.87863049999999987</v>
      </c>
      <c r="J61" s="17">
        <f t="shared" si="3"/>
        <v>-0.2636305000000001</v>
      </c>
    </row>
    <row r="62" spans="1:10" x14ac:dyDescent="0.2">
      <c r="A62" s="1">
        <f>Prices!A48</f>
        <v>36617</v>
      </c>
      <c r="C62" s="23">
        <f>HLOOKUP(B$22,Prices!$C$8:$T$58,Prices!$B48,0)</f>
        <v>2.7</v>
      </c>
      <c r="E62" s="23">
        <f>HLOOKUP(D$22,Prices!$C$8:$T$58,Prices!$B48,0)</f>
        <v>3.085</v>
      </c>
      <c r="F62" s="17">
        <f t="shared" si="2"/>
        <v>0.38499999999999979</v>
      </c>
      <c r="H62" s="17">
        <f>IF(ISERROR(HLOOKUP(G$22,Tolls!$D$7:$R$58,Tolls!$B48,0)),"Not Available",HLOOKUP(G$22,Tolls!$D$7:$R$58,Tolls!$B48,0))</f>
        <v>0.88608449999999994</v>
      </c>
      <c r="J62" s="17">
        <f t="shared" si="3"/>
        <v>-0.50108450000000015</v>
      </c>
    </row>
    <row r="63" spans="1:10" x14ac:dyDescent="0.2">
      <c r="A63" s="1">
        <f>Prices!A49</f>
        <v>36647</v>
      </c>
      <c r="C63" s="23">
        <f>HLOOKUP(B$22,Prices!$C$8:$T$58,Prices!$B49,0)</f>
        <v>2.74</v>
      </c>
      <c r="E63" s="23">
        <f>HLOOKUP(D$22,Prices!$C$8:$T$58,Prices!$B49,0)</f>
        <v>3.6777419354838714</v>
      </c>
      <c r="F63" s="17">
        <f t="shared" si="2"/>
        <v>0.93774193548387119</v>
      </c>
      <c r="H63" s="17">
        <f>IF(ISERROR(HLOOKUP(G$22,Tolls!$D$7:$R$58,Tolls!$B49,0)),"Not Available",HLOOKUP(G$22,Tolls!$D$7:$R$58,Tolls!$B49,0))</f>
        <v>0.89486906451612891</v>
      </c>
      <c r="J63" s="17">
        <f t="shared" si="3"/>
        <v>4.2872870967742283E-2</v>
      </c>
    </row>
    <row r="64" spans="1:10" x14ac:dyDescent="0.2">
      <c r="A64" s="1">
        <f>Prices!A50</f>
        <v>36678</v>
      </c>
      <c r="C64" s="23">
        <f>HLOOKUP(B$22,Prices!$C$8:$T$58,Prices!$B50,0)</f>
        <v>3.61</v>
      </c>
      <c r="E64" s="23">
        <f>HLOOKUP(D$22,Prices!$C$8:$T$58,Prices!$B50,0)</f>
        <v>4.6659999999999995</v>
      </c>
      <c r="F64" s="17">
        <f t="shared" si="2"/>
        <v>1.0559999999999996</v>
      </c>
      <c r="H64" s="17">
        <f>IF(ISERROR(HLOOKUP(G$22,Tolls!$D$7:$R$58,Tolls!$B50,0)),"Not Available",HLOOKUP(G$22,Tolls!$D$7:$R$58,Tolls!$B50,0))</f>
        <v>0.92285019999999995</v>
      </c>
      <c r="J64" s="17">
        <f t="shared" si="3"/>
        <v>0.13314979999999965</v>
      </c>
    </row>
    <row r="65" spans="1:10" x14ac:dyDescent="0.2">
      <c r="A65" s="1">
        <f>Prices!A51</f>
        <v>36708</v>
      </c>
      <c r="C65" s="23">
        <f>HLOOKUP(B$22,Prices!$C$8:$T$58,Prices!$B51,0)</f>
        <v>3.95</v>
      </c>
      <c r="E65" s="23">
        <f>HLOOKUP(D$22,Prices!$C$8:$T$58,Prices!$B51,0)</f>
        <v>4.395161290322581</v>
      </c>
      <c r="F65" s="17">
        <f t="shared" si="2"/>
        <v>0.44516129032258078</v>
      </c>
      <c r="H65" s="17">
        <f>IF(ISERROR(HLOOKUP(G$22,Tolls!$D$7:$R$58,Tolls!$B51,0)),"Not Available",HLOOKUP(G$22,Tolls!$D$7:$R$58,Tolls!$B51,0))</f>
        <v>0.9247837096774193</v>
      </c>
      <c r="J65" s="17">
        <f t="shared" si="3"/>
        <v>-0.47962241935483851</v>
      </c>
    </row>
    <row r="66" spans="1:10" x14ac:dyDescent="0.2">
      <c r="A66" s="1">
        <f>Prices!A52</f>
        <v>36739</v>
      </c>
      <c r="C66" s="23">
        <f>HLOOKUP(B$22,Prices!$C$8:$T$58,Prices!$B52,0)</f>
        <v>3.12</v>
      </c>
      <c r="E66" s="23">
        <f>HLOOKUP(D$22,Prices!$C$8:$T$58,Prices!$B52,0)</f>
        <v>4.8640322580645154</v>
      </c>
      <c r="F66" s="17">
        <f t="shared" si="2"/>
        <v>1.7440322580645153</v>
      </c>
      <c r="H66" s="17">
        <f>IF(ISERROR(HLOOKUP(G$22,Tolls!$D$7:$R$58,Tolls!$B52,0)),"Not Available",HLOOKUP(G$22,Tolls!$D$7:$R$58,Tolls!$B52,0))</f>
        <v>0.91742924193548381</v>
      </c>
      <c r="J66" s="17">
        <f t="shared" si="3"/>
        <v>0.82660301612903153</v>
      </c>
    </row>
    <row r="67" spans="1:10" x14ac:dyDescent="0.2">
      <c r="A67" s="1">
        <f>Prices!A53</f>
        <v>36770</v>
      </c>
      <c r="C67" s="23">
        <f>HLOOKUP(B$22,Prices!$C$8:$T$58,Prices!$B53,0)</f>
        <v>3.47</v>
      </c>
      <c r="E67" s="23">
        <f>HLOOKUP(D$22,Prices!$C$8:$T$58,Prices!$B53,0)</f>
        <v>5.916333333333335</v>
      </c>
      <c r="F67" s="17">
        <f t="shared" si="2"/>
        <v>2.4463333333333348</v>
      </c>
      <c r="H67" s="17">
        <f>IF(ISERROR(HLOOKUP(G$22,Tolls!$D$7:$R$58,Tolls!$B53,0)),"Not Available",HLOOKUP(G$22,Tolls!$D$7:$R$58,Tolls!$B53,0))</f>
        <v>0.93765576666666672</v>
      </c>
      <c r="J67" s="17">
        <f t="shared" si="3"/>
        <v>1.5086775666666681</v>
      </c>
    </row>
    <row r="68" spans="1:10" x14ac:dyDescent="0.2">
      <c r="A68" s="1">
        <f>Prices!A54</f>
        <v>36800</v>
      </c>
      <c r="C68" s="23">
        <f>HLOOKUP(B$22,Prices!$C$8:$T$58,Prices!$B54,0)</f>
        <v>4.3099999999999996</v>
      </c>
      <c r="E68" s="23">
        <f>HLOOKUP(D$22,Prices!$C$8:$T$58,Prices!$B54,0)</f>
        <v>5.5932258064516134</v>
      </c>
      <c r="F68" s="17">
        <f t="shared" si="2"/>
        <v>1.2832258064516138</v>
      </c>
      <c r="H68" s="17">
        <f>IF(ISERROR(HLOOKUP(G$22,Tolls!$D$7:$R$58,Tolls!$B54,0)),"Not Available",HLOOKUP(G$22,Tolls!$D$7:$R$58,Tolls!$B54,0))</f>
        <v>0.94717319354838703</v>
      </c>
      <c r="J68" s="17">
        <f t="shared" si="3"/>
        <v>0.33605261290322674</v>
      </c>
    </row>
    <row r="69" spans="1:10" x14ac:dyDescent="0.2">
      <c r="A69" s="1">
        <f>Prices!A55</f>
        <v>36831</v>
      </c>
      <c r="C69" s="23">
        <f>HLOOKUP(B$22,Prices!$C$8:$T$58,Prices!$B55,0)</f>
        <v>4.37</v>
      </c>
      <c r="E69" s="23">
        <f>HLOOKUP(D$22,Prices!$C$8:$T$58,Prices!$B55,0)</f>
        <v>9.7668333333333326</v>
      </c>
      <c r="F69" s="17">
        <f t="shared" si="2"/>
        <v>5.3968333333333325</v>
      </c>
      <c r="H69" s="17">
        <f>IF(ISERROR(HLOOKUP(G$22,Tolls!$D$7:$R$58,Tolls!$B55,0)),"Not Available",HLOOKUP(G$22,Tolls!$D$7:$R$58,Tolls!$B55,0))</f>
        <v>1.0053476166666666</v>
      </c>
      <c r="J69" s="17">
        <f t="shared" si="3"/>
        <v>4.3914857166666659</v>
      </c>
    </row>
    <row r="70" spans="1:10" x14ac:dyDescent="0.2">
      <c r="A70" s="1">
        <f>Prices!A56</f>
        <v>36861</v>
      </c>
      <c r="C70" s="23">
        <f>HLOOKUP(B$22,Prices!$C$8:$T$58,Prices!$B56,0)</f>
        <v>6.07</v>
      </c>
      <c r="E70" s="23">
        <f>HLOOKUP(D$22,Prices!$C$8:$T$58,Prices!$B56,0)</f>
        <v>20.994838709677417</v>
      </c>
      <c r="F70" s="17">
        <f t="shared" si="2"/>
        <v>14.924838709677417</v>
      </c>
      <c r="H70" s="17">
        <f>IF(ISERROR(HLOOKUP(G$22,Tolls!$D$7:$R$58,Tolls!$B56,0)),"Not Available",HLOOKUP(G$22,Tolls!$D$7:$R$58,Tolls!$B56,0))</f>
        <v>1.1873912903225805</v>
      </c>
      <c r="J70" s="17">
        <f t="shared" si="3"/>
        <v>13.737447419354837</v>
      </c>
    </row>
    <row r="71" spans="1:10" x14ac:dyDescent="0.2">
      <c r="A71" s="1">
        <f>Prices!A57</f>
        <v>36892</v>
      </c>
      <c r="C71" s="23">
        <f>HLOOKUP(B$22,Prices!$C$8:$T$58,Prices!$B57,0)</f>
        <v>8.77</v>
      </c>
      <c r="E71" s="23">
        <f>HLOOKUP(D$22,Prices!$C$8:$T$58,Prices!$B57,0)</f>
        <v>10.738870967741933</v>
      </c>
      <c r="F71" s="17">
        <f t="shared" si="2"/>
        <v>1.9688709677419336</v>
      </c>
      <c r="H71" s="17">
        <f>IF(ISERROR(HLOOKUP(G$22,Tolls!$D$7:$R$58,Tolls!$B57,0)),"Not Available",HLOOKUP(G$22,Tolls!$D$7:$R$58,Tolls!$B57,0))</f>
        <v>1.0917045322580643</v>
      </c>
      <c r="J71" s="17">
        <f t="shared" si="3"/>
        <v>0.8771664354838693</v>
      </c>
    </row>
    <row r="72" spans="1:10" x14ac:dyDescent="0.2">
      <c r="A72" s="1">
        <f>Prices!A58</f>
        <v>36923</v>
      </c>
      <c r="C72" s="23">
        <f>HLOOKUP(B$22,Prices!$C$8:$T$58,Prices!$B58,0)</f>
        <v>6.41</v>
      </c>
      <c r="E72" s="23">
        <f>HLOOKUP(D$22,Prices!$C$8:$T$58,Prices!$B58,0)</f>
        <v>11.225454545454543</v>
      </c>
      <c r="F72" s="17">
        <f t="shared" si="2"/>
        <v>4.8154545454545428</v>
      </c>
      <c r="H72" s="17">
        <f>IF(ISERROR(HLOOKUP(G$22,Tolls!$D$7:$R$58,Tolls!$B58,0)),"Not Available",HLOOKUP(G$22,Tolls!$D$7:$R$58,Tolls!$B58,0))</f>
        <v>1.0591947272727271</v>
      </c>
      <c r="J72" s="17">
        <f t="shared" si="3"/>
        <v>3.7562598181818156</v>
      </c>
    </row>
    <row r="73" spans="1:10" x14ac:dyDescent="0.2">
      <c r="A73" s="1"/>
    </row>
    <row r="74" spans="1:10" x14ac:dyDescent="0.2">
      <c r="A74" s="1"/>
    </row>
    <row r="75" spans="1:10" x14ac:dyDescent="0.2">
      <c r="A75" s="1"/>
    </row>
    <row r="76" spans="1:10" x14ac:dyDescent="0.2">
      <c r="A76" s="1"/>
    </row>
    <row r="77" spans="1:10" x14ac:dyDescent="0.2">
      <c r="A77" s="1"/>
    </row>
    <row r="78" spans="1:10" x14ac:dyDescent="0.2">
      <c r="A78" s="1"/>
    </row>
    <row r="79" spans="1:10" x14ac:dyDescent="0.2">
      <c r="A79" s="1"/>
    </row>
    <row r="80" spans="1:10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</sheetData>
  <phoneticPr fontId="0" type="noConversion"/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Drop Down 1">
              <controlPr defaultSize="0" autoLine="0" autoPict="0">
                <anchor moveWithCells="1">
                  <from>
                    <xdr:col>2</xdr:col>
                    <xdr:colOff>95250</xdr:colOff>
                    <xdr:row>20</xdr:row>
                    <xdr:rowOff>28575</xdr:rowOff>
                  </from>
                  <to>
                    <xdr:col>2</xdr:col>
                    <xdr:colOff>2209800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Drop Down 2">
              <controlPr defaultSize="0" autoLine="0" autoPict="0">
                <anchor moveWithCells="1">
                  <from>
                    <xdr:col>4</xdr:col>
                    <xdr:colOff>66675</xdr:colOff>
                    <xdr:row>20</xdr:row>
                    <xdr:rowOff>19050</xdr:rowOff>
                  </from>
                  <to>
                    <xdr:col>4</xdr:col>
                    <xdr:colOff>2219325</xdr:colOff>
                    <xdr:row>20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7"/>
  <sheetViews>
    <sheetView showGridLines="0" workbookViewId="0">
      <selection activeCell="A3" sqref="A3"/>
    </sheetView>
  </sheetViews>
  <sheetFormatPr defaultRowHeight="12.75" x14ac:dyDescent="0.2"/>
  <cols>
    <col min="2" max="2" width="6.83203125" hidden="1" customWidth="1"/>
    <col min="3" max="3" width="39.33203125" customWidth="1"/>
    <col min="4" max="4" width="6.83203125" hidden="1" customWidth="1"/>
    <col min="5" max="5" width="39.6640625" customWidth="1"/>
    <col min="6" max="6" width="23" customWidth="1"/>
    <col min="7" max="7" width="6.83203125" hidden="1" customWidth="1"/>
    <col min="8" max="8" width="13.5" customWidth="1"/>
    <col min="10" max="10" width="15" customWidth="1"/>
  </cols>
  <sheetData>
    <row r="1" spans="1:1" s="22" customFormat="1" ht="18" x14ac:dyDescent="0.25">
      <c r="A1" s="22" t="s">
        <v>25</v>
      </c>
    </row>
    <row r="20" spans="1:10" x14ac:dyDescent="0.2">
      <c r="C20" s="4" t="s">
        <v>11</v>
      </c>
      <c r="D20" s="4"/>
      <c r="E20" s="4" t="s">
        <v>12</v>
      </c>
      <c r="G20" s="4"/>
    </row>
    <row r="21" spans="1:10" ht="18.75" customHeight="1" x14ac:dyDescent="0.2">
      <c r="F21" s="3" t="str">
        <f>HLOOKUP(B22,Prices!$C$5:$N$6,2,0)&amp;"/"&amp;HLOOKUP(D22,Prices!$C$5:$N$6,2,0)&amp;" Spread"</f>
        <v>Permian/SoCal Spread</v>
      </c>
      <c r="H21" s="4" t="str">
        <f>HLOOKUP(G22,Tolls!$D$7:$P$8,2,0)&amp;" Toll"</f>
        <v>Transwestern Toll</v>
      </c>
      <c r="J21" s="4" t="s">
        <v>24</v>
      </c>
    </row>
    <row r="22" spans="1:10" x14ac:dyDescent="0.2">
      <c r="B22" s="13">
        <v>5</v>
      </c>
      <c r="D22" s="13">
        <v>6</v>
      </c>
      <c r="G22" s="13">
        <f>B22*1000+D22</f>
        <v>5006</v>
      </c>
    </row>
    <row r="23" spans="1:10" x14ac:dyDescent="0.2">
      <c r="A23" s="1">
        <f>Prices!A9</f>
        <v>35431</v>
      </c>
      <c r="C23" s="23">
        <f>HLOOKUP(B$22,Prices!$C$8:$T$58,Prices!$B9,0)</f>
        <v>4.0999999999999996</v>
      </c>
      <c r="E23" s="23">
        <f>HLOOKUP(D$22,Prices!$C$8:$T$58,Prices!$B9,0)</f>
        <v>4.0599999999999996</v>
      </c>
      <c r="F23" s="17">
        <f t="shared" ref="F23:F54" si="0">E23-C23</f>
        <v>-4.0000000000000036E-2</v>
      </c>
      <c r="H23" s="17">
        <f>IF(ISERROR(HLOOKUP(G$22,Tolls!$D$7:$R$58,Tolls!$B9,0)),"Not Available",HLOOKUP(G$22,Tolls!$D$7:$R$58,Tolls!$B9,0))</f>
        <v>0.58899999999999997</v>
      </c>
      <c r="J23" s="17">
        <f t="shared" ref="J23:J54" si="1">F23-H23</f>
        <v>-0.629</v>
      </c>
    </row>
    <row r="24" spans="1:10" x14ac:dyDescent="0.2">
      <c r="A24" s="1">
        <f>Prices!A10</f>
        <v>35462</v>
      </c>
      <c r="C24" s="23">
        <f>HLOOKUP(B$22,Prices!$C$8:$T$58,Prices!$B10,0)</f>
        <v>2.5</v>
      </c>
      <c r="E24" s="23">
        <f>HLOOKUP(D$22,Prices!$C$8:$T$58,Prices!$B10,0)</f>
        <v>2.59</v>
      </c>
      <c r="F24" s="17">
        <f t="shared" si="0"/>
        <v>8.9999999999999858E-2</v>
      </c>
      <c r="H24" s="17">
        <f>IF(ISERROR(HLOOKUP(G$22,Tolls!$D$7:$R$58,Tolls!$B10,0)),"Not Available",HLOOKUP(G$22,Tolls!$D$7:$R$58,Tolls!$B10,0))</f>
        <v>0.50900000000000001</v>
      </c>
      <c r="J24" s="17">
        <f t="shared" si="1"/>
        <v>-0.41900000000000015</v>
      </c>
    </row>
    <row r="25" spans="1:10" x14ac:dyDescent="0.2">
      <c r="A25" s="1">
        <f>Prices!A11</f>
        <v>35490</v>
      </c>
      <c r="C25" s="23">
        <f>HLOOKUP(B$22,Prices!$C$8:$T$58,Prices!$B11,0)</f>
        <v>1.52</v>
      </c>
      <c r="E25" s="23">
        <f>HLOOKUP(D$22,Prices!$C$8:$T$58,Prices!$B11,0)</f>
        <v>1.57</v>
      </c>
      <c r="F25" s="17">
        <f t="shared" si="0"/>
        <v>5.0000000000000044E-2</v>
      </c>
      <c r="H25" s="17">
        <f>IF(ISERROR(HLOOKUP(G$22,Tolls!$D$7:$R$58,Tolls!$B11,0)),"Not Available",HLOOKUP(G$22,Tolls!$D$7:$R$58,Tolls!$B11,0))</f>
        <v>0.46</v>
      </c>
      <c r="J25" s="17">
        <f t="shared" si="1"/>
        <v>-0.41</v>
      </c>
    </row>
    <row r="26" spans="1:10" x14ac:dyDescent="0.2">
      <c r="A26" s="1">
        <f>Prices!A12</f>
        <v>35521</v>
      </c>
      <c r="C26" s="23">
        <f>HLOOKUP(B$22,Prices!$C$8:$T$58,Prices!$B12,0)</f>
        <v>1.61</v>
      </c>
      <c r="E26" s="23">
        <f>HLOOKUP(D$22,Prices!$C$8:$T$58,Prices!$B12,0)</f>
        <v>1.75</v>
      </c>
      <c r="F26" s="17">
        <f t="shared" si="0"/>
        <v>0.1399999999999999</v>
      </c>
      <c r="H26" s="17">
        <f>IF(ISERROR(HLOOKUP(G$22,Tolls!$D$7:$R$58,Tolls!$B12,0)),"Not Available",HLOOKUP(G$22,Tolls!$D$7:$R$58,Tolls!$B12,0))</f>
        <v>0.46450000000000002</v>
      </c>
      <c r="J26" s="17">
        <f t="shared" si="1"/>
        <v>-0.32450000000000012</v>
      </c>
    </row>
    <row r="27" spans="1:10" x14ac:dyDescent="0.2">
      <c r="A27" s="1">
        <f>Prices!A13</f>
        <v>35551</v>
      </c>
      <c r="C27" s="23">
        <f>HLOOKUP(B$22,Prices!$C$8:$T$58,Prices!$B13,0)</f>
        <v>1.89</v>
      </c>
      <c r="E27" s="23">
        <f>HLOOKUP(D$22,Prices!$C$8:$T$58,Prices!$B13,0)</f>
        <v>2.02</v>
      </c>
      <c r="F27" s="17">
        <f t="shared" si="0"/>
        <v>0.13000000000000012</v>
      </c>
      <c r="H27" s="17">
        <f>IF(ISERROR(HLOOKUP(G$22,Tolls!$D$7:$R$58,Tolls!$B13,0)),"Not Available",HLOOKUP(G$22,Tolls!$D$7:$R$58,Tolls!$B13,0))</f>
        <v>0.47850000000000004</v>
      </c>
      <c r="J27" s="17">
        <f t="shared" si="1"/>
        <v>-0.34849999999999992</v>
      </c>
    </row>
    <row r="28" spans="1:10" x14ac:dyDescent="0.2">
      <c r="A28" s="1">
        <f>Prices!A14</f>
        <v>35582</v>
      </c>
      <c r="C28" s="23">
        <f>HLOOKUP(B$22,Prices!$C$8:$T$58,Prices!$B14,0)</f>
        <v>2.0499999999999998</v>
      </c>
      <c r="E28" s="23">
        <f>HLOOKUP(D$22,Prices!$C$8:$T$58,Prices!$B14,0)</f>
        <v>2.21</v>
      </c>
      <c r="F28" s="17">
        <f t="shared" si="0"/>
        <v>0.16000000000000014</v>
      </c>
      <c r="H28" s="17">
        <f>IF(ISERROR(HLOOKUP(G$22,Tolls!$D$7:$R$58,Tolls!$B14,0)),"Not Available",HLOOKUP(G$22,Tolls!$D$7:$R$58,Tolls!$B14,0))</f>
        <v>0.48649999999999999</v>
      </c>
      <c r="J28" s="17">
        <f t="shared" si="1"/>
        <v>-0.32649999999999985</v>
      </c>
    </row>
    <row r="29" spans="1:10" x14ac:dyDescent="0.2">
      <c r="A29" s="1">
        <f>Prices!A15</f>
        <v>35612</v>
      </c>
      <c r="C29" s="23">
        <f>HLOOKUP(B$22,Prices!$C$8:$T$58,Prices!$B15,0)</f>
        <v>1.99</v>
      </c>
      <c r="E29" s="23">
        <f>HLOOKUP(D$22,Prices!$C$8:$T$58,Prices!$B15,0)</f>
        <v>2.15</v>
      </c>
      <c r="F29" s="17">
        <f t="shared" si="0"/>
        <v>0.15999999999999992</v>
      </c>
      <c r="H29" s="17">
        <f>IF(ISERROR(HLOOKUP(G$22,Tolls!$D$7:$R$58,Tolls!$B15,0)),"Not Available",HLOOKUP(G$22,Tolls!$D$7:$R$58,Tolls!$B15,0))</f>
        <v>0.48350000000000004</v>
      </c>
      <c r="J29" s="17">
        <f t="shared" si="1"/>
        <v>-0.32350000000000012</v>
      </c>
    </row>
    <row r="30" spans="1:10" x14ac:dyDescent="0.2">
      <c r="A30" s="1">
        <f>Prices!A16</f>
        <v>35643</v>
      </c>
      <c r="C30" s="23">
        <f>HLOOKUP(B$22,Prices!$C$8:$T$58,Prices!$B16,0)</f>
        <v>2.0499999999999998</v>
      </c>
      <c r="E30" s="23">
        <f>HLOOKUP(D$22,Prices!$C$8:$T$58,Prices!$B16,0)</f>
        <v>2.23</v>
      </c>
      <c r="F30" s="17">
        <f t="shared" si="0"/>
        <v>0.18000000000000016</v>
      </c>
      <c r="H30" s="17">
        <f>IF(ISERROR(HLOOKUP(G$22,Tolls!$D$7:$R$58,Tolls!$B16,0)),"Not Available",HLOOKUP(G$22,Tolls!$D$7:$R$58,Tolls!$B16,0))</f>
        <v>0.48649999999999999</v>
      </c>
      <c r="J30" s="17">
        <f t="shared" si="1"/>
        <v>-0.30649999999999983</v>
      </c>
    </row>
    <row r="31" spans="1:10" x14ac:dyDescent="0.2">
      <c r="A31" s="1">
        <f>Prices!A17</f>
        <v>35674</v>
      </c>
      <c r="C31" s="23">
        <f>HLOOKUP(B$22,Prices!$C$8:$T$58,Prices!$B17,0)</f>
        <v>2.35</v>
      </c>
      <c r="E31" s="23">
        <f>HLOOKUP(D$22,Prices!$C$8:$T$58,Prices!$B17,0)</f>
        <v>2.4500000000000002</v>
      </c>
      <c r="F31" s="17">
        <f t="shared" si="0"/>
        <v>0.10000000000000009</v>
      </c>
      <c r="H31" s="17">
        <f>IF(ISERROR(HLOOKUP(G$22,Tolls!$D$7:$R$58,Tolls!$B17,0)),"Not Available",HLOOKUP(G$22,Tolls!$D$7:$R$58,Tolls!$B17,0))</f>
        <v>0.50150000000000006</v>
      </c>
      <c r="J31" s="17">
        <f t="shared" si="1"/>
        <v>-0.40149999999999997</v>
      </c>
    </row>
    <row r="32" spans="1:10" x14ac:dyDescent="0.2">
      <c r="A32" s="1">
        <f>Prices!A18</f>
        <v>35704</v>
      </c>
      <c r="C32" s="23">
        <f>HLOOKUP(B$22,Prices!$C$8:$T$58,Prices!$B18,0)</f>
        <v>2.84</v>
      </c>
      <c r="E32" s="23">
        <f>HLOOKUP(D$22,Prices!$C$8:$T$58,Prices!$B18,0)</f>
        <v>3.09</v>
      </c>
      <c r="F32" s="17">
        <f t="shared" si="0"/>
        <v>0.25</v>
      </c>
      <c r="H32" s="17">
        <f>IF(ISERROR(HLOOKUP(G$22,Tolls!$D$7:$R$58,Tolls!$B18,0)),"Not Available",HLOOKUP(G$22,Tolls!$D$7:$R$58,Tolls!$B18,0))</f>
        <v>0.52600000000000002</v>
      </c>
      <c r="J32" s="17">
        <f t="shared" si="1"/>
        <v>-0.27600000000000002</v>
      </c>
    </row>
    <row r="33" spans="1:10" x14ac:dyDescent="0.2">
      <c r="A33" s="1">
        <f>Prices!A19</f>
        <v>35735</v>
      </c>
      <c r="C33" s="23">
        <f>HLOOKUP(B$22,Prices!$C$8:$T$58,Prices!$B19,0)</f>
        <v>3.06</v>
      </c>
      <c r="E33" s="23">
        <f>HLOOKUP(D$22,Prices!$C$8:$T$58,Prices!$B19,0)</f>
        <v>3.37</v>
      </c>
      <c r="F33" s="17">
        <f t="shared" si="0"/>
        <v>0.31000000000000005</v>
      </c>
      <c r="H33" s="17">
        <f>IF(ISERROR(HLOOKUP(G$22,Tolls!$D$7:$R$58,Tolls!$B19,0)),"Not Available",HLOOKUP(G$22,Tolls!$D$7:$R$58,Tolls!$B19,0))</f>
        <v>0.53700000000000003</v>
      </c>
      <c r="J33" s="17">
        <f t="shared" si="1"/>
        <v>-0.22699999999999998</v>
      </c>
    </row>
    <row r="34" spans="1:10" x14ac:dyDescent="0.2">
      <c r="A34" s="1">
        <f>Prices!A20</f>
        <v>35765</v>
      </c>
      <c r="C34" s="23">
        <f>HLOOKUP(B$22,Prices!$C$8:$T$58,Prices!$B20,0)</f>
        <v>2.2000000000000002</v>
      </c>
      <c r="E34" s="23">
        <f>HLOOKUP(D$22,Prices!$C$8:$T$58,Prices!$B20,0)</f>
        <v>2.29</v>
      </c>
      <c r="F34" s="17">
        <f t="shared" si="0"/>
        <v>8.9999999999999858E-2</v>
      </c>
      <c r="H34" s="17">
        <f>IF(ISERROR(HLOOKUP(G$22,Tolls!$D$7:$R$58,Tolls!$B20,0)),"Not Available",HLOOKUP(G$22,Tolls!$D$7:$R$58,Tolls!$B20,0))</f>
        <v>0.49399999999999999</v>
      </c>
      <c r="J34" s="17">
        <f t="shared" si="1"/>
        <v>-0.40400000000000014</v>
      </c>
    </row>
    <row r="35" spans="1:10" x14ac:dyDescent="0.2">
      <c r="A35" s="1">
        <f>Prices!A21</f>
        <v>35796</v>
      </c>
      <c r="C35" s="23">
        <f>HLOOKUP(B$22,Prices!$C$8:$T$58,Prices!$B21,0)</f>
        <v>2.09</v>
      </c>
      <c r="E35" s="23">
        <f>HLOOKUP(D$22,Prices!$C$8:$T$58,Prices!$B21,0)</f>
        <v>2.2400000000000002</v>
      </c>
      <c r="F35" s="17">
        <f t="shared" si="0"/>
        <v>0.15000000000000036</v>
      </c>
      <c r="H35" s="17">
        <f>IF(ISERROR(HLOOKUP(G$22,Tolls!$D$7:$R$58,Tolls!$B21,0)),"Not Available",HLOOKUP(G$22,Tolls!$D$7:$R$58,Tolls!$B21,0))</f>
        <v>0.48849999999999999</v>
      </c>
      <c r="J35" s="17">
        <f t="shared" si="1"/>
        <v>-0.33849999999999963</v>
      </c>
    </row>
    <row r="36" spans="1:10" x14ac:dyDescent="0.2">
      <c r="A36" s="1">
        <f>Prices!A22</f>
        <v>35827</v>
      </c>
      <c r="C36" s="23">
        <f>HLOOKUP(B$22,Prices!$C$8:$T$58,Prices!$B22,0)</f>
        <v>1.87</v>
      </c>
      <c r="E36" s="23">
        <f>HLOOKUP(D$22,Prices!$C$8:$T$58,Prices!$B22,0)</f>
        <v>2.09</v>
      </c>
      <c r="F36" s="17">
        <f t="shared" si="0"/>
        <v>0.21999999999999975</v>
      </c>
      <c r="H36" s="17">
        <f>IF(ISERROR(HLOOKUP(G$22,Tolls!$D$7:$R$58,Tolls!$B22,0)),"Not Available",HLOOKUP(G$22,Tolls!$D$7:$R$58,Tolls!$B22,0))</f>
        <v>0.47750000000000004</v>
      </c>
      <c r="J36" s="17">
        <f t="shared" si="1"/>
        <v>-0.25750000000000028</v>
      </c>
    </row>
    <row r="37" spans="1:10" x14ac:dyDescent="0.2">
      <c r="A37" s="1">
        <f>Prices!A23</f>
        <v>35855</v>
      </c>
      <c r="C37" s="23">
        <f>HLOOKUP(B$22,Prices!$C$8:$T$58,Prices!$B23,0)</f>
        <v>2.0699999999999998</v>
      </c>
      <c r="E37" s="23">
        <f>HLOOKUP(D$22,Prices!$C$8:$T$58,Prices!$B23,0)</f>
        <v>2.33</v>
      </c>
      <c r="F37" s="17">
        <f t="shared" si="0"/>
        <v>0.26000000000000023</v>
      </c>
      <c r="H37" s="17">
        <f>IF(ISERROR(HLOOKUP(G$22,Tolls!$D$7:$R$58,Tolls!$B23,0)),"Not Available",HLOOKUP(G$22,Tolls!$D$7:$R$58,Tolls!$B23,0))</f>
        <v>0.48749999999999999</v>
      </c>
      <c r="J37" s="17">
        <f t="shared" si="1"/>
        <v>-0.22749999999999976</v>
      </c>
    </row>
    <row r="38" spans="1:10" x14ac:dyDescent="0.2">
      <c r="A38" s="1">
        <f>Prices!A24</f>
        <v>35886</v>
      </c>
      <c r="C38" s="23">
        <f>HLOOKUP(B$22,Prices!$C$8:$T$58,Prices!$B24,0)</f>
        <v>2.15</v>
      </c>
      <c r="E38" s="23">
        <f>HLOOKUP(D$22,Prices!$C$8:$T$58,Prices!$B24,0)</f>
        <v>2.39</v>
      </c>
      <c r="F38" s="17">
        <f t="shared" si="0"/>
        <v>0.24000000000000021</v>
      </c>
      <c r="H38" s="17">
        <f>IF(ISERROR(HLOOKUP(G$22,Tolls!$D$7:$R$58,Tolls!$B24,0)),"Not Available",HLOOKUP(G$22,Tolls!$D$7:$R$58,Tolls!$B24,0))</f>
        <v>0.49149999999999999</v>
      </c>
      <c r="J38" s="17">
        <f t="shared" si="1"/>
        <v>-0.25149999999999978</v>
      </c>
    </row>
    <row r="39" spans="1:10" x14ac:dyDescent="0.2">
      <c r="A39" s="1">
        <f>Prices!A25</f>
        <v>35916</v>
      </c>
      <c r="C39" s="23">
        <f>HLOOKUP(B$22,Prices!$C$8:$T$58,Prices!$B25,0)</f>
        <v>2.12</v>
      </c>
      <c r="E39" s="23">
        <f>HLOOKUP(D$22,Prices!$C$8:$T$58,Prices!$B25,0)</f>
        <v>2.37</v>
      </c>
      <c r="F39" s="17">
        <f t="shared" si="0"/>
        <v>0.25</v>
      </c>
      <c r="H39" s="17">
        <f>IF(ISERROR(HLOOKUP(G$22,Tolls!$D$7:$R$58,Tolls!$B25,0)),"Not Available",HLOOKUP(G$22,Tolls!$D$7:$R$58,Tolls!$B25,0))</f>
        <v>0.49</v>
      </c>
      <c r="J39" s="17">
        <f t="shared" si="1"/>
        <v>-0.24</v>
      </c>
    </row>
    <row r="40" spans="1:10" x14ac:dyDescent="0.2">
      <c r="A40" s="1">
        <f>Prices!A26</f>
        <v>35947</v>
      </c>
      <c r="C40" s="23">
        <f>HLOOKUP(B$22,Prices!$C$8:$T$58,Prices!$B26,0)</f>
        <v>1.89</v>
      </c>
      <c r="E40" s="23">
        <f>HLOOKUP(D$22,Prices!$C$8:$T$58,Prices!$B26,0)</f>
        <v>2.11</v>
      </c>
      <c r="F40" s="17">
        <f t="shared" si="0"/>
        <v>0.21999999999999997</v>
      </c>
      <c r="H40" s="17">
        <f>IF(ISERROR(HLOOKUP(G$22,Tolls!$D$7:$R$58,Tolls!$B26,0)),"Not Available",HLOOKUP(G$22,Tolls!$D$7:$R$58,Tolls!$B26,0))</f>
        <v>0.47850000000000004</v>
      </c>
      <c r="J40" s="17">
        <f t="shared" si="1"/>
        <v>-0.25850000000000006</v>
      </c>
    </row>
    <row r="41" spans="1:10" x14ac:dyDescent="0.2">
      <c r="A41" s="1">
        <f>Prices!A27</f>
        <v>35977</v>
      </c>
      <c r="C41" s="23">
        <f>HLOOKUP(B$22,Prices!$C$8:$T$58,Prices!$B27,0)</f>
        <v>2.17</v>
      </c>
      <c r="E41" s="23">
        <f>HLOOKUP(D$22,Prices!$C$8:$T$58,Prices!$B27,0)</f>
        <v>2.2400000000000002</v>
      </c>
      <c r="F41" s="17">
        <f t="shared" si="0"/>
        <v>7.0000000000000284E-2</v>
      </c>
      <c r="H41" s="17">
        <f>IF(ISERROR(HLOOKUP(G$22,Tolls!$D$7:$R$58,Tolls!$B27,0)),"Not Available",HLOOKUP(G$22,Tolls!$D$7:$R$58,Tolls!$B27,0))</f>
        <v>0.49249999999999999</v>
      </c>
      <c r="J41" s="17">
        <f t="shared" si="1"/>
        <v>-0.42249999999999971</v>
      </c>
    </row>
    <row r="42" spans="1:10" x14ac:dyDescent="0.2">
      <c r="A42" s="1">
        <f>Prices!A28</f>
        <v>36008</v>
      </c>
      <c r="C42" s="23">
        <f>HLOOKUP(B$22,Prices!$C$8:$T$58,Prices!$B28,0)</f>
        <v>1.94</v>
      </c>
      <c r="E42" s="23">
        <f>HLOOKUP(D$22,Prices!$C$8:$T$58,Prices!$B28,0)</f>
        <v>2.2799999999999998</v>
      </c>
      <c r="F42" s="17">
        <f t="shared" si="0"/>
        <v>0.33999999999999986</v>
      </c>
      <c r="H42" s="17">
        <f>IF(ISERROR(HLOOKUP(G$22,Tolls!$D$7:$R$58,Tolls!$B28,0)),"Not Available",HLOOKUP(G$22,Tolls!$D$7:$R$58,Tolls!$B28,0))</f>
        <v>0.48099999999999998</v>
      </c>
      <c r="J42" s="17">
        <f t="shared" si="1"/>
        <v>-0.14100000000000013</v>
      </c>
    </row>
    <row r="43" spans="1:10" x14ac:dyDescent="0.2">
      <c r="A43" s="1">
        <f>Prices!A29</f>
        <v>36039</v>
      </c>
      <c r="C43" s="23">
        <f>HLOOKUP(B$22,Prices!$C$8:$T$58,Prices!$B29,0)</f>
        <v>1.59</v>
      </c>
      <c r="E43" s="23">
        <f>HLOOKUP(D$22,Prices!$C$8:$T$58,Prices!$B29,0)</f>
        <v>2</v>
      </c>
      <c r="F43" s="17">
        <f t="shared" si="0"/>
        <v>0.40999999999999992</v>
      </c>
      <c r="H43" s="17">
        <f>IF(ISERROR(HLOOKUP(G$22,Tolls!$D$7:$R$58,Tolls!$B29,0)),"Not Available",HLOOKUP(G$22,Tolls!$D$7:$R$58,Tolls!$B29,0))</f>
        <v>0.46350000000000002</v>
      </c>
      <c r="J43" s="17">
        <f t="shared" si="1"/>
        <v>-5.3500000000000103E-2</v>
      </c>
    </row>
    <row r="44" spans="1:10" x14ac:dyDescent="0.2">
      <c r="A44" s="1">
        <f>Prices!A30</f>
        <v>36069</v>
      </c>
      <c r="C44" s="23">
        <f>HLOOKUP(B$22,Prices!$C$8:$T$58,Prices!$B30,0)</f>
        <v>2.09</v>
      </c>
      <c r="E44" s="23">
        <f>HLOOKUP(D$22,Prices!$C$8:$T$58,Prices!$B30,0)</f>
        <v>2.02</v>
      </c>
      <c r="F44" s="17">
        <f t="shared" si="0"/>
        <v>-6.999999999999984E-2</v>
      </c>
      <c r="H44" s="17">
        <f>IF(ISERROR(HLOOKUP(G$22,Tolls!$D$7:$R$58,Tolls!$B30,0)),"Not Available",HLOOKUP(G$22,Tolls!$D$7:$R$58,Tolls!$B30,0))</f>
        <v>0.48849999999999999</v>
      </c>
      <c r="J44" s="17">
        <f t="shared" si="1"/>
        <v>-0.55849999999999977</v>
      </c>
    </row>
    <row r="45" spans="1:10" x14ac:dyDescent="0.2">
      <c r="A45" s="1">
        <f>Prices!A31</f>
        <v>36100</v>
      </c>
      <c r="C45" s="23">
        <f>HLOOKUP(B$22,Prices!$C$8:$T$58,Prices!$B31,0)</f>
        <v>1.99</v>
      </c>
      <c r="E45" s="23">
        <f>HLOOKUP(D$22,Prices!$C$8:$T$58,Prices!$B31,0)</f>
        <v>2.33</v>
      </c>
      <c r="F45" s="17">
        <f t="shared" si="0"/>
        <v>0.34000000000000008</v>
      </c>
      <c r="H45" s="17">
        <f>IF(ISERROR(HLOOKUP(G$22,Tolls!$D$7:$R$58,Tolls!$B31,0)),"Not Available",HLOOKUP(G$22,Tolls!$D$7:$R$58,Tolls!$B31,0))</f>
        <v>0.48350000000000004</v>
      </c>
      <c r="J45" s="17">
        <f t="shared" si="1"/>
        <v>-0.14349999999999996</v>
      </c>
    </row>
    <row r="46" spans="1:10" x14ac:dyDescent="0.2">
      <c r="A46" s="1">
        <f>Prices!A32</f>
        <v>36130</v>
      </c>
      <c r="C46" s="23">
        <f>HLOOKUP(B$22,Prices!$C$8:$T$58,Prices!$B32,0)</f>
        <v>1.99</v>
      </c>
      <c r="E46" s="23">
        <f>HLOOKUP(D$22,Prices!$C$8:$T$58,Prices!$B32,0)</f>
        <v>2.2799999999999998</v>
      </c>
      <c r="F46" s="17">
        <f t="shared" si="0"/>
        <v>0.28999999999999981</v>
      </c>
      <c r="H46" s="17">
        <f>IF(ISERROR(HLOOKUP(G$22,Tolls!$D$7:$R$58,Tolls!$B32,0)),"Not Available",HLOOKUP(G$22,Tolls!$D$7:$R$58,Tolls!$B32,0))</f>
        <v>0.48350000000000004</v>
      </c>
      <c r="J46" s="17">
        <f t="shared" si="1"/>
        <v>-0.19350000000000023</v>
      </c>
    </row>
    <row r="47" spans="1:10" x14ac:dyDescent="0.2">
      <c r="A47" s="1">
        <f>Prices!A33</f>
        <v>36161</v>
      </c>
      <c r="C47" s="23">
        <f>HLOOKUP(B$22,Prices!$C$8:$T$58,Prices!$B33,0)</f>
        <v>1.74</v>
      </c>
      <c r="E47" s="23">
        <f>HLOOKUP(D$22,Prices!$C$8:$T$58,Prices!$B33,0)</f>
        <v>2.02</v>
      </c>
      <c r="F47" s="17">
        <f t="shared" si="0"/>
        <v>0.28000000000000003</v>
      </c>
      <c r="H47" s="17">
        <f>IF(ISERROR(HLOOKUP(G$22,Tolls!$D$7:$R$58,Tolls!$B33,0)),"Not Available",HLOOKUP(G$22,Tolls!$D$7:$R$58,Tolls!$B33,0))</f>
        <v>0.47100000000000003</v>
      </c>
      <c r="J47" s="17">
        <f t="shared" si="1"/>
        <v>-0.191</v>
      </c>
    </row>
    <row r="48" spans="1:10" x14ac:dyDescent="0.2">
      <c r="A48" s="1">
        <f>Prices!A34</f>
        <v>36192</v>
      </c>
      <c r="C48" s="23">
        <f>HLOOKUP(B$22,Prices!$C$8:$T$58,Prices!$B34,0)</f>
        <v>1.67</v>
      </c>
      <c r="E48" s="23">
        <f>HLOOKUP(D$22,Prices!$C$8:$T$58,Prices!$B34,0)</f>
        <v>1.82</v>
      </c>
      <c r="F48" s="17">
        <f t="shared" si="0"/>
        <v>0.15000000000000013</v>
      </c>
      <c r="H48" s="17">
        <f>IF(ISERROR(HLOOKUP(G$22,Tolls!$D$7:$R$58,Tolls!$B34,0)),"Not Available",HLOOKUP(G$22,Tolls!$D$7:$R$58,Tolls!$B34,0))</f>
        <v>0.46750000000000003</v>
      </c>
      <c r="J48" s="17">
        <f t="shared" si="1"/>
        <v>-0.31749999999999989</v>
      </c>
    </row>
    <row r="49" spans="1:10" x14ac:dyDescent="0.2">
      <c r="A49" s="1">
        <f>Prices!A35</f>
        <v>36220</v>
      </c>
      <c r="C49" s="23">
        <f>HLOOKUP(B$22,Prices!$C$8:$T$58,Prices!$B35,0)</f>
        <v>1.57</v>
      </c>
      <c r="E49" s="23">
        <f>HLOOKUP(D$22,Prices!$C$8:$T$58,Prices!$B35,0)</f>
        <v>1.73</v>
      </c>
      <c r="F49" s="17">
        <f t="shared" si="0"/>
        <v>0.15999999999999992</v>
      </c>
      <c r="H49" s="17">
        <f>IF(ISERROR(HLOOKUP(G$22,Tolls!$D$7:$R$58,Tolls!$B35,0)),"Not Available",HLOOKUP(G$22,Tolls!$D$7:$R$58,Tolls!$B35,0))</f>
        <v>0.46250000000000002</v>
      </c>
      <c r="J49" s="17">
        <f t="shared" si="1"/>
        <v>-0.3025000000000001</v>
      </c>
    </row>
    <row r="50" spans="1:10" x14ac:dyDescent="0.2">
      <c r="A50" s="1">
        <f>Prices!A36</f>
        <v>36251</v>
      </c>
      <c r="C50" s="23">
        <f>HLOOKUP(B$22,Prices!$C$8:$T$58,Prices!$B36,0)</f>
        <v>1.66</v>
      </c>
      <c r="E50" s="23">
        <f>HLOOKUP(D$22,Prices!$C$8:$T$58,Prices!$B36,0)</f>
        <v>1.79</v>
      </c>
      <c r="F50" s="17">
        <f t="shared" si="0"/>
        <v>0.13000000000000012</v>
      </c>
      <c r="H50" s="17">
        <f>IF(ISERROR(HLOOKUP(G$22,Tolls!$D$7:$R$58,Tolls!$B36,0)),"Not Available",HLOOKUP(G$22,Tolls!$D$7:$R$58,Tolls!$B36,0))</f>
        <v>0.46700000000000003</v>
      </c>
      <c r="J50" s="17">
        <f t="shared" si="1"/>
        <v>-0.33699999999999991</v>
      </c>
    </row>
    <row r="51" spans="1:10" x14ac:dyDescent="0.2">
      <c r="A51" s="1">
        <f>Prices!A37</f>
        <v>36281</v>
      </c>
      <c r="C51" s="23">
        <f>HLOOKUP(B$22,Prices!$C$8:$T$58,Prices!$B37,0)</f>
        <v>2.16</v>
      </c>
      <c r="E51" s="23">
        <f>HLOOKUP(D$22,Prices!$C$8:$T$58,Prices!$B37,0)</f>
        <v>2.23</v>
      </c>
      <c r="F51" s="17">
        <f t="shared" si="0"/>
        <v>6.999999999999984E-2</v>
      </c>
      <c r="H51" s="17">
        <f>IF(ISERROR(HLOOKUP(G$22,Tolls!$D$7:$R$58,Tolls!$B37,0)),"Not Available",HLOOKUP(G$22,Tolls!$D$7:$R$58,Tolls!$B37,0))</f>
        <v>0.49199999999999999</v>
      </c>
      <c r="J51" s="17">
        <f t="shared" si="1"/>
        <v>-0.42200000000000015</v>
      </c>
    </row>
    <row r="52" spans="1:10" x14ac:dyDescent="0.2">
      <c r="A52" s="1">
        <f>Prices!A38</f>
        <v>36312</v>
      </c>
      <c r="C52" s="23">
        <f>HLOOKUP(B$22,Prices!$C$8:$T$58,Prices!$B38,0)</f>
        <v>2.08</v>
      </c>
      <c r="E52" s="23">
        <f>HLOOKUP(D$22,Prices!$C$8:$T$58,Prices!$B38,0)</f>
        <v>2.2200000000000002</v>
      </c>
      <c r="F52" s="17">
        <f t="shared" si="0"/>
        <v>0.14000000000000012</v>
      </c>
      <c r="H52" s="17">
        <f>IF(ISERROR(HLOOKUP(G$22,Tolls!$D$7:$R$58,Tolls!$B38,0)),"Not Available",HLOOKUP(G$22,Tolls!$D$7:$R$58,Tolls!$B38,0))</f>
        <v>0.48799999999999999</v>
      </c>
      <c r="J52" s="17">
        <f t="shared" si="1"/>
        <v>-0.34799999999999986</v>
      </c>
    </row>
    <row r="53" spans="1:10" x14ac:dyDescent="0.2">
      <c r="A53" s="1">
        <f>Prices!A39</f>
        <v>36342</v>
      </c>
      <c r="C53" s="23">
        <f>HLOOKUP(B$22,Prices!$C$8:$T$58,Prices!$B39,0)</f>
        <v>2.17</v>
      </c>
      <c r="E53" s="23">
        <f>HLOOKUP(D$22,Prices!$C$8:$T$58,Prices!$B39,0)</f>
        <v>2.38</v>
      </c>
      <c r="F53" s="17">
        <f t="shared" si="0"/>
        <v>0.20999999999999996</v>
      </c>
      <c r="H53" s="17">
        <f>IF(ISERROR(HLOOKUP(G$22,Tolls!$D$7:$R$58,Tolls!$B39,0)),"Not Available",HLOOKUP(G$22,Tolls!$D$7:$R$58,Tolls!$B39,0))</f>
        <v>0.49249999999999999</v>
      </c>
      <c r="J53" s="17">
        <f t="shared" si="1"/>
        <v>-0.28250000000000003</v>
      </c>
    </row>
    <row r="54" spans="1:10" x14ac:dyDescent="0.2">
      <c r="A54" s="1">
        <f>Prices!A40</f>
        <v>36373</v>
      </c>
      <c r="C54" s="23">
        <f>HLOOKUP(B$22,Prices!$C$8:$T$58,Prices!$B40,0)</f>
        <v>2.4500000000000002</v>
      </c>
      <c r="E54" s="23">
        <f>HLOOKUP(D$22,Prices!$C$8:$T$58,Prices!$B40,0)</f>
        <v>2.59</v>
      </c>
      <c r="F54" s="17">
        <f t="shared" si="0"/>
        <v>0.13999999999999968</v>
      </c>
      <c r="H54" s="17">
        <f>IF(ISERROR(HLOOKUP(G$22,Tolls!$D$7:$R$58,Tolls!$B40,0)),"Not Available",HLOOKUP(G$22,Tolls!$D$7:$R$58,Tolls!$B40,0))</f>
        <v>0.50650000000000006</v>
      </c>
      <c r="J54" s="17">
        <f t="shared" si="1"/>
        <v>-0.36650000000000038</v>
      </c>
    </row>
    <row r="55" spans="1:10" x14ac:dyDescent="0.2">
      <c r="A55" s="1">
        <f>Prices!A41</f>
        <v>36404</v>
      </c>
      <c r="C55" s="23">
        <f>HLOOKUP(B$22,Prices!$C$8:$T$58,Prices!$B41,0)</f>
        <v>2.77</v>
      </c>
      <c r="E55" s="23">
        <f>HLOOKUP(D$22,Prices!$C$8:$T$58,Prices!$B41,0)</f>
        <v>2.93</v>
      </c>
      <c r="F55" s="17">
        <f t="shared" ref="F55:F72" si="2">E55-C55</f>
        <v>0.16000000000000014</v>
      </c>
      <c r="H55" s="17">
        <f>IF(ISERROR(HLOOKUP(G$22,Tolls!$D$7:$R$58,Tolls!$B41,0)),"Not Available",HLOOKUP(G$22,Tolls!$D$7:$R$58,Tolls!$B41,0))</f>
        <v>0.52249999999999996</v>
      </c>
      <c r="J55" s="17">
        <f t="shared" ref="J55:J72" si="3">F55-H55</f>
        <v>-0.36249999999999982</v>
      </c>
    </row>
    <row r="56" spans="1:10" x14ac:dyDescent="0.2">
      <c r="A56" s="1">
        <f>Prices!A42</f>
        <v>36434</v>
      </c>
      <c r="C56" s="23">
        <f>HLOOKUP(B$22,Prices!$C$8:$T$58,Prices!$B42,0)</f>
        <v>2.4700000000000002</v>
      </c>
      <c r="E56" s="23">
        <f>HLOOKUP(D$22,Prices!$C$8:$T$58,Prices!$B42,0)</f>
        <v>2.7</v>
      </c>
      <c r="F56" s="17">
        <f t="shared" si="2"/>
        <v>0.22999999999999998</v>
      </c>
      <c r="H56" s="17">
        <f>IF(ISERROR(HLOOKUP(G$22,Tolls!$D$7:$R$58,Tolls!$B42,0)),"Not Available",HLOOKUP(G$22,Tolls!$D$7:$R$58,Tolls!$B42,0))</f>
        <v>0.50750000000000006</v>
      </c>
      <c r="J56" s="17">
        <f t="shared" si="3"/>
        <v>-0.27750000000000008</v>
      </c>
    </row>
    <row r="57" spans="1:10" x14ac:dyDescent="0.2">
      <c r="A57" s="1">
        <f>Prices!A43</f>
        <v>36465</v>
      </c>
      <c r="C57" s="23">
        <f>HLOOKUP(B$22,Prices!$C$8:$T$58,Prices!$B43,0)</f>
        <v>2.88</v>
      </c>
      <c r="E57" s="23">
        <f>HLOOKUP(D$22,Prices!$C$8:$T$58,Prices!$B43,0)</f>
        <v>3.06</v>
      </c>
      <c r="F57" s="17">
        <f t="shared" si="2"/>
        <v>0.18000000000000016</v>
      </c>
      <c r="H57" s="17">
        <f>IF(ISERROR(HLOOKUP(G$22,Tolls!$D$7:$R$58,Tolls!$B43,0)),"Not Available",HLOOKUP(G$22,Tolls!$D$7:$R$58,Tolls!$B43,0))</f>
        <v>0.52800000000000002</v>
      </c>
      <c r="J57" s="17">
        <f t="shared" si="3"/>
        <v>-0.34799999999999986</v>
      </c>
    </row>
    <row r="58" spans="1:10" x14ac:dyDescent="0.2">
      <c r="A58" s="1">
        <f>Prices!A44</f>
        <v>36495</v>
      </c>
      <c r="C58" s="23">
        <f>HLOOKUP(B$22,Prices!$C$8:$T$58,Prices!$B44,0)</f>
        <v>2.09</v>
      </c>
      <c r="E58" s="23">
        <f>HLOOKUP(D$22,Prices!$C$8:$T$58,Prices!$B44,0)</f>
        <v>2.41</v>
      </c>
      <c r="F58" s="17">
        <f t="shared" si="2"/>
        <v>0.32000000000000028</v>
      </c>
      <c r="H58" s="17">
        <f>IF(ISERROR(HLOOKUP(G$22,Tolls!$D$7:$R$58,Tolls!$B44,0)),"Not Available",HLOOKUP(G$22,Tolls!$D$7:$R$58,Tolls!$B44,0))</f>
        <v>0.48849999999999999</v>
      </c>
      <c r="J58" s="17">
        <f t="shared" si="3"/>
        <v>-0.16849999999999971</v>
      </c>
    </row>
    <row r="59" spans="1:10" x14ac:dyDescent="0.2">
      <c r="A59" s="1">
        <f>Prices!A45</f>
        <v>36526</v>
      </c>
      <c r="C59" s="23">
        <f>HLOOKUP(B$22,Prices!$C$8:$T$58,Prices!$B45,0)</f>
        <v>2.1800000000000002</v>
      </c>
      <c r="E59" s="23">
        <f>HLOOKUP(D$22,Prices!$C$8:$T$58,Prices!$B45,0)</f>
        <v>2.38</v>
      </c>
      <c r="F59" s="17">
        <f t="shared" si="2"/>
        <v>0.19999999999999973</v>
      </c>
      <c r="H59" s="17">
        <f>IF(ISERROR(HLOOKUP(G$22,Tolls!$D$7:$R$58,Tolls!$B45,0)),"Not Available",HLOOKUP(G$22,Tolls!$D$7:$R$58,Tolls!$B45,0))</f>
        <v>0.49299999999999999</v>
      </c>
      <c r="J59" s="17">
        <f t="shared" si="3"/>
        <v>-0.29300000000000026</v>
      </c>
    </row>
    <row r="60" spans="1:10" x14ac:dyDescent="0.2">
      <c r="A60" s="1">
        <f>Prices!A46</f>
        <v>36557</v>
      </c>
      <c r="C60" s="23">
        <f>HLOOKUP(B$22,Prices!$C$8:$T$58,Prices!$B46,0)</f>
        <v>2.4300000000000002</v>
      </c>
      <c r="E60" s="23">
        <f>HLOOKUP(D$22,Prices!$C$8:$T$58,Prices!$B46,0)</f>
        <v>2.5499999999999998</v>
      </c>
      <c r="F60" s="17">
        <f t="shared" si="2"/>
        <v>0.11999999999999966</v>
      </c>
      <c r="H60" s="17">
        <f>IF(ISERROR(HLOOKUP(G$22,Tolls!$D$7:$R$58,Tolls!$B46,0)),"Not Available",HLOOKUP(G$22,Tolls!$D$7:$R$58,Tolls!$B46,0))</f>
        <v>0.50550000000000006</v>
      </c>
      <c r="J60" s="17">
        <f t="shared" si="3"/>
        <v>-0.3855000000000004</v>
      </c>
    </row>
    <row r="61" spans="1:10" x14ac:dyDescent="0.2">
      <c r="A61" s="1">
        <f>Prices!A47</f>
        <v>36586</v>
      </c>
      <c r="C61" s="23">
        <f>HLOOKUP(B$22,Prices!$C$8:$T$58,Prices!$B47,0)</f>
        <v>2.41</v>
      </c>
      <c r="E61" s="23">
        <f>HLOOKUP(D$22,Prices!$C$8:$T$58,Prices!$B47,0)</f>
        <v>2.58</v>
      </c>
      <c r="F61" s="17">
        <f t="shared" si="2"/>
        <v>0.16999999999999993</v>
      </c>
      <c r="H61" s="17">
        <f>IF(ISERROR(HLOOKUP(G$22,Tolls!$D$7:$R$58,Tolls!$B47,0)),"Not Available",HLOOKUP(G$22,Tolls!$D$7:$R$58,Tolls!$B47,0))</f>
        <v>0.50450000000000006</v>
      </c>
      <c r="J61" s="17">
        <f t="shared" si="3"/>
        <v>-0.33450000000000013</v>
      </c>
    </row>
    <row r="62" spans="1:10" x14ac:dyDescent="0.2">
      <c r="A62" s="1">
        <f>Prices!A48</f>
        <v>36617</v>
      </c>
      <c r="C62" s="23">
        <f>HLOOKUP(B$22,Prices!$C$8:$T$58,Prices!$B48,0)</f>
        <v>2.79</v>
      </c>
      <c r="E62" s="23">
        <f>HLOOKUP(D$22,Prices!$C$8:$T$58,Prices!$B48,0)</f>
        <v>3.04</v>
      </c>
      <c r="F62" s="17">
        <f t="shared" si="2"/>
        <v>0.25</v>
      </c>
      <c r="H62" s="17">
        <f>IF(ISERROR(HLOOKUP(G$22,Tolls!$D$7:$R$58,Tolls!$B48,0)),"Not Available",HLOOKUP(G$22,Tolls!$D$7:$R$58,Tolls!$B48,0))</f>
        <v>0.52350000000000008</v>
      </c>
      <c r="J62" s="17">
        <f t="shared" si="3"/>
        <v>-0.27350000000000008</v>
      </c>
    </row>
    <row r="63" spans="1:10" x14ac:dyDescent="0.2">
      <c r="A63" s="1">
        <f>Prices!A49</f>
        <v>36647</v>
      </c>
      <c r="C63" s="23">
        <f>HLOOKUP(B$22,Prices!$C$8:$T$58,Prices!$B49,0)</f>
        <v>2.89</v>
      </c>
      <c r="E63" s="23">
        <f>HLOOKUP(D$22,Prices!$C$8:$T$58,Prices!$B49,0)</f>
        <v>3.04</v>
      </c>
      <c r="F63" s="17">
        <f t="shared" si="2"/>
        <v>0.14999999999999991</v>
      </c>
      <c r="H63" s="17">
        <f>IF(ISERROR(HLOOKUP(G$22,Tolls!$D$7:$R$58,Tolls!$B49,0)),"Not Available",HLOOKUP(G$22,Tolls!$D$7:$R$58,Tolls!$B49,0))</f>
        <v>0.52849999999999997</v>
      </c>
      <c r="J63" s="17">
        <f t="shared" si="3"/>
        <v>-0.37850000000000006</v>
      </c>
    </row>
    <row r="64" spans="1:10" x14ac:dyDescent="0.2">
      <c r="A64" s="1">
        <f>Prices!A50</f>
        <v>36678</v>
      </c>
      <c r="C64" s="23">
        <f>HLOOKUP(B$22,Prices!$C$8:$T$58,Prices!$B50,0)</f>
        <v>4.12</v>
      </c>
      <c r="E64" s="23">
        <f>HLOOKUP(D$22,Prices!$C$8:$T$58,Prices!$B50,0)</f>
        <v>4.3099999999999996</v>
      </c>
      <c r="F64" s="17">
        <f t="shared" si="2"/>
        <v>0.1899999999999995</v>
      </c>
      <c r="H64" s="17">
        <f>IF(ISERROR(HLOOKUP(G$22,Tolls!$D$7:$R$58,Tolls!$B50,0)),"Not Available",HLOOKUP(G$22,Tolls!$D$7:$R$58,Tolls!$B50,0))</f>
        <v>0.59000000000000008</v>
      </c>
      <c r="J64" s="17">
        <f t="shared" si="3"/>
        <v>-0.40000000000000058</v>
      </c>
    </row>
    <row r="65" spans="1:10" x14ac:dyDescent="0.2">
      <c r="A65" s="1">
        <f>Prices!A51</f>
        <v>36708</v>
      </c>
      <c r="C65" s="23">
        <f>HLOOKUP(B$22,Prices!$C$8:$T$58,Prices!$B51,0)</f>
        <v>4.3600000000000003</v>
      </c>
      <c r="E65" s="23">
        <f>HLOOKUP(D$22,Prices!$C$8:$T$58,Prices!$B51,0)</f>
        <v>4.9000000000000004</v>
      </c>
      <c r="F65" s="17">
        <f t="shared" si="2"/>
        <v>0.54</v>
      </c>
      <c r="H65" s="17">
        <f>IF(ISERROR(HLOOKUP(G$22,Tolls!$D$7:$R$58,Tolls!$B51,0)),"Not Available",HLOOKUP(G$22,Tolls!$D$7:$R$58,Tolls!$B51,0))</f>
        <v>0.60200000000000009</v>
      </c>
      <c r="J65" s="17">
        <f t="shared" si="3"/>
        <v>-6.2000000000000055E-2</v>
      </c>
    </row>
    <row r="66" spans="1:10" x14ac:dyDescent="0.2">
      <c r="A66" s="1">
        <f>Prices!A52</f>
        <v>36739</v>
      </c>
      <c r="C66" s="23">
        <f>HLOOKUP(B$22,Prices!$C$8:$T$58,Prices!$B52,0)</f>
        <v>3.8</v>
      </c>
      <c r="E66" s="23">
        <f>HLOOKUP(D$22,Prices!$C$8:$T$58,Prices!$B52,0)</f>
        <v>4.5599999999999996</v>
      </c>
      <c r="F66" s="17">
        <f t="shared" si="2"/>
        <v>0.75999999999999979</v>
      </c>
      <c r="H66" s="17">
        <f>IF(ISERROR(HLOOKUP(G$22,Tolls!$D$7:$R$58,Tolls!$B52,0)),"Not Available",HLOOKUP(G$22,Tolls!$D$7:$R$58,Tolls!$B52,0))</f>
        <v>0.57400000000000007</v>
      </c>
      <c r="J66" s="17">
        <f t="shared" si="3"/>
        <v>0.18599999999999972</v>
      </c>
    </row>
    <row r="67" spans="1:10" x14ac:dyDescent="0.2">
      <c r="A67" s="1">
        <f>Prices!A53</f>
        <v>36770</v>
      </c>
      <c r="C67" s="23">
        <f>HLOOKUP(B$22,Prices!$C$8:$T$58,Prices!$B53,0)</f>
        <v>4.51</v>
      </c>
      <c r="E67" s="23">
        <f>HLOOKUP(D$22,Prices!$C$8:$T$58,Prices!$B53,0)</f>
        <v>7</v>
      </c>
      <c r="F67" s="17">
        <f t="shared" si="2"/>
        <v>2.4900000000000002</v>
      </c>
      <c r="H67" s="17">
        <f>IF(ISERROR(HLOOKUP(G$22,Tolls!$D$7:$R$58,Tolls!$B53,0)),"Not Available",HLOOKUP(G$22,Tolls!$D$7:$R$58,Tolls!$B53,0))</f>
        <v>0.60950000000000004</v>
      </c>
      <c r="J67" s="17">
        <f t="shared" si="3"/>
        <v>1.8805000000000001</v>
      </c>
    </row>
    <row r="68" spans="1:10" x14ac:dyDescent="0.2">
      <c r="A68" s="1">
        <f>Prices!A54</f>
        <v>36800</v>
      </c>
      <c r="C68" s="23">
        <f>HLOOKUP(B$22,Prices!$C$8:$T$58,Prices!$B54,0)</f>
        <v>5.17</v>
      </c>
      <c r="E68" s="23">
        <f>HLOOKUP(D$22,Prices!$C$8:$T$58,Prices!$B54,0)</f>
        <v>5.57</v>
      </c>
      <c r="F68" s="17">
        <f t="shared" si="2"/>
        <v>0.40000000000000036</v>
      </c>
      <c r="H68" s="17">
        <f>IF(ISERROR(HLOOKUP(G$22,Tolls!$D$7:$R$58,Tolls!$B54,0)),"Not Available",HLOOKUP(G$22,Tolls!$D$7:$R$58,Tolls!$B54,0))</f>
        <v>0.64250000000000007</v>
      </c>
      <c r="J68" s="17">
        <f t="shared" si="3"/>
        <v>-0.24249999999999972</v>
      </c>
    </row>
    <row r="69" spans="1:10" x14ac:dyDescent="0.2">
      <c r="A69" s="1">
        <f>Prices!A55</f>
        <v>36831</v>
      </c>
      <c r="C69" s="23">
        <f>HLOOKUP(B$22,Prices!$C$8:$T$58,Prices!$B55,0)</f>
        <v>4.46</v>
      </c>
      <c r="E69" s="23">
        <f>HLOOKUP(D$22,Prices!$C$8:$T$58,Prices!$B55,0)</f>
        <v>5.2</v>
      </c>
      <c r="F69" s="17">
        <f t="shared" si="2"/>
        <v>0.74000000000000021</v>
      </c>
      <c r="H69" s="17">
        <f>IF(ISERROR(HLOOKUP(G$22,Tolls!$D$7:$R$58,Tolls!$B55,0)),"Not Available",HLOOKUP(G$22,Tolls!$D$7:$R$58,Tolls!$B55,0))</f>
        <v>0.60699999999999998</v>
      </c>
      <c r="J69" s="17">
        <f t="shared" si="3"/>
        <v>0.13300000000000023</v>
      </c>
    </row>
    <row r="70" spans="1:10" x14ac:dyDescent="0.2">
      <c r="A70" s="1">
        <f>Prices!A56</f>
        <v>36861</v>
      </c>
      <c r="C70" s="23">
        <f>HLOOKUP(B$22,Prices!$C$8:$T$58,Prices!$B56,0)</f>
        <v>6.31</v>
      </c>
      <c r="E70" s="23">
        <f>HLOOKUP(D$22,Prices!$C$8:$T$58,Prices!$B56,0)</f>
        <v>13.81</v>
      </c>
      <c r="F70" s="17">
        <f t="shared" si="2"/>
        <v>7.5000000000000009</v>
      </c>
      <c r="H70" s="17">
        <f>IF(ISERROR(HLOOKUP(G$22,Tolls!$D$7:$R$58,Tolls!$B56,0)),"Not Available",HLOOKUP(G$22,Tolls!$D$7:$R$58,Tolls!$B56,0))</f>
        <v>0.69950000000000001</v>
      </c>
      <c r="J70" s="17">
        <f t="shared" si="3"/>
        <v>6.8005000000000013</v>
      </c>
    </row>
    <row r="71" spans="1:10" x14ac:dyDescent="0.2">
      <c r="A71" s="1">
        <f>Prices!A57</f>
        <v>36892</v>
      </c>
      <c r="C71" s="23">
        <f>HLOOKUP(B$22,Prices!$C$8:$T$58,Prices!$B57,0)</f>
        <v>9.9499999999999993</v>
      </c>
      <c r="E71" s="23">
        <f>HLOOKUP(D$22,Prices!$C$8:$T$58,Prices!$B57,0)</f>
        <v>16.13</v>
      </c>
      <c r="F71" s="17">
        <f t="shared" si="2"/>
        <v>6.18</v>
      </c>
      <c r="H71" s="17">
        <f>IF(ISERROR(HLOOKUP(G$22,Tolls!$D$7:$R$58,Tolls!$B57,0)),"Not Available",HLOOKUP(G$22,Tolls!$D$7:$R$58,Tolls!$B57,0))</f>
        <v>0.88149999999999995</v>
      </c>
      <c r="J71" s="17">
        <f t="shared" si="3"/>
        <v>5.2984999999999998</v>
      </c>
    </row>
    <row r="72" spans="1:10" x14ac:dyDescent="0.2">
      <c r="A72" s="1">
        <f>Prices!A58</f>
        <v>36923</v>
      </c>
      <c r="C72" s="23">
        <f>HLOOKUP(B$22,Prices!$C$8:$T$58,Prices!$B58,0)</f>
        <v>6.9</v>
      </c>
      <c r="E72" s="23">
        <f>HLOOKUP(D$22,Prices!$C$8:$T$58,Prices!$B58,0)</f>
        <v>12.57</v>
      </c>
      <c r="F72" s="17">
        <f t="shared" si="2"/>
        <v>5.67</v>
      </c>
      <c r="H72" s="17">
        <f>IF(ISERROR(HLOOKUP(G$22,Tolls!$D$7:$R$58,Tolls!$B58,0)),"Not Available",HLOOKUP(G$22,Tolls!$D$7:$R$58,Tolls!$B58,0))</f>
        <v>0.72900000000000009</v>
      </c>
      <c r="J72" s="17">
        <f t="shared" si="3"/>
        <v>4.9409999999999998</v>
      </c>
    </row>
    <row r="73" spans="1:10" x14ac:dyDescent="0.2">
      <c r="A73" s="1"/>
    </row>
    <row r="74" spans="1:10" x14ac:dyDescent="0.2">
      <c r="A74" s="1"/>
    </row>
    <row r="75" spans="1:10" x14ac:dyDescent="0.2">
      <c r="A75" s="1"/>
    </row>
    <row r="76" spans="1:10" x14ac:dyDescent="0.2">
      <c r="A76" s="1"/>
    </row>
    <row r="77" spans="1:10" x14ac:dyDescent="0.2">
      <c r="A77" s="1"/>
    </row>
    <row r="78" spans="1:10" x14ac:dyDescent="0.2">
      <c r="A78" s="1"/>
    </row>
    <row r="79" spans="1:10" x14ac:dyDescent="0.2">
      <c r="A79" s="1"/>
    </row>
    <row r="80" spans="1:10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</sheetData>
  <phoneticPr fontId="0" type="noConversion"/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3" name="Drop Down 1">
              <controlPr defaultSize="0" autoLine="0" autoPict="0">
                <anchor moveWithCells="1">
                  <from>
                    <xdr:col>2</xdr:col>
                    <xdr:colOff>95250</xdr:colOff>
                    <xdr:row>20</xdr:row>
                    <xdr:rowOff>28575</xdr:rowOff>
                  </from>
                  <to>
                    <xdr:col>2</xdr:col>
                    <xdr:colOff>2209800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4" name="Drop Down 2">
              <controlPr defaultSize="0" autoLine="0" autoPict="0">
                <anchor moveWithCells="1">
                  <from>
                    <xdr:col>4</xdr:col>
                    <xdr:colOff>66675</xdr:colOff>
                    <xdr:row>20</xdr:row>
                    <xdr:rowOff>19050</xdr:rowOff>
                  </from>
                  <to>
                    <xdr:col>4</xdr:col>
                    <xdr:colOff>2219325</xdr:colOff>
                    <xdr:row>20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7"/>
  <sheetViews>
    <sheetView showGridLines="0" workbookViewId="0">
      <selection activeCell="E31" sqref="E31"/>
    </sheetView>
  </sheetViews>
  <sheetFormatPr defaultRowHeight="12.75" x14ac:dyDescent="0.2"/>
  <cols>
    <col min="2" max="2" width="6.83203125" hidden="1" customWidth="1"/>
    <col min="3" max="3" width="39.33203125" customWidth="1"/>
    <col min="4" max="4" width="6.83203125" hidden="1" customWidth="1"/>
    <col min="5" max="5" width="39.6640625" customWidth="1"/>
    <col min="6" max="6" width="23" customWidth="1"/>
    <col min="7" max="7" width="6.83203125" hidden="1" customWidth="1"/>
    <col min="8" max="8" width="13.5" customWidth="1"/>
    <col min="10" max="10" width="15" customWidth="1"/>
  </cols>
  <sheetData>
    <row r="1" spans="1:1" s="22" customFormat="1" ht="18" x14ac:dyDescent="0.25">
      <c r="A1" s="22" t="s">
        <v>25</v>
      </c>
    </row>
    <row r="20" spans="1:10" x14ac:dyDescent="0.2">
      <c r="C20" s="4" t="s">
        <v>11</v>
      </c>
      <c r="D20" s="4"/>
      <c r="E20" s="4" t="s">
        <v>12</v>
      </c>
      <c r="G20" s="4"/>
    </row>
    <row r="21" spans="1:10" ht="18.75" customHeight="1" x14ac:dyDescent="0.2">
      <c r="F21" s="3" t="str">
        <f>HLOOKUP(B22,Prices!$C$5:$N$6,2,0)&amp;"/"&amp;HLOOKUP(D22,Prices!$C$5:$N$6,2,0)&amp;" Spread"</f>
        <v>Permian/SoCal Spread</v>
      </c>
      <c r="H21" s="4" t="str">
        <f>HLOOKUP(G22,Tolls!$D$7:$P$8,2,0)&amp;" Toll"</f>
        <v>El Paso Toll</v>
      </c>
      <c r="J21" s="4" t="s">
        <v>24</v>
      </c>
    </row>
    <row r="22" spans="1:10" x14ac:dyDescent="0.2">
      <c r="B22" s="13">
        <v>7</v>
      </c>
      <c r="D22" s="13">
        <v>9</v>
      </c>
      <c r="G22" s="13">
        <f>B22*1000+D22</f>
        <v>7009</v>
      </c>
    </row>
    <row r="23" spans="1:10" x14ac:dyDescent="0.2">
      <c r="A23" s="1">
        <f>Prices!A9</f>
        <v>35431</v>
      </c>
      <c r="C23" s="23">
        <f>HLOOKUP(B$22,Prices!$C$8:$T$58,Prices!$B9,0)</f>
        <v>4.24</v>
      </c>
      <c r="E23" s="23">
        <f>HLOOKUP(D$22,Prices!$C$8:$T$58,Prices!$B9,0)</f>
        <v>4.21</v>
      </c>
      <c r="F23" s="17">
        <f t="shared" ref="F23:F54" si="0">E23-C23</f>
        <v>-3.0000000000000249E-2</v>
      </c>
      <c r="H23" s="17">
        <f>IF(ISERROR(HLOOKUP(G$22,Tolls!$D$7:$R$58,Tolls!$B9,0)),"Not Available",HLOOKUP(G$22,Tolls!$D$7:$R$58,Tolls!$B9,0))</f>
        <v>0.55140000000000011</v>
      </c>
      <c r="J23" s="17">
        <f t="shared" ref="J23:J54" si="1">F23-H23</f>
        <v>-0.58140000000000036</v>
      </c>
    </row>
    <row r="24" spans="1:10" x14ac:dyDescent="0.2">
      <c r="A24" s="1">
        <f>Prices!A10</f>
        <v>35462</v>
      </c>
      <c r="C24" s="23">
        <f>HLOOKUP(B$22,Prices!$C$8:$T$58,Prices!$B10,0)</f>
        <v>2.61</v>
      </c>
      <c r="E24" s="23">
        <f>HLOOKUP(D$22,Prices!$C$8:$T$58,Prices!$B10,0)</f>
        <v>2.6</v>
      </c>
      <c r="F24" s="17">
        <f t="shared" si="0"/>
        <v>-9.9999999999997868E-3</v>
      </c>
      <c r="H24" s="17">
        <f>IF(ISERROR(HLOOKUP(G$22,Tolls!$D$7:$R$58,Tolls!$B10,0)),"Not Available",HLOOKUP(G$22,Tolls!$D$7:$R$58,Tolls!$B10,0))</f>
        <v>0.49435000000000001</v>
      </c>
      <c r="J24" s="17">
        <f t="shared" si="1"/>
        <v>-0.50434999999999985</v>
      </c>
    </row>
    <row r="25" spans="1:10" x14ac:dyDescent="0.2">
      <c r="A25" s="1">
        <f>Prices!A11</f>
        <v>35490</v>
      </c>
      <c r="C25" s="23">
        <f>HLOOKUP(B$22,Prices!$C$8:$T$58,Prices!$B11,0)</f>
        <v>1.61</v>
      </c>
      <c r="E25" s="23">
        <f>HLOOKUP(D$22,Prices!$C$8:$T$58,Prices!$B11,0)</f>
        <v>1.54</v>
      </c>
      <c r="F25" s="17">
        <f t="shared" si="0"/>
        <v>-7.0000000000000062E-2</v>
      </c>
      <c r="H25" s="17">
        <f>IF(ISERROR(HLOOKUP(G$22,Tolls!$D$7:$R$58,Tolls!$B11,0)),"Not Available",HLOOKUP(G$22,Tolls!$D$7:$R$58,Tolls!$B11,0))</f>
        <v>0.45935000000000004</v>
      </c>
      <c r="J25" s="17">
        <f t="shared" si="1"/>
        <v>-0.5293500000000001</v>
      </c>
    </row>
    <row r="26" spans="1:10" x14ac:dyDescent="0.2">
      <c r="A26" s="1">
        <f>Prices!A12</f>
        <v>35521</v>
      </c>
      <c r="C26" s="23">
        <f>HLOOKUP(B$22,Prices!$C$8:$T$58,Prices!$B12,0)</f>
        <v>1.63</v>
      </c>
      <c r="E26" s="23">
        <f>HLOOKUP(D$22,Prices!$C$8:$T$58,Prices!$B12,0)</f>
        <v>1.74</v>
      </c>
      <c r="F26" s="17">
        <f t="shared" si="0"/>
        <v>0.1100000000000001</v>
      </c>
      <c r="H26" s="17">
        <f>IF(ISERROR(HLOOKUP(G$22,Tolls!$D$7:$R$58,Tolls!$B12,0)),"Not Available",HLOOKUP(G$22,Tolls!$D$7:$R$58,Tolls!$B12,0))</f>
        <v>0.46005000000000001</v>
      </c>
      <c r="J26" s="17">
        <f t="shared" si="1"/>
        <v>-0.35004999999999992</v>
      </c>
    </row>
    <row r="27" spans="1:10" x14ac:dyDescent="0.2">
      <c r="A27" s="1">
        <f>Prices!A13</f>
        <v>35551</v>
      </c>
      <c r="C27" s="23">
        <f>HLOOKUP(B$22,Prices!$C$8:$T$58,Prices!$B13,0)</f>
        <v>1.92</v>
      </c>
      <c r="E27" s="23">
        <f>HLOOKUP(D$22,Prices!$C$8:$T$58,Prices!$B13,0)</f>
        <v>2.02</v>
      </c>
      <c r="F27" s="17">
        <f t="shared" si="0"/>
        <v>0.10000000000000009</v>
      </c>
      <c r="H27" s="17">
        <f>IF(ISERROR(HLOOKUP(G$22,Tolls!$D$7:$R$58,Tolls!$B13,0)),"Not Available",HLOOKUP(G$22,Tolls!$D$7:$R$58,Tolls!$B13,0))</f>
        <v>0.47020000000000006</v>
      </c>
      <c r="J27" s="17">
        <f t="shared" si="1"/>
        <v>-0.37019999999999997</v>
      </c>
    </row>
    <row r="28" spans="1:10" x14ac:dyDescent="0.2">
      <c r="A28" s="1">
        <f>Prices!A14</f>
        <v>35582</v>
      </c>
      <c r="C28" s="23">
        <f>HLOOKUP(B$22,Prices!$C$8:$T$58,Prices!$B14,0)</f>
        <v>2.06</v>
      </c>
      <c r="E28" s="23">
        <f>HLOOKUP(D$22,Prices!$C$8:$T$58,Prices!$B14,0)</f>
        <v>2.2599999999999998</v>
      </c>
      <c r="F28" s="17">
        <f t="shared" si="0"/>
        <v>0.19999999999999973</v>
      </c>
      <c r="H28" s="17">
        <f>IF(ISERROR(HLOOKUP(G$22,Tolls!$D$7:$R$58,Tolls!$B14,0)),"Not Available",HLOOKUP(G$22,Tolls!$D$7:$R$58,Tolls!$B14,0))</f>
        <v>0.47510000000000002</v>
      </c>
      <c r="J28" s="17">
        <f t="shared" si="1"/>
        <v>-0.27510000000000029</v>
      </c>
    </row>
    <row r="29" spans="1:10" x14ac:dyDescent="0.2">
      <c r="A29" s="1">
        <f>Prices!A15</f>
        <v>35612</v>
      </c>
      <c r="C29" s="23">
        <f>HLOOKUP(B$22,Prices!$C$8:$T$58,Prices!$B15,0)</f>
        <v>2.02</v>
      </c>
      <c r="E29" s="23">
        <f>HLOOKUP(D$22,Prices!$C$8:$T$58,Prices!$B15,0)</f>
        <v>2.17</v>
      </c>
      <c r="F29" s="17">
        <f t="shared" si="0"/>
        <v>0.14999999999999991</v>
      </c>
      <c r="H29" s="17">
        <f>IF(ISERROR(HLOOKUP(G$22,Tolls!$D$7:$R$58,Tolls!$B15,0)),"Not Available",HLOOKUP(G$22,Tolls!$D$7:$R$58,Tolls!$B15,0))</f>
        <v>0.47370000000000001</v>
      </c>
      <c r="J29" s="17">
        <f t="shared" si="1"/>
        <v>-0.3237000000000001</v>
      </c>
    </row>
    <row r="30" spans="1:10" x14ac:dyDescent="0.2">
      <c r="A30" s="1">
        <f>Prices!A16</f>
        <v>35643</v>
      </c>
      <c r="C30" s="23">
        <f>HLOOKUP(B$22,Prices!$C$8:$T$58,Prices!$B16,0)</f>
        <v>2.0699999999999998</v>
      </c>
      <c r="E30" s="23">
        <f>HLOOKUP(D$22,Prices!$C$8:$T$58,Prices!$B16,0)</f>
        <v>2.23</v>
      </c>
      <c r="F30" s="17">
        <f t="shared" si="0"/>
        <v>0.16000000000000014</v>
      </c>
      <c r="H30" s="17">
        <f>IF(ISERROR(HLOOKUP(G$22,Tolls!$D$7:$R$58,Tolls!$B16,0)),"Not Available",HLOOKUP(G$22,Tolls!$D$7:$R$58,Tolls!$B16,0))</f>
        <v>0.47545000000000004</v>
      </c>
      <c r="J30" s="17">
        <f t="shared" si="1"/>
        <v>-0.3154499999999999</v>
      </c>
    </row>
    <row r="31" spans="1:10" x14ac:dyDescent="0.2">
      <c r="A31" s="1">
        <f>Prices!A17</f>
        <v>35674</v>
      </c>
      <c r="C31" s="23">
        <f>HLOOKUP(B$22,Prices!$C$8:$T$58,Prices!$B17,0)</f>
        <v>2.39</v>
      </c>
      <c r="E31" s="23">
        <f>HLOOKUP(D$22,Prices!$C$8:$T$58,Prices!$B17,0)</f>
        <v>2.4500000000000002</v>
      </c>
      <c r="F31" s="17">
        <f t="shared" si="0"/>
        <v>6.0000000000000053E-2</v>
      </c>
      <c r="H31" s="17">
        <f>IF(ISERROR(HLOOKUP(G$22,Tolls!$D$7:$R$58,Tolls!$B17,0)),"Not Available",HLOOKUP(G$22,Tolls!$D$7:$R$58,Tolls!$B17,0))</f>
        <v>0.48665000000000003</v>
      </c>
      <c r="J31" s="17">
        <f t="shared" si="1"/>
        <v>-0.42664999999999997</v>
      </c>
    </row>
    <row r="32" spans="1:10" x14ac:dyDescent="0.2">
      <c r="A32" s="1">
        <f>Prices!A18</f>
        <v>35704</v>
      </c>
      <c r="C32" s="23">
        <f>HLOOKUP(B$22,Prices!$C$8:$T$58,Prices!$B18,0)</f>
        <v>2.94</v>
      </c>
      <c r="E32" s="23">
        <f>HLOOKUP(D$22,Prices!$C$8:$T$58,Prices!$B18,0)</f>
        <v>3.12</v>
      </c>
      <c r="F32" s="17">
        <f t="shared" si="0"/>
        <v>0.18000000000000016</v>
      </c>
      <c r="H32" s="17">
        <f>IF(ISERROR(HLOOKUP(G$22,Tolls!$D$7:$R$58,Tolls!$B18,0)),"Not Available",HLOOKUP(G$22,Tolls!$D$7:$R$58,Tolls!$B18,0))</f>
        <v>0.50590000000000002</v>
      </c>
      <c r="J32" s="17">
        <f t="shared" si="1"/>
        <v>-0.32589999999999986</v>
      </c>
    </row>
    <row r="33" spans="1:10" x14ac:dyDescent="0.2">
      <c r="A33" s="1">
        <f>Prices!A19</f>
        <v>35735</v>
      </c>
      <c r="C33" s="23">
        <f>HLOOKUP(B$22,Prices!$C$8:$T$58,Prices!$B19,0)</f>
        <v>3.14</v>
      </c>
      <c r="E33" s="23">
        <f>HLOOKUP(D$22,Prices!$C$8:$T$58,Prices!$B19,0)</f>
        <v>3.37</v>
      </c>
      <c r="F33" s="17">
        <f t="shared" si="0"/>
        <v>0.22999999999999998</v>
      </c>
      <c r="H33" s="17">
        <f>IF(ISERROR(HLOOKUP(G$22,Tolls!$D$7:$R$58,Tolls!$B19,0)),"Not Available",HLOOKUP(G$22,Tolls!$D$7:$R$58,Tolls!$B19,0))</f>
        <v>0.51290000000000002</v>
      </c>
      <c r="J33" s="17">
        <f t="shared" si="1"/>
        <v>-0.28290000000000004</v>
      </c>
    </row>
    <row r="34" spans="1:10" x14ac:dyDescent="0.2">
      <c r="A34" s="1">
        <f>Prices!A20</f>
        <v>35765</v>
      </c>
      <c r="C34" s="23">
        <f>HLOOKUP(B$22,Prices!$C$8:$T$58,Prices!$B20,0)</f>
        <v>2.1800000000000002</v>
      </c>
      <c r="E34" s="23">
        <f>HLOOKUP(D$22,Prices!$C$8:$T$58,Prices!$B20,0)</f>
        <v>2.31</v>
      </c>
      <c r="F34" s="17">
        <f t="shared" si="0"/>
        <v>0.12999999999999989</v>
      </c>
      <c r="H34" s="17">
        <f>IF(ISERROR(HLOOKUP(G$22,Tolls!$D$7:$R$58,Tolls!$B20,0)),"Not Available",HLOOKUP(G$22,Tolls!$D$7:$R$58,Tolls!$B20,0))</f>
        <v>0.47930000000000006</v>
      </c>
      <c r="J34" s="17">
        <f t="shared" si="1"/>
        <v>-0.34930000000000017</v>
      </c>
    </row>
    <row r="35" spans="1:10" x14ac:dyDescent="0.2">
      <c r="A35" s="1">
        <f>Prices!A21</f>
        <v>35796</v>
      </c>
      <c r="C35" s="23">
        <f>HLOOKUP(B$22,Prices!$C$8:$T$58,Prices!$B21,0)</f>
        <v>2.0699999999999998</v>
      </c>
      <c r="E35" s="23">
        <f>HLOOKUP(D$22,Prices!$C$8:$T$58,Prices!$B21,0)</f>
        <v>2.2799999999999998</v>
      </c>
      <c r="F35" s="17">
        <f t="shared" si="0"/>
        <v>0.20999999999999996</v>
      </c>
      <c r="H35" s="17">
        <f>IF(ISERROR(HLOOKUP(G$22,Tolls!$D$7:$R$58,Tolls!$B21,0)),"Not Available",HLOOKUP(G$22,Tolls!$D$7:$R$58,Tolls!$B21,0))</f>
        <v>0.47545000000000004</v>
      </c>
      <c r="J35" s="17">
        <f t="shared" si="1"/>
        <v>-0.26545000000000007</v>
      </c>
    </row>
    <row r="36" spans="1:10" x14ac:dyDescent="0.2">
      <c r="A36" s="1">
        <f>Prices!A22</f>
        <v>35827</v>
      </c>
      <c r="C36" s="23">
        <f>HLOOKUP(B$22,Prices!$C$8:$T$58,Prices!$B22,0)</f>
        <v>1.85</v>
      </c>
      <c r="E36" s="23">
        <f>HLOOKUP(D$22,Prices!$C$8:$T$58,Prices!$B22,0)</f>
        <v>2.1</v>
      </c>
      <c r="F36" s="17">
        <f t="shared" si="0"/>
        <v>0.25</v>
      </c>
      <c r="H36" s="17">
        <f>IF(ISERROR(HLOOKUP(G$22,Tolls!$D$7:$R$58,Tolls!$B22,0)),"Not Available",HLOOKUP(G$22,Tolls!$D$7:$R$58,Tolls!$B22,0))</f>
        <v>0.46775000000000005</v>
      </c>
      <c r="J36" s="17">
        <f t="shared" si="1"/>
        <v>-0.21775000000000005</v>
      </c>
    </row>
    <row r="37" spans="1:10" x14ac:dyDescent="0.2">
      <c r="A37" s="1">
        <f>Prices!A23</f>
        <v>35855</v>
      </c>
      <c r="C37" s="23">
        <f>HLOOKUP(B$22,Prices!$C$8:$T$58,Prices!$B23,0)</f>
        <v>2.0499999999999998</v>
      </c>
      <c r="E37" s="23">
        <f>HLOOKUP(D$22,Prices!$C$8:$T$58,Prices!$B23,0)</f>
        <v>2.34</v>
      </c>
      <c r="F37" s="17">
        <f t="shared" si="0"/>
        <v>0.29000000000000004</v>
      </c>
      <c r="H37" s="17">
        <f>IF(ISERROR(HLOOKUP(G$22,Tolls!$D$7:$R$58,Tolls!$B23,0)),"Not Available",HLOOKUP(G$22,Tolls!$D$7:$R$58,Tolls!$B23,0))</f>
        <v>0.47475000000000001</v>
      </c>
      <c r="J37" s="17">
        <f t="shared" si="1"/>
        <v>-0.18474999999999997</v>
      </c>
    </row>
    <row r="38" spans="1:10" x14ac:dyDescent="0.2">
      <c r="A38" s="1">
        <f>Prices!A24</f>
        <v>35886</v>
      </c>
      <c r="C38" s="23">
        <f>HLOOKUP(B$22,Prices!$C$8:$T$58,Prices!$B24,0)</f>
        <v>2.11</v>
      </c>
      <c r="E38" s="23">
        <f>HLOOKUP(D$22,Prices!$C$8:$T$58,Prices!$B24,0)</f>
        <v>2.39</v>
      </c>
      <c r="F38" s="17">
        <f t="shared" si="0"/>
        <v>0.28000000000000025</v>
      </c>
      <c r="H38" s="17">
        <f>IF(ISERROR(HLOOKUP(G$22,Tolls!$D$7:$R$58,Tolls!$B24,0)),"Not Available",HLOOKUP(G$22,Tolls!$D$7:$R$58,Tolls!$B24,0))</f>
        <v>0.47685</v>
      </c>
      <c r="J38" s="17">
        <f t="shared" si="1"/>
        <v>-0.19684999999999975</v>
      </c>
    </row>
    <row r="39" spans="1:10" x14ac:dyDescent="0.2">
      <c r="A39" s="1">
        <f>Prices!A25</f>
        <v>35916</v>
      </c>
      <c r="C39" s="23">
        <f>HLOOKUP(B$22,Prices!$C$8:$T$58,Prices!$B25,0)</f>
        <v>2.12</v>
      </c>
      <c r="E39" s="23">
        <f>HLOOKUP(D$22,Prices!$C$8:$T$58,Prices!$B25,0)</f>
        <v>2.34</v>
      </c>
      <c r="F39" s="17">
        <f t="shared" si="0"/>
        <v>0.21999999999999975</v>
      </c>
      <c r="H39" s="17">
        <f>IF(ISERROR(HLOOKUP(G$22,Tolls!$D$7:$R$58,Tolls!$B25,0)),"Not Available",HLOOKUP(G$22,Tolls!$D$7:$R$58,Tolls!$B25,0))</f>
        <v>0.47720000000000007</v>
      </c>
      <c r="J39" s="17">
        <f t="shared" si="1"/>
        <v>-0.25720000000000032</v>
      </c>
    </row>
    <row r="40" spans="1:10" x14ac:dyDescent="0.2">
      <c r="A40" s="1">
        <f>Prices!A26</f>
        <v>35947</v>
      </c>
      <c r="C40" s="23">
        <f>HLOOKUP(B$22,Prices!$C$8:$T$58,Prices!$B26,0)</f>
        <v>1.86</v>
      </c>
      <c r="E40" s="23">
        <f>HLOOKUP(D$22,Prices!$C$8:$T$58,Prices!$B26,0)</f>
        <v>2.11</v>
      </c>
      <c r="F40" s="17">
        <f t="shared" si="0"/>
        <v>0.24999999999999978</v>
      </c>
      <c r="H40" s="17">
        <f>IF(ISERROR(HLOOKUP(G$22,Tolls!$D$7:$R$58,Tolls!$B26,0)),"Not Available",HLOOKUP(G$22,Tolls!$D$7:$R$58,Tolls!$B26,0))</f>
        <v>0.46810000000000002</v>
      </c>
      <c r="J40" s="17">
        <f t="shared" si="1"/>
        <v>-0.21810000000000024</v>
      </c>
    </row>
    <row r="41" spans="1:10" x14ac:dyDescent="0.2">
      <c r="A41" s="1">
        <f>Prices!A27</f>
        <v>35977</v>
      </c>
      <c r="C41" s="23">
        <f>HLOOKUP(B$22,Prices!$C$8:$T$58,Prices!$B27,0)</f>
        <v>2.1800000000000002</v>
      </c>
      <c r="E41" s="23">
        <f>HLOOKUP(D$22,Prices!$C$8:$T$58,Prices!$B27,0)</f>
        <v>2.2400000000000002</v>
      </c>
      <c r="F41" s="17">
        <f t="shared" si="0"/>
        <v>6.0000000000000053E-2</v>
      </c>
      <c r="H41" s="17">
        <f>IF(ISERROR(HLOOKUP(G$22,Tolls!$D$7:$R$58,Tolls!$B27,0)),"Not Available",HLOOKUP(G$22,Tolls!$D$7:$R$58,Tolls!$B27,0))</f>
        <v>0.47930000000000006</v>
      </c>
      <c r="J41" s="17">
        <f t="shared" si="1"/>
        <v>-0.41930000000000001</v>
      </c>
    </row>
    <row r="42" spans="1:10" x14ac:dyDescent="0.2">
      <c r="A42" s="1">
        <f>Prices!A28</f>
        <v>36008</v>
      </c>
      <c r="C42" s="23">
        <f>HLOOKUP(B$22,Prices!$C$8:$T$58,Prices!$B28,0)</f>
        <v>1.93</v>
      </c>
      <c r="E42" s="23">
        <f>HLOOKUP(D$22,Prices!$C$8:$T$58,Prices!$B28,0)</f>
        <v>2.2799999999999998</v>
      </c>
      <c r="F42" s="17">
        <f t="shared" si="0"/>
        <v>0.34999999999999987</v>
      </c>
      <c r="H42" s="17">
        <f>IF(ISERROR(HLOOKUP(G$22,Tolls!$D$7:$R$58,Tolls!$B28,0)),"Not Available",HLOOKUP(G$22,Tolls!$D$7:$R$58,Tolls!$B28,0))</f>
        <v>0.47055000000000002</v>
      </c>
      <c r="J42" s="17">
        <f t="shared" si="1"/>
        <v>-0.12055000000000016</v>
      </c>
    </row>
    <row r="43" spans="1:10" x14ac:dyDescent="0.2">
      <c r="A43" s="1">
        <f>Prices!A29</f>
        <v>36039</v>
      </c>
      <c r="C43" s="23">
        <f>HLOOKUP(B$22,Prices!$C$8:$T$58,Prices!$B29,0)</f>
        <v>1.61</v>
      </c>
      <c r="E43" s="23">
        <f>HLOOKUP(D$22,Prices!$C$8:$T$58,Prices!$B29,0)</f>
        <v>2.0099999999999998</v>
      </c>
      <c r="F43" s="17">
        <f t="shared" si="0"/>
        <v>0.39999999999999969</v>
      </c>
      <c r="H43" s="17">
        <f>IF(ISERROR(HLOOKUP(G$22,Tolls!$D$7:$R$58,Tolls!$B29,0)),"Not Available",HLOOKUP(G$22,Tolls!$D$7:$R$58,Tolls!$B29,0))</f>
        <v>0.45935000000000004</v>
      </c>
      <c r="J43" s="17">
        <f t="shared" si="1"/>
        <v>-5.9350000000000347E-2</v>
      </c>
    </row>
    <row r="44" spans="1:10" x14ac:dyDescent="0.2">
      <c r="A44" s="1">
        <f>Prices!A30</f>
        <v>36069</v>
      </c>
      <c r="C44" s="23">
        <f>HLOOKUP(B$22,Prices!$C$8:$T$58,Prices!$B30,0)</f>
        <v>1.82</v>
      </c>
      <c r="E44" s="23">
        <f>HLOOKUP(D$22,Prices!$C$8:$T$58,Prices!$B30,0)</f>
        <v>2.04</v>
      </c>
      <c r="F44" s="17">
        <f t="shared" si="0"/>
        <v>0.21999999999999997</v>
      </c>
      <c r="H44" s="17">
        <f>IF(ISERROR(HLOOKUP(G$22,Tolls!$D$7:$R$58,Tolls!$B30,0)),"Not Available",HLOOKUP(G$22,Tolls!$D$7:$R$58,Tolls!$B30,0))</f>
        <v>0.4667</v>
      </c>
      <c r="J44" s="17">
        <f t="shared" si="1"/>
        <v>-0.24670000000000003</v>
      </c>
    </row>
    <row r="45" spans="1:10" x14ac:dyDescent="0.2">
      <c r="A45" s="1">
        <f>Prices!A31</f>
        <v>36100</v>
      </c>
      <c r="C45" s="23">
        <f>HLOOKUP(B$22,Prices!$C$8:$T$58,Prices!$B31,0)</f>
        <v>1.93</v>
      </c>
      <c r="E45" s="23">
        <f>HLOOKUP(D$22,Prices!$C$8:$T$58,Prices!$B31,0)</f>
        <v>2.33</v>
      </c>
      <c r="F45" s="17">
        <f t="shared" si="0"/>
        <v>0.40000000000000013</v>
      </c>
      <c r="H45" s="17">
        <f>IF(ISERROR(HLOOKUP(G$22,Tolls!$D$7:$R$58,Tolls!$B31,0)),"Not Available",HLOOKUP(G$22,Tolls!$D$7:$R$58,Tolls!$B31,0))</f>
        <v>0.47055000000000002</v>
      </c>
      <c r="J45" s="17">
        <f t="shared" si="1"/>
        <v>-7.0549999999999891E-2</v>
      </c>
    </row>
    <row r="46" spans="1:10" x14ac:dyDescent="0.2">
      <c r="A46" s="1">
        <f>Prices!A32</f>
        <v>36130</v>
      </c>
      <c r="C46" s="23">
        <f>HLOOKUP(B$22,Prices!$C$8:$T$58,Prices!$B32,0)</f>
        <v>2</v>
      </c>
      <c r="E46" s="23">
        <f>HLOOKUP(D$22,Prices!$C$8:$T$58,Prices!$B32,0)</f>
        <v>2.2799999999999998</v>
      </c>
      <c r="F46" s="17">
        <f t="shared" si="0"/>
        <v>0.2799999999999998</v>
      </c>
      <c r="H46" s="17">
        <f>IF(ISERROR(HLOOKUP(G$22,Tolls!$D$7:$R$58,Tolls!$B32,0)),"Not Available",HLOOKUP(G$22,Tolls!$D$7:$R$58,Tolls!$B32,0))</f>
        <v>0.47300000000000003</v>
      </c>
      <c r="J46" s="17">
        <f t="shared" si="1"/>
        <v>-0.19300000000000023</v>
      </c>
    </row>
    <row r="47" spans="1:10" x14ac:dyDescent="0.2">
      <c r="A47" s="1">
        <f>Prices!A33</f>
        <v>36161</v>
      </c>
      <c r="C47" s="23">
        <f>HLOOKUP(B$22,Prices!$C$8:$T$58,Prices!$B33,0)</f>
        <v>1.72</v>
      </c>
      <c r="E47" s="23">
        <f>HLOOKUP(D$22,Prices!$C$8:$T$58,Prices!$B33,0)</f>
        <v>2.02</v>
      </c>
      <c r="F47" s="17">
        <f t="shared" si="0"/>
        <v>0.30000000000000004</v>
      </c>
      <c r="H47" s="17">
        <f>IF(ISERROR(HLOOKUP(G$22,Tolls!$D$7:$R$58,Tolls!$B33,0)),"Not Available",HLOOKUP(G$22,Tolls!$D$7:$R$58,Tolls!$B33,0))</f>
        <v>0.46320000000000006</v>
      </c>
      <c r="J47" s="17">
        <f t="shared" si="1"/>
        <v>-0.16320000000000001</v>
      </c>
    </row>
    <row r="48" spans="1:10" x14ac:dyDescent="0.2">
      <c r="A48" s="1">
        <f>Prices!A34</f>
        <v>36192</v>
      </c>
      <c r="C48" s="23">
        <f>HLOOKUP(B$22,Prices!$C$8:$T$58,Prices!$B34,0)</f>
        <v>1.67</v>
      </c>
      <c r="E48" s="23">
        <f>HLOOKUP(D$22,Prices!$C$8:$T$58,Prices!$B34,0)</f>
        <v>1.82</v>
      </c>
      <c r="F48" s="17">
        <f t="shared" si="0"/>
        <v>0.15000000000000013</v>
      </c>
      <c r="H48" s="17">
        <f>IF(ISERROR(HLOOKUP(G$22,Tolls!$D$7:$R$58,Tolls!$B34,0)),"Not Available",HLOOKUP(G$22,Tolls!$D$7:$R$58,Tolls!$B34,0))</f>
        <v>0.46145000000000003</v>
      </c>
      <c r="J48" s="17">
        <f t="shared" si="1"/>
        <v>-0.31144999999999989</v>
      </c>
    </row>
    <row r="49" spans="1:10" x14ac:dyDescent="0.2">
      <c r="A49" s="1">
        <f>Prices!A35</f>
        <v>36220</v>
      </c>
      <c r="C49" s="23">
        <f>HLOOKUP(B$22,Prices!$C$8:$T$58,Prices!$B35,0)</f>
        <v>1.51</v>
      </c>
      <c r="E49" s="23">
        <f>HLOOKUP(D$22,Prices!$C$8:$T$58,Prices!$B35,0)</f>
        <v>1.73</v>
      </c>
      <c r="F49" s="17">
        <f t="shared" si="0"/>
        <v>0.21999999999999997</v>
      </c>
      <c r="H49" s="17">
        <f>IF(ISERROR(HLOOKUP(G$22,Tolls!$D$7:$R$58,Tolls!$B35,0)),"Not Available",HLOOKUP(G$22,Tolls!$D$7:$R$58,Tolls!$B35,0))</f>
        <v>0.45585000000000003</v>
      </c>
      <c r="J49" s="17">
        <f t="shared" si="1"/>
        <v>-0.23585000000000006</v>
      </c>
    </row>
    <row r="50" spans="1:10" x14ac:dyDescent="0.2">
      <c r="A50" s="1">
        <f>Prices!A36</f>
        <v>36251</v>
      </c>
      <c r="C50" s="23">
        <f>HLOOKUP(B$22,Prices!$C$8:$T$58,Prices!$B36,0)</f>
        <v>1.68</v>
      </c>
      <c r="E50" s="23">
        <f>HLOOKUP(D$22,Prices!$C$8:$T$58,Prices!$B36,0)</f>
        <v>1.79</v>
      </c>
      <c r="F50" s="17">
        <f t="shared" si="0"/>
        <v>0.1100000000000001</v>
      </c>
      <c r="H50" s="17">
        <f>IF(ISERROR(HLOOKUP(G$22,Tolls!$D$7:$R$58,Tolls!$B36,0)),"Not Available",HLOOKUP(G$22,Tolls!$D$7:$R$58,Tolls!$B36,0))</f>
        <v>0.46180000000000004</v>
      </c>
      <c r="J50" s="17">
        <f t="shared" si="1"/>
        <v>-0.35179999999999995</v>
      </c>
    </row>
    <row r="51" spans="1:10" x14ac:dyDescent="0.2">
      <c r="A51" s="1">
        <f>Prices!A37</f>
        <v>36281</v>
      </c>
      <c r="C51" s="23">
        <f>HLOOKUP(B$22,Prices!$C$8:$T$58,Prices!$B37,0)</f>
        <v>2.17</v>
      </c>
      <c r="E51" s="23">
        <f>HLOOKUP(D$22,Prices!$C$8:$T$58,Prices!$B37,0)</f>
        <v>2.2000000000000002</v>
      </c>
      <c r="F51" s="17">
        <f t="shared" si="0"/>
        <v>3.0000000000000249E-2</v>
      </c>
      <c r="H51" s="17">
        <f>IF(ISERROR(HLOOKUP(G$22,Tolls!$D$7:$R$58,Tolls!$B37,0)),"Not Available",HLOOKUP(G$22,Tolls!$D$7:$R$58,Tolls!$B37,0))</f>
        <v>0.47895000000000004</v>
      </c>
      <c r="J51" s="17">
        <f t="shared" si="1"/>
        <v>-0.44894999999999979</v>
      </c>
    </row>
    <row r="52" spans="1:10" x14ac:dyDescent="0.2">
      <c r="A52" s="1">
        <f>Prices!A38</f>
        <v>36312</v>
      </c>
      <c r="C52" s="23">
        <f>HLOOKUP(B$22,Prices!$C$8:$T$58,Prices!$B38,0)</f>
        <v>2.08</v>
      </c>
      <c r="E52" s="23">
        <f>HLOOKUP(D$22,Prices!$C$8:$T$58,Prices!$B38,0)</f>
        <v>2.2200000000000002</v>
      </c>
      <c r="F52" s="17">
        <f t="shared" si="0"/>
        <v>0.14000000000000012</v>
      </c>
      <c r="H52" s="17">
        <f>IF(ISERROR(HLOOKUP(G$22,Tolls!$D$7:$R$58,Tolls!$B38,0)),"Not Available",HLOOKUP(G$22,Tolls!$D$7:$R$58,Tolls!$B38,0))</f>
        <v>0.4758</v>
      </c>
      <c r="J52" s="17">
        <f t="shared" si="1"/>
        <v>-0.33579999999999988</v>
      </c>
    </row>
    <row r="53" spans="1:10" x14ac:dyDescent="0.2">
      <c r="A53" s="1">
        <f>Prices!A39</f>
        <v>36342</v>
      </c>
      <c r="C53" s="23">
        <f>HLOOKUP(B$22,Prices!$C$8:$T$58,Prices!$B39,0)</f>
        <v>2.21</v>
      </c>
      <c r="E53" s="23">
        <f>HLOOKUP(D$22,Prices!$C$8:$T$58,Prices!$B39,0)</f>
        <v>2.38</v>
      </c>
      <c r="F53" s="17">
        <f t="shared" si="0"/>
        <v>0.16999999999999993</v>
      </c>
      <c r="H53" s="17">
        <f>IF(ISERROR(HLOOKUP(G$22,Tolls!$D$7:$R$58,Tolls!$B39,0)),"Not Available",HLOOKUP(G$22,Tolls!$D$7:$R$58,Tolls!$B39,0))</f>
        <v>0.48035000000000005</v>
      </c>
      <c r="J53" s="17">
        <f t="shared" si="1"/>
        <v>-0.31035000000000013</v>
      </c>
    </row>
    <row r="54" spans="1:10" x14ac:dyDescent="0.2">
      <c r="A54" s="1">
        <f>Prices!A40</f>
        <v>36373</v>
      </c>
      <c r="C54" s="23">
        <f>HLOOKUP(B$22,Prices!$C$8:$T$58,Prices!$B40,0)</f>
        <v>2.5099999999999998</v>
      </c>
      <c r="E54" s="23">
        <f>HLOOKUP(D$22,Prices!$C$8:$T$58,Prices!$B40,0)</f>
        <v>2.59</v>
      </c>
      <c r="F54" s="17">
        <f t="shared" si="0"/>
        <v>8.0000000000000071E-2</v>
      </c>
      <c r="H54" s="17">
        <f>IF(ISERROR(HLOOKUP(G$22,Tolls!$D$7:$R$58,Tolls!$B40,0)),"Not Available",HLOOKUP(G$22,Tolls!$D$7:$R$58,Tolls!$B40,0))</f>
        <v>0.49085000000000001</v>
      </c>
      <c r="J54" s="17">
        <f t="shared" si="1"/>
        <v>-0.41084999999999994</v>
      </c>
    </row>
    <row r="55" spans="1:10" x14ac:dyDescent="0.2">
      <c r="A55" s="1">
        <f>Prices!A41</f>
        <v>36404</v>
      </c>
      <c r="C55" s="23">
        <f>HLOOKUP(B$22,Prices!$C$8:$T$58,Prices!$B41,0)</f>
        <v>2.78</v>
      </c>
      <c r="E55" s="23">
        <f>HLOOKUP(D$22,Prices!$C$8:$T$58,Prices!$B41,0)</f>
        <v>2.93</v>
      </c>
      <c r="F55" s="17">
        <f t="shared" ref="F55:F72" si="2">E55-C55</f>
        <v>0.15000000000000036</v>
      </c>
      <c r="H55" s="17">
        <f>IF(ISERROR(HLOOKUP(G$22,Tolls!$D$7:$R$58,Tolls!$B41,0)),"Not Available",HLOOKUP(G$22,Tolls!$D$7:$R$58,Tolls!$B41,0))</f>
        <v>0.50029999999999997</v>
      </c>
      <c r="J55" s="17">
        <f t="shared" ref="J55:J72" si="3">F55-H55</f>
        <v>-0.35029999999999961</v>
      </c>
    </row>
    <row r="56" spans="1:10" x14ac:dyDescent="0.2">
      <c r="A56" s="1">
        <f>Prices!A42</f>
        <v>36434</v>
      </c>
      <c r="C56" s="23">
        <f>HLOOKUP(B$22,Prices!$C$8:$T$58,Prices!$B42,0)</f>
        <v>2.5099999999999998</v>
      </c>
      <c r="E56" s="23">
        <f>HLOOKUP(D$22,Prices!$C$8:$T$58,Prices!$B42,0)</f>
        <v>2.69</v>
      </c>
      <c r="F56" s="17">
        <f t="shared" si="2"/>
        <v>0.18000000000000016</v>
      </c>
      <c r="H56" s="17">
        <f>IF(ISERROR(HLOOKUP(G$22,Tolls!$D$7:$R$58,Tolls!$B42,0)),"Not Available",HLOOKUP(G$22,Tolls!$D$7:$R$58,Tolls!$B42,0))</f>
        <v>0.49085000000000001</v>
      </c>
      <c r="J56" s="17">
        <f t="shared" si="3"/>
        <v>-0.31084999999999985</v>
      </c>
    </row>
    <row r="57" spans="1:10" x14ac:dyDescent="0.2">
      <c r="A57" s="1">
        <f>Prices!A43</f>
        <v>36465</v>
      </c>
      <c r="C57" s="23">
        <f>HLOOKUP(B$22,Prices!$C$8:$T$58,Prices!$B43,0)</f>
        <v>2.87</v>
      </c>
      <c r="E57" s="23">
        <f>HLOOKUP(D$22,Prices!$C$8:$T$58,Prices!$B43,0)</f>
        <v>3.06</v>
      </c>
      <c r="F57" s="17">
        <f t="shared" si="2"/>
        <v>0.18999999999999995</v>
      </c>
      <c r="H57" s="17">
        <f>IF(ISERROR(HLOOKUP(G$22,Tolls!$D$7:$R$58,Tolls!$B43,0)),"Not Available",HLOOKUP(G$22,Tolls!$D$7:$R$58,Tolls!$B43,0))</f>
        <v>0.50345000000000006</v>
      </c>
      <c r="J57" s="17">
        <f t="shared" si="3"/>
        <v>-0.31345000000000012</v>
      </c>
    </row>
    <row r="58" spans="1:10" x14ac:dyDescent="0.2">
      <c r="A58" s="1">
        <f>Prices!A44</f>
        <v>36495</v>
      </c>
      <c r="C58" s="23">
        <f>HLOOKUP(B$22,Prices!$C$8:$T$58,Prices!$B44,0)</f>
        <v>2.13</v>
      </c>
      <c r="E58" s="23">
        <f>HLOOKUP(D$22,Prices!$C$8:$T$58,Prices!$B44,0)</f>
        <v>2.41</v>
      </c>
      <c r="F58" s="17">
        <f t="shared" si="2"/>
        <v>0.28000000000000025</v>
      </c>
      <c r="H58" s="17">
        <f>IF(ISERROR(HLOOKUP(G$22,Tolls!$D$7:$R$58,Tolls!$B44,0)),"Not Available",HLOOKUP(G$22,Tolls!$D$7:$R$58,Tolls!$B44,0))</f>
        <v>0.47755000000000003</v>
      </c>
      <c r="J58" s="17">
        <f t="shared" si="3"/>
        <v>-0.19754999999999978</v>
      </c>
    </row>
    <row r="59" spans="1:10" x14ac:dyDescent="0.2">
      <c r="A59" s="1">
        <f>Prices!A45</f>
        <v>36526</v>
      </c>
      <c r="C59" s="23">
        <f>HLOOKUP(B$22,Prices!$C$8:$T$58,Prices!$B45,0)</f>
        <v>2.19</v>
      </c>
      <c r="E59" s="23">
        <f>HLOOKUP(D$22,Prices!$C$8:$T$58,Prices!$B45,0)</f>
        <v>2.38</v>
      </c>
      <c r="F59" s="17">
        <f t="shared" si="2"/>
        <v>0.18999999999999995</v>
      </c>
      <c r="H59" s="17">
        <f>IF(ISERROR(HLOOKUP(G$22,Tolls!$D$7:$R$58,Tolls!$B45,0)),"Not Available",HLOOKUP(G$22,Tolls!$D$7:$R$58,Tolls!$B45,0))</f>
        <v>0.47965000000000002</v>
      </c>
      <c r="J59" s="17">
        <f t="shared" si="3"/>
        <v>-0.28965000000000007</v>
      </c>
    </row>
    <row r="60" spans="1:10" x14ac:dyDescent="0.2">
      <c r="A60" s="1">
        <f>Prices!A46</f>
        <v>36557</v>
      </c>
      <c r="C60" s="23">
        <f>HLOOKUP(B$22,Prices!$C$8:$T$58,Prices!$B46,0)</f>
        <v>2.37</v>
      </c>
      <c r="E60" s="23">
        <f>HLOOKUP(D$22,Prices!$C$8:$T$58,Prices!$B46,0)</f>
        <v>2.5499999999999998</v>
      </c>
      <c r="F60" s="17">
        <f t="shared" si="2"/>
        <v>0.17999999999999972</v>
      </c>
      <c r="H60" s="17">
        <f>IF(ISERROR(HLOOKUP(G$22,Tolls!$D$7:$R$58,Tolls!$B46,0)),"Not Available",HLOOKUP(G$22,Tolls!$D$7:$R$58,Tolls!$B46,0))</f>
        <v>0.48595000000000005</v>
      </c>
      <c r="J60" s="17">
        <f t="shared" si="3"/>
        <v>-0.30595000000000033</v>
      </c>
    </row>
    <row r="61" spans="1:10" x14ac:dyDescent="0.2">
      <c r="A61" s="1">
        <f>Prices!A47</f>
        <v>36586</v>
      </c>
      <c r="C61" s="23">
        <f>HLOOKUP(B$22,Prices!$C$8:$T$58,Prices!$B47,0)</f>
        <v>2.39</v>
      </c>
      <c r="E61" s="23">
        <f>HLOOKUP(D$22,Prices!$C$8:$T$58,Prices!$B47,0)</f>
        <v>2.58</v>
      </c>
      <c r="F61" s="17">
        <f t="shared" si="2"/>
        <v>0.18999999999999995</v>
      </c>
      <c r="H61" s="17">
        <f>IF(ISERROR(HLOOKUP(G$22,Tolls!$D$7:$R$58,Tolls!$B47,0)),"Not Available",HLOOKUP(G$22,Tolls!$D$7:$R$58,Tolls!$B47,0))</f>
        <v>0.48665000000000003</v>
      </c>
      <c r="J61" s="17">
        <f t="shared" si="3"/>
        <v>-0.29665000000000008</v>
      </c>
    </row>
    <row r="62" spans="1:10" x14ac:dyDescent="0.2">
      <c r="A62" s="1">
        <f>Prices!A48</f>
        <v>36617</v>
      </c>
      <c r="C62" s="23">
        <f>HLOOKUP(B$22,Prices!$C$8:$T$58,Prices!$B48,0)</f>
        <v>2.82</v>
      </c>
      <c r="E62" s="23">
        <f>HLOOKUP(D$22,Prices!$C$8:$T$58,Prices!$B48,0)</f>
        <v>3.04</v>
      </c>
      <c r="F62" s="17">
        <f t="shared" si="2"/>
        <v>0.2200000000000002</v>
      </c>
      <c r="H62" s="17">
        <f>IF(ISERROR(HLOOKUP(G$22,Tolls!$D$7:$R$58,Tolls!$B48,0)),"Not Available",HLOOKUP(G$22,Tolls!$D$7:$R$58,Tolls!$B48,0))</f>
        <v>0.50170000000000003</v>
      </c>
      <c r="J62" s="17">
        <f t="shared" si="3"/>
        <v>-0.28169999999999984</v>
      </c>
    </row>
    <row r="63" spans="1:10" x14ac:dyDescent="0.2">
      <c r="A63" s="1">
        <f>Prices!A49</f>
        <v>36647</v>
      </c>
      <c r="C63" s="23">
        <f>HLOOKUP(B$22,Prices!$C$8:$T$58,Prices!$B49,0)</f>
        <v>2.87</v>
      </c>
      <c r="E63" s="23">
        <f>HLOOKUP(D$22,Prices!$C$8:$T$58,Prices!$B49,0)</f>
        <v>3.04</v>
      </c>
      <c r="F63" s="17">
        <f t="shared" si="2"/>
        <v>0.16999999999999993</v>
      </c>
      <c r="H63" s="17">
        <f>IF(ISERROR(HLOOKUP(G$22,Tolls!$D$7:$R$58,Tolls!$B49,0)),"Not Available",HLOOKUP(G$22,Tolls!$D$7:$R$58,Tolls!$B49,0))</f>
        <v>0.50345000000000006</v>
      </c>
      <c r="J63" s="17">
        <f t="shared" si="3"/>
        <v>-0.33345000000000014</v>
      </c>
    </row>
    <row r="64" spans="1:10" x14ac:dyDescent="0.2">
      <c r="A64" s="1">
        <f>Prices!A50</f>
        <v>36678</v>
      </c>
      <c r="C64" s="23">
        <f>HLOOKUP(B$22,Prices!$C$8:$T$58,Prices!$B50,0)</f>
        <v>3.89</v>
      </c>
      <c r="E64" s="23">
        <f>HLOOKUP(D$22,Prices!$C$8:$T$58,Prices!$B50,0)</f>
        <v>4.3099999999999996</v>
      </c>
      <c r="F64" s="17">
        <f t="shared" si="2"/>
        <v>0.41999999999999948</v>
      </c>
      <c r="H64" s="17">
        <f>IF(ISERROR(HLOOKUP(G$22,Tolls!$D$7:$R$58,Tolls!$B50,0)),"Not Available",HLOOKUP(G$22,Tolls!$D$7:$R$58,Tolls!$B50,0))</f>
        <v>0.53915000000000002</v>
      </c>
      <c r="J64" s="17">
        <f t="shared" si="3"/>
        <v>-0.11915000000000053</v>
      </c>
    </row>
    <row r="65" spans="1:10" x14ac:dyDescent="0.2">
      <c r="A65" s="1">
        <f>Prices!A51</f>
        <v>36708</v>
      </c>
      <c r="C65" s="23">
        <f>HLOOKUP(B$22,Prices!$C$8:$T$58,Prices!$B51,0)</f>
        <v>4.46</v>
      </c>
      <c r="E65" s="23">
        <f>HLOOKUP(D$22,Prices!$C$8:$T$58,Prices!$B51,0)</f>
        <v>4.9000000000000004</v>
      </c>
      <c r="F65" s="17">
        <f t="shared" si="2"/>
        <v>0.44000000000000039</v>
      </c>
      <c r="H65" s="17">
        <f>IF(ISERROR(HLOOKUP(G$22,Tolls!$D$7:$R$58,Tolls!$B51,0)),"Not Available",HLOOKUP(G$22,Tolls!$D$7:$R$58,Tolls!$B51,0))</f>
        <v>0.55910000000000004</v>
      </c>
      <c r="J65" s="17">
        <f t="shared" si="3"/>
        <v>-0.11909999999999965</v>
      </c>
    </row>
    <row r="66" spans="1:10" x14ac:dyDescent="0.2">
      <c r="A66" s="1">
        <f>Prices!A52</f>
        <v>36739</v>
      </c>
      <c r="C66" s="23">
        <f>HLOOKUP(B$22,Prices!$C$8:$T$58,Prices!$B52,0)</f>
        <v>3.72</v>
      </c>
      <c r="E66" s="23">
        <f>HLOOKUP(D$22,Prices!$C$8:$T$58,Prices!$B52,0)</f>
        <v>4.5599999999999996</v>
      </c>
      <c r="F66" s="17">
        <f t="shared" si="2"/>
        <v>0.83999999999999941</v>
      </c>
      <c r="H66" s="17">
        <f>IF(ISERROR(HLOOKUP(G$22,Tolls!$D$7:$R$58,Tolls!$B52,0)),"Not Available",HLOOKUP(G$22,Tolls!$D$7:$R$58,Tolls!$B52,0))</f>
        <v>0.53320000000000001</v>
      </c>
      <c r="J66" s="17">
        <f t="shared" si="3"/>
        <v>0.30679999999999941</v>
      </c>
    </row>
    <row r="67" spans="1:10" x14ac:dyDescent="0.2">
      <c r="A67" s="1">
        <f>Prices!A53</f>
        <v>36770</v>
      </c>
      <c r="C67" s="23">
        <f>HLOOKUP(B$22,Prices!$C$8:$T$58,Prices!$B53,0)</f>
        <v>4.55</v>
      </c>
      <c r="E67" s="23">
        <f>HLOOKUP(D$22,Prices!$C$8:$T$58,Prices!$B53,0)</f>
        <v>7</v>
      </c>
      <c r="F67" s="17">
        <f t="shared" si="2"/>
        <v>2.4500000000000002</v>
      </c>
      <c r="H67" s="17">
        <f>IF(ISERROR(HLOOKUP(G$22,Tolls!$D$7:$R$58,Tolls!$B53,0)),"Not Available",HLOOKUP(G$22,Tolls!$D$7:$R$58,Tolls!$B53,0))</f>
        <v>0.56225000000000003</v>
      </c>
      <c r="J67" s="17">
        <f t="shared" si="3"/>
        <v>1.88775</v>
      </c>
    </row>
    <row r="68" spans="1:10" x14ac:dyDescent="0.2">
      <c r="A68" s="1">
        <f>Prices!A54</f>
        <v>36800</v>
      </c>
      <c r="C68" s="23">
        <f>HLOOKUP(B$22,Prices!$C$8:$T$58,Prices!$B54,0)</f>
        <v>5.16</v>
      </c>
      <c r="E68" s="23">
        <f>HLOOKUP(D$22,Prices!$C$8:$T$58,Prices!$B54,0)</f>
        <v>5.57</v>
      </c>
      <c r="F68" s="17">
        <f t="shared" si="2"/>
        <v>0.41000000000000014</v>
      </c>
      <c r="H68" s="17">
        <f>IF(ISERROR(HLOOKUP(G$22,Tolls!$D$7:$R$58,Tolls!$B54,0)),"Not Available",HLOOKUP(G$22,Tolls!$D$7:$R$58,Tolls!$B54,0))</f>
        <v>0.58360000000000001</v>
      </c>
      <c r="J68" s="17">
        <f t="shared" si="3"/>
        <v>-0.17359999999999987</v>
      </c>
    </row>
    <row r="69" spans="1:10" x14ac:dyDescent="0.2">
      <c r="A69" s="1">
        <f>Prices!A55</f>
        <v>36831</v>
      </c>
      <c r="C69" s="23">
        <f>HLOOKUP(B$22,Prices!$C$8:$T$58,Prices!$B55,0)</f>
        <v>4.5999999999999996</v>
      </c>
      <c r="E69" s="23">
        <f>HLOOKUP(D$22,Prices!$C$8:$T$58,Prices!$B55,0)</f>
        <v>5.2</v>
      </c>
      <c r="F69" s="17">
        <f t="shared" si="2"/>
        <v>0.60000000000000053</v>
      </c>
      <c r="H69" s="17">
        <f>IF(ISERROR(HLOOKUP(G$22,Tolls!$D$7:$R$58,Tolls!$B55,0)),"Not Available",HLOOKUP(G$22,Tolls!$D$7:$R$58,Tolls!$B55,0))</f>
        <v>0.56400000000000006</v>
      </c>
      <c r="J69" s="17">
        <f t="shared" si="3"/>
        <v>3.6000000000000476E-2</v>
      </c>
    </row>
    <row r="70" spans="1:10" x14ac:dyDescent="0.2">
      <c r="A70" s="1">
        <f>Prices!A56</f>
        <v>36861</v>
      </c>
      <c r="C70" s="23">
        <f>HLOOKUP(B$22,Prices!$C$8:$T$58,Prices!$B56,0)</f>
        <v>6.39</v>
      </c>
      <c r="E70" s="23">
        <f>HLOOKUP(D$22,Prices!$C$8:$T$58,Prices!$B56,0)</f>
        <v>13.82</v>
      </c>
      <c r="F70" s="17">
        <f t="shared" si="2"/>
        <v>7.4300000000000006</v>
      </c>
      <c r="H70" s="17">
        <f>IF(ISERROR(HLOOKUP(G$22,Tolls!$D$7:$R$58,Tolls!$B56,0)),"Not Available",HLOOKUP(G$22,Tolls!$D$7:$R$58,Tolls!$B56,0))</f>
        <v>0.62665000000000004</v>
      </c>
      <c r="J70" s="17">
        <f t="shared" si="3"/>
        <v>6.8033500000000009</v>
      </c>
    </row>
    <row r="71" spans="1:10" x14ac:dyDescent="0.2">
      <c r="A71" s="1">
        <f>Prices!A57</f>
        <v>36892</v>
      </c>
      <c r="C71" s="23">
        <f>HLOOKUP(B$22,Prices!$C$8:$T$58,Prices!$B57,0)</f>
        <v>9.7799999999999994</v>
      </c>
      <c r="E71" s="23">
        <f>HLOOKUP(D$22,Prices!$C$8:$T$58,Prices!$B57,0)</f>
        <v>15.92</v>
      </c>
      <c r="F71" s="17">
        <f t="shared" si="2"/>
        <v>6.1400000000000006</v>
      </c>
      <c r="H71" s="17">
        <f>IF(ISERROR(HLOOKUP(G$22,Tolls!$D$7:$R$58,Tolls!$B57,0)),"Not Available",HLOOKUP(G$22,Tolls!$D$7:$R$58,Tolls!$B57,0))</f>
        <v>0.74530000000000007</v>
      </c>
      <c r="J71" s="17">
        <f t="shared" si="3"/>
        <v>5.3947000000000003</v>
      </c>
    </row>
    <row r="72" spans="1:10" x14ac:dyDescent="0.2">
      <c r="A72" s="1">
        <f>Prices!A58</f>
        <v>36923</v>
      </c>
      <c r="C72" s="23">
        <f>HLOOKUP(B$22,Prices!$C$8:$T$58,Prices!$B58,0)</f>
        <v>6.73</v>
      </c>
      <c r="E72" s="23">
        <f>HLOOKUP(D$22,Prices!$C$8:$T$58,Prices!$B58,0)</f>
        <v>12.57</v>
      </c>
      <c r="F72" s="17">
        <f t="shared" si="2"/>
        <v>5.84</v>
      </c>
      <c r="H72" s="17">
        <f>IF(ISERROR(HLOOKUP(G$22,Tolls!$D$7:$R$58,Tolls!$B58,0)),"Not Available",HLOOKUP(G$22,Tolls!$D$7:$R$58,Tolls!$B58,0))</f>
        <v>0.63855000000000006</v>
      </c>
      <c r="J72" s="17">
        <f t="shared" si="3"/>
        <v>5.2014499999999995</v>
      </c>
    </row>
    <row r="73" spans="1:10" x14ac:dyDescent="0.2">
      <c r="A73" s="1"/>
    </row>
    <row r="74" spans="1:10" x14ac:dyDescent="0.2">
      <c r="A74" s="1"/>
    </row>
    <row r="75" spans="1:10" x14ac:dyDescent="0.2">
      <c r="A75" s="1"/>
    </row>
    <row r="76" spans="1:10" x14ac:dyDescent="0.2">
      <c r="A76" s="1"/>
    </row>
    <row r="77" spans="1:10" x14ac:dyDescent="0.2">
      <c r="A77" s="1"/>
    </row>
    <row r="78" spans="1:10" x14ac:dyDescent="0.2">
      <c r="A78" s="1"/>
    </row>
    <row r="79" spans="1:10" x14ac:dyDescent="0.2">
      <c r="A79" s="1"/>
    </row>
    <row r="80" spans="1:10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</sheetData>
  <phoneticPr fontId="0" type="noConversion"/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3" name="Drop Down 1">
              <controlPr defaultSize="0" autoLine="0" autoPict="0">
                <anchor moveWithCells="1">
                  <from>
                    <xdr:col>2</xdr:col>
                    <xdr:colOff>95250</xdr:colOff>
                    <xdr:row>20</xdr:row>
                    <xdr:rowOff>28575</xdr:rowOff>
                  </from>
                  <to>
                    <xdr:col>2</xdr:col>
                    <xdr:colOff>2209800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4" name="Drop Down 2">
              <controlPr defaultSize="0" autoLine="0" autoPict="0">
                <anchor moveWithCells="1">
                  <from>
                    <xdr:col>4</xdr:col>
                    <xdr:colOff>66675</xdr:colOff>
                    <xdr:row>20</xdr:row>
                    <xdr:rowOff>19050</xdr:rowOff>
                  </from>
                  <to>
                    <xdr:col>4</xdr:col>
                    <xdr:colOff>2219325</xdr:colOff>
                    <xdr:row>20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7"/>
  <sheetViews>
    <sheetView showGridLines="0" workbookViewId="0">
      <selection activeCell="H17" sqref="H17"/>
    </sheetView>
  </sheetViews>
  <sheetFormatPr defaultRowHeight="12.75" x14ac:dyDescent="0.2"/>
  <cols>
    <col min="2" max="2" width="6.83203125" hidden="1" customWidth="1"/>
    <col min="3" max="3" width="39.33203125" customWidth="1"/>
    <col min="4" max="4" width="6.83203125" hidden="1" customWidth="1"/>
    <col min="5" max="5" width="39.6640625" customWidth="1"/>
    <col min="6" max="6" width="23" customWidth="1"/>
    <col min="7" max="7" width="6.83203125" hidden="1" customWidth="1"/>
    <col min="8" max="8" width="13.5" customWidth="1"/>
    <col min="10" max="10" width="15" customWidth="1"/>
  </cols>
  <sheetData>
    <row r="1" spans="1:1" s="22" customFormat="1" ht="18" x14ac:dyDescent="0.25">
      <c r="A1" s="22" t="s">
        <v>25</v>
      </c>
    </row>
    <row r="20" spans="1:10" x14ac:dyDescent="0.2">
      <c r="C20" s="4" t="s">
        <v>11</v>
      </c>
      <c r="D20" s="4"/>
      <c r="E20" s="4" t="s">
        <v>12</v>
      </c>
      <c r="G20" s="4"/>
    </row>
    <row r="21" spans="1:10" ht="18.75" customHeight="1" x14ac:dyDescent="0.2">
      <c r="F21" s="3" t="str">
        <f>HLOOKUP(B22,Prices!$C$5:$N$6,2,0)&amp;"/"&amp;HLOOKUP(D22,Prices!$C$5:$N$6,2,0)&amp;" Spread"</f>
        <v>San Juan/SoCal Spread</v>
      </c>
      <c r="H21" s="4" t="str">
        <f>HLOOKUP(G22,Tolls!$D$7:$P$8,2,0)&amp;" Toll"</f>
        <v>El Paso Toll</v>
      </c>
      <c r="J21" s="4" t="s">
        <v>24</v>
      </c>
    </row>
    <row r="22" spans="1:10" x14ac:dyDescent="0.2">
      <c r="B22" s="13">
        <v>8</v>
      </c>
      <c r="D22" s="13">
        <v>9</v>
      </c>
      <c r="G22" s="13">
        <f>B22*1000+D22</f>
        <v>8009</v>
      </c>
    </row>
    <row r="23" spans="1:10" x14ac:dyDescent="0.2">
      <c r="A23" s="1">
        <f>Prices!A9</f>
        <v>35431</v>
      </c>
      <c r="C23" s="23">
        <f>HLOOKUP(B$22,Prices!$C$8:$T$58,Prices!$B9,0)</f>
        <v>4.18</v>
      </c>
      <c r="E23" s="23">
        <f>HLOOKUP(D$22,Prices!$C$8:$T$58,Prices!$B9,0)</f>
        <v>4.21</v>
      </c>
      <c r="F23" s="17">
        <f t="shared" ref="F23:F54" si="0">E23-C23</f>
        <v>3.0000000000000249E-2</v>
      </c>
      <c r="H23" s="17">
        <f>IF(ISERROR(HLOOKUP(G$22,Tolls!$D$7:$R$58,Tolls!$B9,0)),"Not Available",HLOOKUP(G$22,Tolls!$D$7:$R$58,Tolls!$B9,0))</f>
        <v>0.5334000000000001</v>
      </c>
      <c r="J23" s="17">
        <f t="shared" ref="J23:J54" si="1">F23-H23</f>
        <v>-0.50339999999999985</v>
      </c>
    </row>
    <row r="24" spans="1:10" x14ac:dyDescent="0.2">
      <c r="A24" s="1">
        <f>Prices!A10</f>
        <v>35462</v>
      </c>
      <c r="C24" s="23">
        <f>HLOOKUP(B$22,Prices!$C$8:$T$58,Prices!$B10,0)</f>
        <v>2.61</v>
      </c>
      <c r="E24" s="23">
        <f>HLOOKUP(D$22,Prices!$C$8:$T$58,Prices!$B10,0)</f>
        <v>2.6</v>
      </c>
      <c r="F24" s="17">
        <f t="shared" si="0"/>
        <v>-9.9999999999997868E-3</v>
      </c>
      <c r="H24" s="17">
        <f>IF(ISERROR(HLOOKUP(G$22,Tolls!$D$7:$R$58,Tolls!$B10,0)),"Not Available",HLOOKUP(G$22,Tolls!$D$7:$R$58,Tolls!$B10,0))</f>
        <v>0.47635</v>
      </c>
      <c r="J24" s="17">
        <f t="shared" si="1"/>
        <v>-0.48634999999999978</v>
      </c>
    </row>
    <row r="25" spans="1:10" x14ac:dyDescent="0.2">
      <c r="A25" s="1">
        <f>Prices!A11</f>
        <v>35490</v>
      </c>
      <c r="C25" s="23">
        <f>HLOOKUP(B$22,Prices!$C$8:$T$58,Prices!$B11,0)</f>
        <v>1.46</v>
      </c>
      <c r="E25" s="23">
        <f>HLOOKUP(D$22,Prices!$C$8:$T$58,Prices!$B11,0)</f>
        <v>1.54</v>
      </c>
      <c r="F25" s="17">
        <f t="shared" si="0"/>
        <v>8.0000000000000071E-2</v>
      </c>
      <c r="H25" s="17">
        <f>IF(ISERROR(HLOOKUP(G$22,Tolls!$D$7:$R$58,Tolls!$B11,0)),"Not Available",HLOOKUP(G$22,Tolls!$D$7:$R$58,Tolls!$B11,0))</f>
        <v>0.44135000000000002</v>
      </c>
      <c r="J25" s="17">
        <f t="shared" si="1"/>
        <v>-0.36134999999999995</v>
      </c>
    </row>
    <row r="26" spans="1:10" x14ac:dyDescent="0.2">
      <c r="A26" s="1">
        <f>Prices!A12</f>
        <v>35521</v>
      </c>
      <c r="C26" s="23">
        <f>HLOOKUP(B$22,Prices!$C$8:$T$58,Prices!$B12,0)</f>
        <v>1.57</v>
      </c>
      <c r="E26" s="23">
        <f>HLOOKUP(D$22,Prices!$C$8:$T$58,Prices!$B12,0)</f>
        <v>1.74</v>
      </c>
      <c r="F26" s="17">
        <f t="shared" si="0"/>
        <v>0.16999999999999993</v>
      </c>
      <c r="H26" s="17">
        <f>IF(ISERROR(HLOOKUP(G$22,Tolls!$D$7:$R$58,Tolls!$B12,0)),"Not Available",HLOOKUP(G$22,Tolls!$D$7:$R$58,Tolls!$B12,0))</f>
        <v>0.44205</v>
      </c>
      <c r="J26" s="17">
        <f t="shared" si="1"/>
        <v>-0.27205000000000007</v>
      </c>
    </row>
    <row r="27" spans="1:10" x14ac:dyDescent="0.2">
      <c r="A27" s="1">
        <f>Prices!A13</f>
        <v>35551</v>
      </c>
      <c r="C27" s="23">
        <f>HLOOKUP(B$22,Prices!$C$8:$T$58,Prices!$B13,0)</f>
        <v>1.84</v>
      </c>
      <c r="E27" s="23">
        <f>HLOOKUP(D$22,Prices!$C$8:$T$58,Prices!$B13,0)</f>
        <v>2.02</v>
      </c>
      <c r="F27" s="17">
        <f t="shared" si="0"/>
        <v>0.17999999999999994</v>
      </c>
      <c r="H27" s="17">
        <f>IF(ISERROR(HLOOKUP(G$22,Tolls!$D$7:$R$58,Tolls!$B13,0)),"Not Available",HLOOKUP(G$22,Tolls!$D$7:$R$58,Tolls!$B13,0))</f>
        <v>0.45220000000000005</v>
      </c>
      <c r="J27" s="17">
        <f t="shared" si="1"/>
        <v>-0.27220000000000011</v>
      </c>
    </row>
    <row r="28" spans="1:10" x14ac:dyDescent="0.2">
      <c r="A28" s="1">
        <f>Prices!A14</f>
        <v>35582</v>
      </c>
      <c r="C28" s="23">
        <f>HLOOKUP(B$22,Prices!$C$8:$T$58,Prices!$B14,0)</f>
        <v>2.0299999999999998</v>
      </c>
      <c r="E28" s="23">
        <f>HLOOKUP(D$22,Prices!$C$8:$T$58,Prices!$B14,0)</f>
        <v>2.2599999999999998</v>
      </c>
      <c r="F28" s="17">
        <f t="shared" si="0"/>
        <v>0.22999999999999998</v>
      </c>
      <c r="H28" s="17">
        <f>IF(ISERROR(HLOOKUP(G$22,Tolls!$D$7:$R$58,Tolls!$B14,0)),"Not Available",HLOOKUP(G$22,Tolls!$D$7:$R$58,Tolls!$B14,0))</f>
        <v>0.45710000000000001</v>
      </c>
      <c r="J28" s="17">
        <f t="shared" si="1"/>
        <v>-0.22710000000000002</v>
      </c>
    </row>
    <row r="29" spans="1:10" x14ac:dyDescent="0.2">
      <c r="A29" s="1">
        <f>Prices!A15</f>
        <v>35612</v>
      </c>
      <c r="C29" s="23">
        <f>HLOOKUP(B$22,Prices!$C$8:$T$58,Prices!$B15,0)</f>
        <v>1.98</v>
      </c>
      <c r="E29" s="23">
        <f>HLOOKUP(D$22,Prices!$C$8:$T$58,Prices!$B15,0)</f>
        <v>2.17</v>
      </c>
      <c r="F29" s="17">
        <f t="shared" si="0"/>
        <v>0.18999999999999995</v>
      </c>
      <c r="H29" s="17">
        <f>IF(ISERROR(HLOOKUP(G$22,Tolls!$D$7:$R$58,Tolls!$B15,0)),"Not Available",HLOOKUP(G$22,Tolls!$D$7:$R$58,Tolls!$B15,0))</f>
        <v>0.45569999999999999</v>
      </c>
      <c r="J29" s="17">
        <f t="shared" si="1"/>
        <v>-0.26570000000000005</v>
      </c>
    </row>
    <row r="30" spans="1:10" x14ac:dyDescent="0.2">
      <c r="A30" s="1">
        <f>Prices!A16</f>
        <v>35643</v>
      </c>
      <c r="C30" s="23">
        <f>HLOOKUP(B$22,Prices!$C$8:$T$58,Prices!$B16,0)</f>
        <v>2</v>
      </c>
      <c r="E30" s="23">
        <f>HLOOKUP(D$22,Prices!$C$8:$T$58,Prices!$B16,0)</f>
        <v>2.23</v>
      </c>
      <c r="F30" s="17">
        <f t="shared" si="0"/>
        <v>0.22999999999999998</v>
      </c>
      <c r="H30" s="17">
        <f>IF(ISERROR(HLOOKUP(G$22,Tolls!$D$7:$R$58,Tolls!$B16,0)),"Not Available",HLOOKUP(G$22,Tolls!$D$7:$R$58,Tolls!$B16,0))</f>
        <v>0.45745000000000002</v>
      </c>
      <c r="J30" s="17">
        <f t="shared" si="1"/>
        <v>-0.22745000000000004</v>
      </c>
    </row>
    <row r="31" spans="1:10" x14ac:dyDescent="0.2">
      <c r="A31" s="1">
        <f>Prices!A17</f>
        <v>35674</v>
      </c>
      <c r="C31" s="23">
        <f>HLOOKUP(B$22,Prices!$C$8:$T$58,Prices!$B17,0)</f>
        <v>2.2799999999999998</v>
      </c>
      <c r="E31" s="23">
        <f>HLOOKUP(D$22,Prices!$C$8:$T$58,Prices!$B17,0)</f>
        <v>2.4500000000000002</v>
      </c>
      <c r="F31" s="17">
        <f t="shared" si="0"/>
        <v>0.17000000000000037</v>
      </c>
      <c r="H31" s="17">
        <f>IF(ISERROR(HLOOKUP(G$22,Tolls!$D$7:$R$58,Tolls!$B17,0)),"Not Available",HLOOKUP(G$22,Tolls!$D$7:$R$58,Tolls!$B17,0))</f>
        <v>0.46865000000000001</v>
      </c>
      <c r="J31" s="17">
        <f t="shared" si="1"/>
        <v>-0.29864999999999964</v>
      </c>
    </row>
    <row r="32" spans="1:10" x14ac:dyDescent="0.2">
      <c r="A32" s="1">
        <f>Prices!A18</f>
        <v>35704</v>
      </c>
      <c r="C32" s="23">
        <f>HLOOKUP(B$22,Prices!$C$8:$T$58,Prices!$B18,0)</f>
        <v>2.8</v>
      </c>
      <c r="E32" s="23">
        <f>HLOOKUP(D$22,Prices!$C$8:$T$58,Prices!$B18,0)</f>
        <v>3.12</v>
      </c>
      <c r="F32" s="17">
        <f t="shared" si="0"/>
        <v>0.32000000000000028</v>
      </c>
      <c r="H32" s="17">
        <f>IF(ISERROR(HLOOKUP(G$22,Tolls!$D$7:$R$58,Tolls!$B18,0)),"Not Available",HLOOKUP(G$22,Tolls!$D$7:$R$58,Tolls!$B18,0))</f>
        <v>0.4879</v>
      </c>
      <c r="J32" s="17">
        <f t="shared" si="1"/>
        <v>-0.16789999999999972</v>
      </c>
    </row>
    <row r="33" spans="1:10" x14ac:dyDescent="0.2">
      <c r="A33" s="1">
        <f>Prices!A19</f>
        <v>35735</v>
      </c>
      <c r="C33" s="23">
        <f>HLOOKUP(B$22,Prices!$C$8:$T$58,Prices!$B19,0)</f>
        <v>3.07</v>
      </c>
      <c r="E33" s="23">
        <f>HLOOKUP(D$22,Prices!$C$8:$T$58,Prices!$B19,0)</f>
        <v>3.37</v>
      </c>
      <c r="F33" s="17">
        <f t="shared" si="0"/>
        <v>0.30000000000000027</v>
      </c>
      <c r="H33" s="17">
        <f>IF(ISERROR(HLOOKUP(G$22,Tolls!$D$7:$R$58,Tolls!$B19,0)),"Not Available",HLOOKUP(G$22,Tolls!$D$7:$R$58,Tolls!$B19,0))</f>
        <v>0.49490000000000001</v>
      </c>
      <c r="J33" s="17">
        <f t="shared" si="1"/>
        <v>-0.19489999999999974</v>
      </c>
    </row>
    <row r="34" spans="1:10" x14ac:dyDescent="0.2">
      <c r="A34" s="1">
        <f>Prices!A20</f>
        <v>35765</v>
      </c>
      <c r="C34" s="23">
        <f>HLOOKUP(B$22,Prices!$C$8:$T$58,Prices!$B20,0)</f>
        <v>2.11</v>
      </c>
      <c r="E34" s="23">
        <f>HLOOKUP(D$22,Prices!$C$8:$T$58,Prices!$B20,0)</f>
        <v>2.31</v>
      </c>
      <c r="F34" s="17">
        <f t="shared" si="0"/>
        <v>0.20000000000000018</v>
      </c>
      <c r="H34" s="17">
        <f>IF(ISERROR(HLOOKUP(G$22,Tolls!$D$7:$R$58,Tolls!$B20,0)),"Not Available",HLOOKUP(G$22,Tolls!$D$7:$R$58,Tolls!$B20,0))</f>
        <v>0.46130000000000004</v>
      </c>
      <c r="J34" s="17">
        <f t="shared" si="1"/>
        <v>-0.26129999999999987</v>
      </c>
    </row>
    <row r="35" spans="1:10" x14ac:dyDescent="0.2">
      <c r="A35" s="1">
        <f>Prices!A21</f>
        <v>35796</v>
      </c>
      <c r="C35" s="23">
        <f>HLOOKUP(B$22,Prices!$C$8:$T$58,Prices!$B21,0)</f>
        <v>2.08</v>
      </c>
      <c r="E35" s="23">
        <f>HLOOKUP(D$22,Prices!$C$8:$T$58,Prices!$B21,0)</f>
        <v>2.2799999999999998</v>
      </c>
      <c r="F35" s="17">
        <f t="shared" si="0"/>
        <v>0.19999999999999973</v>
      </c>
      <c r="H35" s="17">
        <f>IF(ISERROR(HLOOKUP(G$22,Tolls!$D$7:$R$58,Tolls!$B21,0)),"Not Available",HLOOKUP(G$22,Tolls!$D$7:$R$58,Tolls!$B21,0))</f>
        <v>0.45745000000000002</v>
      </c>
      <c r="J35" s="17">
        <f t="shared" si="1"/>
        <v>-0.25745000000000029</v>
      </c>
    </row>
    <row r="36" spans="1:10" x14ac:dyDescent="0.2">
      <c r="A36" s="1">
        <f>Prices!A22</f>
        <v>35827</v>
      </c>
      <c r="C36" s="23">
        <f>HLOOKUP(B$22,Prices!$C$8:$T$58,Prices!$B22,0)</f>
        <v>1.81</v>
      </c>
      <c r="E36" s="23">
        <f>HLOOKUP(D$22,Prices!$C$8:$T$58,Prices!$B22,0)</f>
        <v>2.1</v>
      </c>
      <c r="F36" s="17">
        <f t="shared" si="0"/>
        <v>0.29000000000000004</v>
      </c>
      <c r="H36" s="17">
        <f>IF(ISERROR(HLOOKUP(G$22,Tolls!$D$7:$R$58,Tolls!$B22,0)),"Not Available",HLOOKUP(G$22,Tolls!$D$7:$R$58,Tolls!$B22,0))</f>
        <v>0.44975000000000004</v>
      </c>
      <c r="J36" s="17">
        <f t="shared" si="1"/>
        <v>-0.15975</v>
      </c>
    </row>
    <row r="37" spans="1:10" x14ac:dyDescent="0.2">
      <c r="A37" s="1">
        <f>Prices!A23</f>
        <v>35855</v>
      </c>
      <c r="C37" s="23">
        <f>HLOOKUP(B$22,Prices!$C$8:$T$58,Prices!$B23,0)</f>
        <v>2.0299999999999998</v>
      </c>
      <c r="E37" s="23">
        <f>HLOOKUP(D$22,Prices!$C$8:$T$58,Prices!$B23,0)</f>
        <v>2.34</v>
      </c>
      <c r="F37" s="17">
        <f t="shared" si="0"/>
        <v>0.31000000000000005</v>
      </c>
      <c r="H37" s="17">
        <f>IF(ISERROR(HLOOKUP(G$22,Tolls!$D$7:$R$58,Tolls!$B23,0)),"Not Available",HLOOKUP(G$22,Tolls!$D$7:$R$58,Tolls!$B23,0))</f>
        <v>0.45674999999999999</v>
      </c>
      <c r="J37" s="17">
        <f t="shared" si="1"/>
        <v>-0.14674999999999994</v>
      </c>
    </row>
    <row r="38" spans="1:10" x14ac:dyDescent="0.2">
      <c r="A38" s="1">
        <f>Prices!A24</f>
        <v>35886</v>
      </c>
      <c r="C38" s="23">
        <f>HLOOKUP(B$22,Prices!$C$8:$T$58,Prices!$B24,0)</f>
        <v>2.08</v>
      </c>
      <c r="E38" s="23">
        <f>HLOOKUP(D$22,Prices!$C$8:$T$58,Prices!$B24,0)</f>
        <v>2.39</v>
      </c>
      <c r="F38" s="17">
        <f t="shared" si="0"/>
        <v>0.31000000000000005</v>
      </c>
      <c r="H38" s="17">
        <f>IF(ISERROR(HLOOKUP(G$22,Tolls!$D$7:$R$58,Tolls!$B24,0)),"Not Available",HLOOKUP(G$22,Tolls!$D$7:$R$58,Tolls!$B24,0))</f>
        <v>0.45884999999999998</v>
      </c>
      <c r="J38" s="17">
        <f t="shared" si="1"/>
        <v>-0.14884999999999993</v>
      </c>
    </row>
    <row r="39" spans="1:10" x14ac:dyDescent="0.2">
      <c r="A39" s="1">
        <f>Prices!A25</f>
        <v>35916</v>
      </c>
      <c r="C39" s="23">
        <f>HLOOKUP(B$22,Prices!$C$8:$T$58,Prices!$B25,0)</f>
        <v>2.06</v>
      </c>
      <c r="E39" s="23">
        <f>HLOOKUP(D$22,Prices!$C$8:$T$58,Prices!$B25,0)</f>
        <v>2.34</v>
      </c>
      <c r="F39" s="17">
        <f t="shared" si="0"/>
        <v>0.2799999999999998</v>
      </c>
      <c r="H39" s="17">
        <f>IF(ISERROR(HLOOKUP(G$22,Tolls!$D$7:$R$58,Tolls!$B25,0)),"Not Available",HLOOKUP(G$22,Tolls!$D$7:$R$58,Tolls!$B25,0))</f>
        <v>0.45920000000000005</v>
      </c>
      <c r="J39" s="17">
        <f t="shared" si="1"/>
        <v>-0.17920000000000025</v>
      </c>
    </row>
    <row r="40" spans="1:10" x14ac:dyDescent="0.2">
      <c r="A40" s="1">
        <f>Prices!A26</f>
        <v>35947</v>
      </c>
      <c r="C40" s="23">
        <f>HLOOKUP(B$22,Prices!$C$8:$T$58,Prices!$B26,0)</f>
        <v>1.74</v>
      </c>
      <c r="E40" s="23">
        <f>HLOOKUP(D$22,Prices!$C$8:$T$58,Prices!$B26,0)</f>
        <v>2.11</v>
      </c>
      <c r="F40" s="17">
        <f t="shared" si="0"/>
        <v>0.36999999999999988</v>
      </c>
      <c r="H40" s="17">
        <f>IF(ISERROR(HLOOKUP(G$22,Tolls!$D$7:$R$58,Tolls!$B26,0)),"Not Available",HLOOKUP(G$22,Tolls!$D$7:$R$58,Tolls!$B26,0))</f>
        <v>0.4501</v>
      </c>
      <c r="J40" s="17">
        <f t="shared" si="1"/>
        <v>-8.0100000000000116E-2</v>
      </c>
    </row>
    <row r="41" spans="1:10" x14ac:dyDescent="0.2">
      <c r="A41" s="1">
        <f>Prices!A27</f>
        <v>35977</v>
      </c>
      <c r="C41" s="23">
        <f>HLOOKUP(B$22,Prices!$C$8:$T$58,Prices!$B27,0)</f>
        <v>1.87</v>
      </c>
      <c r="E41" s="23">
        <f>HLOOKUP(D$22,Prices!$C$8:$T$58,Prices!$B27,0)</f>
        <v>2.2400000000000002</v>
      </c>
      <c r="F41" s="17">
        <f t="shared" si="0"/>
        <v>0.37000000000000011</v>
      </c>
      <c r="H41" s="17">
        <f>IF(ISERROR(HLOOKUP(G$22,Tolls!$D$7:$R$58,Tolls!$B27,0)),"Not Available",HLOOKUP(G$22,Tolls!$D$7:$R$58,Tolls!$B27,0))</f>
        <v>0.46130000000000004</v>
      </c>
      <c r="J41" s="17">
        <f t="shared" si="1"/>
        <v>-9.1299999999999937E-2</v>
      </c>
    </row>
    <row r="42" spans="1:10" x14ac:dyDescent="0.2">
      <c r="A42" s="1">
        <f>Prices!A28</f>
        <v>36008</v>
      </c>
      <c r="C42" s="23">
        <f>HLOOKUP(B$22,Prices!$C$8:$T$58,Prices!$B28,0)</f>
        <v>1.83</v>
      </c>
      <c r="E42" s="23">
        <f>HLOOKUP(D$22,Prices!$C$8:$T$58,Prices!$B28,0)</f>
        <v>2.2799999999999998</v>
      </c>
      <c r="F42" s="17">
        <f t="shared" si="0"/>
        <v>0.44999999999999973</v>
      </c>
      <c r="H42" s="17">
        <f>IF(ISERROR(HLOOKUP(G$22,Tolls!$D$7:$R$58,Tolls!$B28,0)),"Not Available",HLOOKUP(G$22,Tolls!$D$7:$R$58,Tolls!$B28,0))</f>
        <v>0.45255000000000001</v>
      </c>
      <c r="J42" s="17">
        <f t="shared" si="1"/>
        <v>-2.5500000000002743E-3</v>
      </c>
    </row>
    <row r="43" spans="1:10" x14ac:dyDescent="0.2">
      <c r="A43" s="1">
        <f>Prices!A29</f>
        <v>36039</v>
      </c>
      <c r="C43" s="23">
        <f>HLOOKUP(B$22,Prices!$C$8:$T$58,Prices!$B29,0)</f>
        <v>1.54</v>
      </c>
      <c r="E43" s="23">
        <f>HLOOKUP(D$22,Prices!$C$8:$T$58,Prices!$B29,0)</f>
        <v>2.0099999999999998</v>
      </c>
      <c r="F43" s="17">
        <f t="shared" si="0"/>
        <v>0.46999999999999975</v>
      </c>
      <c r="H43" s="17">
        <f>IF(ISERROR(HLOOKUP(G$22,Tolls!$D$7:$R$58,Tolls!$B29,0)),"Not Available",HLOOKUP(G$22,Tolls!$D$7:$R$58,Tolls!$B29,0))</f>
        <v>0.44135000000000002</v>
      </c>
      <c r="J43" s="17">
        <f t="shared" si="1"/>
        <v>2.8649999999999731E-2</v>
      </c>
    </row>
    <row r="44" spans="1:10" x14ac:dyDescent="0.2">
      <c r="A44" s="1">
        <f>Prices!A30</f>
        <v>36069</v>
      </c>
      <c r="C44" s="23">
        <f>HLOOKUP(B$22,Prices!$C$8:$T$58,Prices!$B30,0)</f>
        <v>1.63</v>
      </c>
      <c r="E44" s="23">
        <f>HLOOKUP(D$22,Prices!$C$8:$T$58,Prices!$B30,0)</f>
        <v>2.04</v>
      </c>
      <c r="F44" s="17">
        <f t="shared" si="0"/>
        <v>0.41000000000000014</v>
      </c>
      <c r="H44" s="17">
        <f>IF(ISERROR(HLOOKUP(G$22,Tolls!$D$7:$R$58,Tolls!$B30,0)),"Not Available",HLOOKUP(G$22,Tolls!$D$7:$R$58,Tolls!$B30,0))</f>
        <v>0.44869999999999999</v>
      </c>
      <c r="J44" s="17">
        <f t="shared" si="1"/>
        <v>-3.8699999999999846E-2</v>
      </c>
    </row>
    <row r="45" spans="1:10" x14ac:dyDescent="0.2">
      <c r="A45" s="1">
        <f>Prices!A31</f>
        <v>36100</v>
      </c>
      <c r="C45" s="23">
        <f>HLOOKUP(B$22,Prices!$C$8:$T$58,Prices!$B31,0)</f>
        <v>1.87</v>
      </c>
      <c r="E45" s="23">
        <f>HLOOKUP(D$22,Prices!$C$8:$T$58,Prices!$B31,0)</f>
        <v>2.33</v>
      </c>
      <c r="F45" s="17">
        <f t="shared" si="0"/>
        <v>0.45999999999999996</v>
      </c>
      <c r="H45" s="17">
        <f>IF(ISERROR(HLOOKUP(G$22,Tolls!$D$7:$R$58,Tolls!$B31,0)),"Not Available",HLOOKUP(G$22,Tolls!$D$7:$R$58,Tolls!$B31,0))</f>
        <v>0.45255000000000001</v>
      </c>
      <c r="J45" s="17">
        <f t="shared" si="1"/>
        <v>7.4499999999999567E-3</v>
      </c>
    </row>
    <row r="46" spans="1:10" x14ac:dyDescent="0.2">
      <c r="A46" s="1">
        <f>Prices!A32</f>
        <v>36130</v>
      </c>
      <c r="C46" s="23">
        <f>HLOOKUP(B$22,Prices!$C$8:$T$58,Prices!$B32,0)</f>
        <v>1.98</v>
      </c>
      <c r="E46" s="23">
        <f>HLOOKUP(D$22,Prices!$C$8:$T$58,Prices!$B32,0)</f>
        <v>2.2799999999999998</v>
      </c>
      <c r="F46" s="17">
        <f t="shared" si="0"/>
        <v>0.29999999999999982</v>
      </c>
      <c r="H46" s="17">
        <f>IF(ISERROR(HLOOKUP(G$22,Tolls!$D$7:$R$58,Tolls!$B32,0)),"Not Available",HLOOKUP(G$22,Tolls!$D$7:$R$58,Tolls!$B32,0))</f>
        <v>0.45500000000000002</v>
      </c>
      <c r="J46" s="17">
        <f t="shared" si="1"/>
        <v>-0.15500000000000019</v>
      </c>
    </row>
    <row r="47" spans="1:10" x14ac:dyDescent="0.2">
      <c r="A47" s="1">
        <f>Prices!A33</f>
        <v>36161</v>
      </c>
      <c r="C47" s="23">
        <f>HLOOKUP(B$22,Prices!$C$8:$T$58,Prices!$B33,0)</f>
        <v>1.72</v>
      </c>
      <c r="E47" s="23">
        <f>HLOOKUP(D$22,Prices!$C$8:$T$58,Prices!$B33,0)</f>
        <v>2.02</v>
      </c>
      <c r="F47" s="17">
        <f t="shared" si="0"/>
        <v>0.30000000000000004</v>
      </c>
      <c r="H47" s="17">
        <f>IF(ISERROR(HLOOKUP(G$22,Tolls!$D$7:$R$58,Tolls!$B33,0)),"Not Available",HLOOKUP(G$22,Tolls!$D$7:$R$58,Tolls!$B33,0))</f>
        <v>0.44520000000000004</v>
      </c>
      <c r="J47" s="17">
        <f t="shared" si="1"/>
        <v>-0.1452</v>
      </c>
    </row>
    <row r="48" spans="1:10" x14ac:dyDescent="0.2">
      <c r="A48" s="1">
        <f>Prices!A34</f>
        <v>36192</v>
      </c>
      <c r="C48" s="23">
        <f>HLOOKUP(B$22,Prices!$C$8:$T$58,Prices!$B34,0)</f>
        <v>1.63</v>
      </c>
      <c r="E48" s="23">
        <f>HLOOKUP(D$22,Prices!$C$8:$T$58,Prices!$B34,0)</f>
        <v>1.82</v>
      </c>
      <c r="F48" s="17">
        <f t="shared" si="0"/>
        <v>0.19000000000000017</v>
      </c>
      <c r="H48" s="17">
        <f>IF(ISERROR(HLOOKUP(G$22,Tolls!$D$7:$R$58,Tolls!$B34,0)),"Not Available",HLOOKUP(G$22,Tolls!$D$7:$R$58,Tolls!$B34,0))</f>
        <v>0.44345000000000001</v>
      </c>
      <c r="J48" s="17">
        <f t="shared" si="1"/>
        <v>-0.25344999999999984</v>
      </c>
    </row>
    <row r="49" spans="1:10" x14ac:dyDescent="0.2">
      <c r="A49" s="1">
        <f>Prices!A35</f>
        <v>36220</v>
      </c>
      <c r="C49" s="23">
        <f>HLOOKUP(B$22,Prices!$C$8:$T$58,Prices!$B35,0)</f>
        <v>1.42</v>
      </c>
      <c r="E49" s="23">
        <f>HLOOKUP(D$22,Prices!$C$8:$T$58,Prices!$B35,0)</f>
        <v>1.73</v>
      </c>
      <c r="F49" s="17">
        <f t="shared" si="0"/>
        <v>0.31000000000000005</v>
      </c>
      <c r="H49" s="17">
        <f>IF(ISERROR(HLOOKUP(G$22,Tolls!$D$7:$R$58,Tolls!$B35,0)),"Not Available",HLOOKUP(G$22,Tolls!$D$7:$R$58,Tolls!$B35,0))</f>
        <v>0.43785000000000002</v>
      </c>
      <c r="J49" s="17">
        <f t="shared" si="1"/>
        <v>-0.12784999999999996</v>
      </c>
    </row>
    <row r="50" spans="1:10" x14ac:dyDescent="0.2">
      <c r="A50" s="1">
        <f>Prices!A36</f>
        <v>36251</v>
      </c>
      <c r="C50" s="23">
        <f>HLOOKUP(B$22,Prices!$C$8:$T$58,Prices!$B36,0)</f>
        <v>1.58</v>
      </c>
      <c r="E50" s="23">
        <f>HLOOKUP(D$22,Prices!$C$8:$T$58,Prices!$B36,0)</f>
        <v>1.79</v>
      </c>
      <c r="F50" s="17">
        <f t="shared" si="0"/>
        <v>0.20999999999999996</v>
      </c>
      <c r="H50" s="17">
        <f>IF(ISERROR(HLOOKUP(G$22,Tolls!$D$7:$R$58,Tolls!$B36,0)),"Not Available",HLOOKUP(G$22,Tolls!$D$7:$R$58,Tolls!$B36,0))</f>
        <v>0.44380000000000003</v>
      </c>
      <c r="J50" s="17">
        <f t="shared" si="1"/>
        <v>-0.23380000000000006</v>
      </c>
    </row>
    <row r="51" spans="1:10" x14ac:dyDescent="0.2">
      <c r="A51" s="1">
        <f>Prices!A37</f>
        <v>36281</v>
      </c>
      <c r="C51" s="23">
        <f>HLOOKUP(B$22,Prices!$C$8:$T$58,Prices!$B37,0)</f>
        <v>2.02</v>
      </c>
      <c r="E51" s="23">
        <f>HLOOKUP(D$22,Prices!$C$8:$T$58,Prices!$B37,0)</f>
        <v>2.2000000000000002</v>
      </c>
      <c r="F51" s="17">
        <f t="shared" si="0"/>
        <v>0.18000000000000016</v>
      </c>
      <c r="H51" s="17">
        <f>IF(ISERROR(HLOOKUP(G$22,Tolls!$D$7:$R$58,Tolls!$B37,0)),"Not Available",HLOOKUP(G$22,Tolls!$D$7:$R$58,Tolls!$B37,0))</f>
        <v>0.46095000000000003</v>
      </c>
      <c r="J51" s="17">
        <f t="shared" si="1"/>
        <v>-0.28094999999999987</v>
      </c>
    </row>
    <row r="52" spans="1:10" x14ac:dyDescent="0.2">
      <c r="A52" s="1">
        <f>Prices!A38</f>
        <v>36312</v>
      </c>
      <c r="C52" s="23">
        <f>HLOOKUP(B$22,Prices!$C$8:$T$58,Prices!$B38,0)</f>
        <v>1.97</v>
      </c>
      <c r="E52" s="23">
        <f>HLOOKUP(D$22,Prices!$C$8:$T$58,Prices!$B38,0)</f>
        <v>2.2200000000000002</v>
      </c>
      <c r="F52" s="17">
        <f t="shared" si="0"/>
        <v>0.25000000000000022</v>
      </c>
      <c r="H52" s="17">
        <f>IF(ISERROR(HLOOKUP(G$22,Tolls!$D$7:$R$58,Tolls!$B38,0)),"Not Available",HLOOKUP(G$22,Tolls!$D$7:$R$58,Tolls!$B38,0))</f>
        <v>0.45779999999999998</v>
      </c>
      <c r="J52" s="17">
        <f t="shared" si="1"/>
        <v>-0.20779999999999976</v>
      </c>
    </row>
    <row r="53" spans="1:10" x14ac:dyDescent="0.2">
      <c r="A53" s="1">
        <f>Prices!A39</f>
        <v>36342</v>
      </c>
      <c r="C53" s="23">
        <f>HLOOKUP(B$22,Prices!$C$8:$T$58,Prices!$B39,0)</f>
        <v>2.0499999999999998</v>
      </c>
      <c r="E53" s="23">
        <f>HLOOKUP(D$22,Prices!$C$8:$T$58,Prices!$B39,0)</f>
        <v>2.38</v>
      </c>
      <c r="F53" s="17">
        <f t="shared" si="0"/>
        <v>0.33000000000000007</v>
      </c>
      <c r="H53" s="17">
        <f>IF(ISERROR(HLOOKUP(G$22,Tolls!$D$7:$R$58,Tolls!$B39,0)),"Not Available",HLOOKUP(G$22,Tolls!$D$7:$R$58,Tolls!$B39,0))</f>
        <v>0.46235000000000004</v>
      </c>
      <c r="J53" s="17">
        <f t="shared" si="1"/>
        <v>-0.13234999999999997</v>
      </c>
    </row>
    <row r="54" spans="1:10" x14ac:dyDescent="0.2">
      <c r="A54" s="1">
        <f>Prices!A40</f>
        <v>36373</v>
      </c>
      <c r="C54" s="23">
        <f>HLOOKUP(B$22,Prices!$C$8:$T$58,Prices!$B40,0)</f>
        <v>2.27</v>
      </c>
      <c r="E54" s="23">
        <f>HLOOKUP(D$22,Prices!$C$8:$T$58,Prices!$B40,0)</f>
        <v>2.59</v>
      </c>
      <c r="F54" s="17">
        <f t="shared" si="0"/>
        <v>0.31999999999999984</v>
      </c>
      <c r="H54" s="17">
        <f>IF(ISERROR(HLOOKUP(G$22,Tolls!$D$7:$R$58,Tolls!$B40,0)),"Not Available",HLOOKUP(G$22,Tolls!$D$7:$R$58,Tolls!$B40,0))</f>
        <v>0.47284999999999999</v>
      </c>
      <c r="J54" s="17">
        <f t="shared" si="1"/>
        <v>-0.15285000000000015</v>
      </c>
    </row>
    <row r="55" spans="1:10" x14ac:dyDescent="0.2">
      <c r="A55" s="1">
        <f>Prices!A41</f>
        <v>36404</v>
      </c>
      <c r="C55" s="23">
        <f>HLOOKUP(B$22,Prices!$C$8:$T$58,Prices!$B41,0)</f>
        <v>2.64</v>
      </c>
      <c r="E55" s="23">
        <f>HLOOKUP(D$22,Prices!$C$8:$T$58,Prices!$B41,0)</f>
        <v>2.93</v>
      </c>
      <c r="F55" s="17">
        <f t="shared" ref="F55:F72" si="2">E55-C55</f>
        <v>0.29000000000000004</v>
      </c>
      <c r="H55" s="17">
        <f>IF(ISERROR(HLOOKUP(G$22,Tolls!$D$7:$R$58,Tolls!$B41,0)),"Not Available",HLOOKUP(G$22,Tolls!$D$7:$R$58,Tolls!$B41,0))</f>
        <v>0.48230000000000001</v>
      </c>
      <c r="J55" s="17">
        <f t="shared" ref="J55:J72" si="3">F55-H55</f>
        <v>-0.19229999999999997</v>
      </c>
    </row>
    <row r="56" spans="1:10" x14ac:dyDescent="0.2">
      <c r="A56" s="1">
        <f>Prices!A42</f>
        <v>36434</v>
      </c>
      <c r="C56" s="23">
        <f>HLOOKUP(B$22,Prices!$C$8:$T$58,Prices!$B42,0)</f>
        <v>2.38</v>
      </c>
      <c r="E56" s="23">
        <f>HLOOKUP(D$22,Prices!$C$8:$T$58,Prices!$B42,0)</f>
        <v>2.69</v>
      </c>
      <c r="F56" s="17">
        <f t="shared" si="2"/>
        <v>0.31000000000000005</v>
      </c>
      <c r="H56" s="17">
        <f>IF(ISERROR(HLOOKUP(G$22,Tolls!$D$7:$R$58,Tolls!$B42,0)),"Not Available",HLOOKUP(G$22,Tolls!$D$7:$R$58,Tolls!$B42,0))</f>
        <v>0.47284999999999999</v>
      </c>
      <c r="J56" s="17">
        <f t="shared" si="3"/>
        <v>-0.16284999999999994</v>
      </c>
    </row>
    <row r="57" spans="1:10" x14ac:dyDescent="0.2">
      <c r="A57" s="1">
        <f>Prices!A43</f>
        <v>36465</v>
      </c>
      <c r="C57" s="23">
        <f>HLOOKUP(B$22,Prices!$C$8:$T$58,Prices!$B43,0)</f>
        <v>2.84</v>
      </c>
      <c r="E57" s="23">
        <f>HLOOKUP(D$22,Prices!$C$8:$T$58,Prices!$B43,0)</f>
        <v>3.06</v>
      </c>
      <c r="F57" s="17">
        <f t="shared" si="2"/>
        <v>0.2200000000000002</v>
      </c>
      <c r="H57" s="17">
        <f>IF(ISERROR(HLOOKUP(G$22,Tolls!$D$7:$R$58,Tolls!$B43,0)),"Not Available",HLOOKUP(G$22,Tolls!$D$7:$R$58,Tolls!$B43,0))</f>
        <v>0.48545000000000005</v>
      </c>
      <c r="J57" s="17">
        <f t="shared" si="3"/>
        <v>-0.26544999999999985</v>
      </c>
    </row>
    <row r="58" spans="1:10" x14ac:dyDescent="0.2">
      <c r="A58" s="1">
        <f>Prices!A44</f>
        <v>36495</v>
      </c>
      <c r="C58" s="23">
        <f>HLOOKUP(B$22,Prices!$C$8:$T$58,Prices!$B44,0)</f>
        <v>2.08</v>
      </c>
      <c r="E58" s="23">
        <f>HLOOKUP(D$22,Prices!$C$8:$T$58,Prices!$B44,0)</f>
        <v>2.41</v>
      </c>
      <c r="F58" s="17">
        <f t="shared" si="2"/>
        <v>0.33000000000000007</v>
      </c>
      <c r="H58" s="17">
        <f>IF(ISERROR(HLOOKUP(G$22,Tolls!$D$7:$R$58,Tolls!$B44,0)),"Not Available",HLOOKUP(G$22,Tolls!$D$7:$R$58,Tolls!$B44,0))</f>
        <v>0.45955000000000001</v>
      </c>
      <c r="J58" s="17">
        <f t="shared" si="3"/>
        <v>-0.12954999999999994</v>
      </c>
    </row>
    <row r="59" spans="1:10" x14ac:dyDescent="0.2">
      <c r="A59" s="1">
        <f>Prices!A45</f>
        <v>36526</v>
      </c>
      <c r="C59" s="23">
        <f>HLOOKUP(B$22,Prices!$C$8:$T$58,Prices!$B45,0)</f>
        <v>2.17</v>
      </c>
      <c r="E59" s="23">
        <f>HLOOKUP(D$22,Prices!$C$8:$T$58,Prices!$B45,0)</f>
        <v>2.38</v>
      </c>
      <c r="F59" s="17">
        <f t="shared" si="2"/>
        <v>0.20999999999999996</v>
      </c>
      <c r="H59" s="17">
        <f>IF(ISERROR(HLOOKUP(G$22,Tolls!$D$7:$R$58,Tolls!$B45,0)),"Not Available",HLOOKUP(G$22,Tolls!$D$7:$R$58,Tolls!$B45,0))</f>
        <v>0.46165</v>
      </c>
      <c r="J59" s="17">
        <f t="shared" si="3"/>
        <v>-0.25165000000000004</v>
      </c>
    </row>
    <row r="60" spans="1:10" x14ac:dyDescent="0.2">
      <c r="A60" s="1">
        <f>Prices!A46</f>
        <v>36557</v>
      </c>
      <c r="C60" s="23">
        <f>HLOOKUP(B$22,Prices!$C$8:$T$58,Prices!$B46,0)</f>
        <v>2.37</v>
      </c>
      <c r="E60" s="23">
        <f>HLOOKUP(D$22,Prices!$C$8:$T$58,Prices!$B46,0)</f>
        <v>2.5499999999999998</v>
      </c>
      <c r="F60" s="17">
        <f t="shared" si="2"/>
        <v>0.17999999999999972</v>
      </c>
      <c r="H60" s="17">
        <f>IF(ISERROR(HLOOKUP(G$22,Tolls!$D$7:$R$58,Tolls!$B46,0)),"Not Available",HLOOKUP(G$22,Tolls!$D$7:$R$58,Tolls!$B46,0))</f>
        <v>0.46795000000000003</v>
      </c>
      <c r="J60" s="17">
        <f t="shared" si="3"/>
        <v>-0.28795000000000032</v>
      </c>
    </row>
    <row r="61" spans="1:10" x14ac:dyDescent="0.2">
      <c r="A61" s="1">
        <f>Prices!A47</f>
        <v>36586</v>
      </c>
      <c r="C61" s="23">
        <f>HLOOKUP(B$22,Prices!$C$8:$T$58,Prices!$B47,0)</f>
        <v>2.35</v>
      </c>
      <c r="E61" s="23">
        <f>HLOOKUP(D$22,Prices!$C$8:$T$58,Prices!$B47,0)</f>
        <v>2.58</v>
      </c>
      <c r="F61" s="17">
        <f t="shared" si="2"/>
        <v>0.22999999999999998</v>
      </c>
      <c r="H61" s="17">
        <f>IF(ISERROR(HLOOKUP(G$22,Tolls!$D$7:$R$58,Tolls!$B47,0)),"Not Available",HLOOKUP(G$22,Tolls!$D$7:$R$58,Tolls!$B47,0))</f>
        <v>0.46865000000000001</v>
      </c>
      <c r="J61" s="17">
        <f t="shared" si="3"/>
        <v>-0.23865000000000003</v>
      </c>
    </row>
    <row r="62" spans="1:10" x14ac:dyDescent="0.2">
      <c r="A62" s="1">
        <f>Prices!A48</f>
        <v>36617</v>
      </c>
      <c r="C62" s="23">
        <f>HLOOKUP(B$22,Prices!$C$8:$T$58,Prices!$B48,0)</f>
        <v>2.77</v>
      </c>
      <c r="E62" s="23">
        <f>HLOOKUP(D$22,Prices!$C$8:$T$58,Prices!$B48,0)</f>
        <v>3.04</v>
      </c>
      <c r="F62" s="17">
        <f t="shared" si="2"/>
        <v>0.27</v>
      </c>
      <c r="H62" s="17">
        <f>IF(ISERROR(HLOOKUP(G$22,Tolls!$D$7:$R$58,Tolls!$B48,0)),"Not Available",HLOOKUP(G$22,Tolls!$D$7:$R$58,Tolls!$B48,0))</f>
        <v>0.48370000000000002</v>
      </c>
      <c r="J62" s="17">
        <f t="shared" si="3"/>
        <v>-0.2137</v>
      </c>
    </row>
    <row r="63" spans="1:10" x14ac:dyDescent="0.2">
      <c r="A63" s="1">
        <f>Prices!A49</f>
        <v>36647</v>
      </c>
      <c r="C63" s="23">
        <f>HLOOKUP(B$22,Prices!$C$8:$T$58,Prices!$B49,0)</f>
        <v>2.76</v>
      </c>
      <c r="E63" s="23">
        <f>HLOOKUP(D$22,Prices!$C$8:$T$58,Prices!$B49,0)</f>
        <v>3.04</v>
      </c>
      <c r="F63" s="17">
        <f t="shared" si="2"/>
        <v>0.28000000000000025</v>
      </c>
      <c r="H63" s="17">
        <f>IF(ISERROR(HLOOKUP(G$22,Tolls!$D$7:$R$58,Tolls!$B49,0)),"Not Available",HLOOKUP(G$22,Tolls!$D$7:$R$58,Tolls!$B49,0))</f>
        <v>0.48545000000000005</v>
      </c>
      <c r="J63" s="17">
        <f t="shared" si="3"/>
        <v>-0.2054499999999998</v>
      </c>
    </row>
    <row r="64" spans="1:10" x14ac:dyDescent="0.2">
      <c r="A64" s="1">
        <f>Prices!A50</f>
        <v>36678</v>
      </c>
      <c r="C64" s="23">
        <f>HLOOKUP(B$22,Prices!$C$8:$T$58,Prices!$B50,0)</f>
        <v>3.71</v>
      </c>
      <c r="E64" s="23">
        <f>HLOOKUP(D$22,Prices!$C$8:$T$58,Prices!$B50,0)</f>
        <v>4.3099999999999996</v>
      </c>
      <c r="F64" s="17">
        <f t="shared" si="2"/>
        <v>0.59999999999999964</v>
      </c>
      <c r="H64" s="17">
        <f>IF(ISERROR(HLOOKUP(G$22,Tolls!$D$7:$R$58,Tolls!$B50,0)),"Not Available",HLOOKUP(G$22,Tolls!$D$7:$R$58,Tolls!$B50,0))</f>
        <v>0.52115</v>
      </c>
      <c r="J64" s="17">
        <f t="shared" si="3"/>
        <v>7.8849999999999643E-2</v>
      </c>
    </row>
    <row r="65" spans="1:10" x14ac:dyDescent="0.2">
      <c r="A65" s="1">
        <f>Prices!A51</f>
        <v>36708</v>
      </c>
      <c r="C65" s="23">
        <f>HLOOKUP(B$22,Prices!$C$8:$T$58,Prices!$B51,0)</f>
        <v>4.1399999999999997</v>
      </c>
      <c r="E65" s="23">
        <f>HLOOKUP(D$22,Prices!$C$8:$T$58,Prices!$B51,0)</f>
        <v>4.9000000000000004</v>
      </c>
      <c r="F65" s="17">
        <f t="shared" si="2"/>
        <v>0.76000000000000068</v>
      </c>
      <c r="H65" s="17">
        <f>IF(ISERROR(HLOOKUP(G$22,Tolls!$D$7:$R$58,Tolls!$B51,0)),"Not Available",HLOOKUP(G$22,Tolls!$D$7:$R$58,Tolls!$B51,0))</f>
        <v>0.54110000000000003</v>
      </c>
      <c r="J65" s="17">
        <f t="shared" si="3"/>
        <v>0.21890000000000065</v>
      </c>
    </row>
    <row r="66" spans="1:10" x14ac:dyDescent="0.2">
      <c r="A66" s="1">
        <f>Prices!A52</f>
        <v>36739</v>
      </c>
      <c r="C66" s="23">
        <f>HLOOKUP(B$22,Prices!$C$8:$T$58,Prices!$B52,0)</f>
        <v>3.48</v>
      </c>
      <c r="E66" s="23">
        <f>HLOOKUP(D$22,Prices!$C$8:$T$58,Prices!$B52,0)</f>
        <v>4.5599999999999996</v>
      </c>
      <c r="F66" s="17">
        <f t="shared" si="2"/>
        <v>1.0799999999999996</v>
      </c>
      <c r="H66" s="17">
        <f>IF(ISERROR(HLOOKUP(G$22,Tolls!$D$7:$R$58,Tolls!$B52,0)),"Not Available",HLOOKUP(G$22,Tolls!$D$7:$R$58,Tolls!$B52,0))</f>
        <v>0.51519999999999999</v>
      </c>
      <c r="J66" s="17">
        <f t="shared" si="3"/>
        <v>0.56479999999999964</v>
      </c>
    </row>
    <row r="67" spans="1:10" x14ac:dyDescent="0.2">
      <c r="A67" s="1">
        <f>Prices!A53</f>
        <v>36770</v>
      </c>
      <c r="C67" s="23">
        <f>HLOOKUP(B$22,Prices!$C$8:$T$58,Prices!$B53,0)</f>
        <v>3.5</v>
      </c>
      <c r="E67" s="23">
        <f>HLOOKUP(D$22,Prices!$C$8:$T$58,Prices!$B53,0)</f>
        <v>7</v>
      </c>
      <c r="F67" s="17">
        <f t="shared" si="2"/>
        <v>3.5</v>
      </c>
      <c r="H67" s="17">
        <f>IF(ISERROR(HLOOKUP(G$22,Tolls!$D$7:$R$58,Tolls!$B53,0)),"Not Available",HLOOKUP(G$22,Tolls!$D$7:$R$58,Tolls!$B53,0))</f>
        <v>0.54425000000000001</v>
      </c>
      <c r="J67" s="17">
        <f t="shared" si="3"/>
        <v>2.9557500000000001</v>
      </c>
    </row>
    <row r="68" spans="1:10" x14ac:dyDescent="0.2">
      <c r="A68" s="1">
        <f>Prices!A54</f>
        <v>36800</v>
      </c>
      <c r="C68" s="23">
        <f>HLOOKUP(B$22,Prices!$C$8:$T$58,Prices!$B54,0)</f>
        <v>4.5199999999999996</v>
      </c>
      <c r="E68" s="23">
        <f>HLOOKUP(D$22,Prices!$C$8:$T$58,Prices!$B54,0)</f>
        <v>5.57</v>
      </c>
      <c r="F68" s="17">
        <f t="shared" si="2"/>
        <v>1.0500000000000007</v>
      </c>
      <c r="H68" s="17">
        <f>IF(ISERROR(HLOOKUP(G$22,Tolls!$D$7:$R$58,Tolls!$B54,0)),"Not Available",HLOOKUP(G$22,Tolls!$D$7:$R$58,Tolls!$B54,0))</f>
        <v>0.56559999999999999</v>
      </c>
      <c r="J68" s="17">
        <f t="shared" si="3"/>
        <v>0.48440000000000072</v>
      </c>
    </row>
    <row r="69" spans="1:10" x14ac:dyDescent="0.2">
      <c r="A69" s="1">
        <f>Prices!A55</f>
        <v>36831</v>
      </c>
      <c r="C69" s="23">
        <f>HLOOKUP(B$22,Prices!$C$8:$T$58,Prices!$B55,0)</f>
        <v>4.41</v>
      </c>
      <c r="E69" s="23">
        <f>HLOOKUP(D$22,Prices!$C$8:$T$58,Prices!$B55,0)</f>
        <v>5.2</v>
      </c>
      <c r="F69" s="17">
        <f t="shared" si="2"/>
        <v>0.79</v>
      </c>
      <c r="H69" s="17">
        <f>IF(ISERROR(HLOOKUP(G$22,Tolls!$D$7:$R$58,Tolls!$B55,0)),"Not Available",HLOOKUP(G$22,Tolls!$D$7:$R$58,Tolls!$B55,0))</f>
        <v>0.54600000000000004</v>
      </c>
      <c r="J69" s="17">
        <f t="shared" si="3"/>
        <v>0.24399999999999999</v>
      </c>
    </row>
    <row r="70" spans="1:10" x14ac:dyDescent="0.2">
      <c r="A70" s="1">
        <f>Prices!A56</f>
        <v>36861</v>
      </c>
      <c r="C70" s="23">
        <f>HLOOKUP(B$22,Prices!$C$8:$T$58,Prices!$B56,0)</f>
        <v>6</v>
      </c>
      <c r="E70" s="23">
        <f>HLOOKUP(D$22,Prices!$C$8:$T$58,Prices!$B56,0)</f>
        <v>13.82</v>
      </c>
      <c r="F70" s="17">
        <f t="shared" si="2"/>
        <v>7.82</v>
      </c>
      <c r="H70" s="17">
        <f>IF(ISERROR(HLOOKUP(G$22,Tolls!$D$7:$R$58,Tolls!$B56,0)),"Not Available",HLOOKUP(G$22,Tolls!$D$7:$R$58,Tolls!$B56,0))</f>
        <v>0.60865000000000002</v>
      </c>
      <c r="J70" s="17">
        <f t="shared" si="3"/>
        <v>7.2113500000000004</v>
      </c>
    </row>
    <row r="71" spans="1:10" x14ac:dyDescent="0.2">
      <c r="A71" s="1">
        <f>Prices!A57</f>
        <v>36892</v>
      </c>
      <c r="C71" s="23">
        <f>HLOOKUP(B$22,Prices!$C$8:$T$58,Prices!$B57,0)</f>
        <v>8.7200000000000006</v>
      </c>
      <c r="E71" s="23">
        <f>HLOOKUP(D$22,Prices!$C$8:$T$58,Prices!$B57,0)</f>
        <v>15.92</v>
      </c>
      <c r="F71" s="17">
        <f t="shared" si="2"/>
        <v>7.1999999999999993</v>
      </c>
      <c r="H71" s="17">
        <f>IF(ISERROR(HLOOKUP(G$22,Tolls!$D$7:$R$58,Tolls!$B57,0)),"Not Available",HLOOKUP(G$22,Tolls!$D$7:$R$58,Tolls!$B57,0))</f>
        <v>0.72730000000000006</v>
      </c>
      <c r="J71" s="17">
        <f t="shared" si="3"/>
        <v>6.4726999999999997</v>
      </c>
    </row>
    <row r="72" spans="1:10" x14ac:dyDescent="0.2">
      <c r="A72" s="1">
        <f>Prices!A58</f>
        <v>36923</v>
      </c>
      <c r="C72" s="23">
        <f>HLOOKUP(B$22,Prices!$C$8:$T$58,Prices!$B58,0)</f>
        <v>6.1</v>
      </c>
      <c r="E72" s="23">
        <f>HLOOKUP(D$22,Prices!$C$8:$T$58,Prices!$B58,0)</f>
        <v>12.57</v>
      </c>
      <c r="F72" s="17">
        <f t="shared" si="2"/>
        <v>6.4700000000000006</v>
      </c>
      <c r="H72" s="17">
        <f>IF(ISERROR(HLOOKUP(G$22,Tolls!$D$7:$R$58,Tolls!$B58,0)),"Not Available",HLOOKUP(G$22,Tolls!$D$7:$R$58,Tolls!$B58,0))</f>
        <v>0.62055000000000005</v>
      </c>
      <c r="J72" s="17">
        <f t="shared" si="3"/>
        <v>5.8494500000000009</v>
      </c>
    </row>
    <row r="73" spans="1:10" x14ac:dyDescent="0.2">
      <c r="A73" s="1"/>
    </row>
    <row r="74" spans="1:10" x14ac:dyDescent="0.2">
      <c r="A74" s="1"/>
    </row>
    <row r="75" spans="1:10" x14ac:dyDescent="0.2">
      <c r="A75" s="1"/>
    </row>
    <row r="76" spans="1:10" x14ac:dyDescent="0.2">
      <c r="A76" s="1"/>
    </row>
    <row r="77" spans="1:10" x14ac:dyDescent="0.2">
      <c r="A77" s="1"/>
    </row>
    <row r="78" spans="1:10" x14ac:dyDescent="0.2">
      <c r="A78" s="1"/>
    </row>
    <row r="79" spans="1:10" x14ac:dyDescent="0.2">
      <c r="A79" s="1"/>
    </row>
    <row r="80" spans="1:10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</sheetData>
  <phoneticPr fontId="0" type="noConversion"/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3" name="Drop Down 1">
              <controlPr defaultSize="0" autoLine="0" autoPict="0">
                <anchor moveWithCells="1">
                  <from>
                    <xdr:col>2</xdr:col>
                    <xdr:colOff>95250</xdr:colOff>
                    <xdr:row>20</xdr:row>
                    <xdr:rowOff>28575</xdr:rowOff>
                  </from>
                  <to>
                    <xdr:col>2</xdr:col>
                    <xdr:colOff>2209800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6" r:id="rId4" name="Drop Down 2">
              <controlPr defaultSize="0" autoLine="0" autoPict="0">
                <anchor moveWithCells="1">
                  <from>
                    <xdr:col>4</xdr:col>
                    <xdr:colOff>66675</xdr:colOff>
                    <xdr:row>20</xdr:row>
                    <xdr:rowOff>19050</xdr:rowOff>
                  </from>
                  <to>
                    <xdr:col>4</xdr:col>
                    <xdr:colOff>2219325</xdr:colOff>
                    <xdr:row>20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7"/>
  <sheetViews>
    <sheetView showGridLines="0" workbookViewId="0">
      <selection activeCell="E31" sqref="E31"/>
    </sheetView>
  </sheetViews>
  <sheetFormatPr defaultRowHeight="12.75" x14ac:dyDescent="0.2"/>
  <cols>
    <col min="2" max="2" width="6.83203125" hidden="1" customWidth="1"/>
    <col min="3" max="3" width="39.33203125" customWidth="1"/>
    <col min="4" max="4" width="6.83203125" hidden="1" customWidth="1"/>
    <col min="5" max="5" width="39.6640625" customWidth="1"/>
    <col min="6" max="6" width="23" customWidth="1"/>
    <col min="7" max="7" width="6.83203125" hidden="1" customWidth="1"/>
    <col min="8" max="8" width="13.5" customWidth="1"/>
    <col min="10" max="10" width="15" customWidth="1"/>
  </cols>
  <sheetData>
    <row r="1" spans="1:1" s="22" customFormat="1" ht="18" x14ac:dyDescent="0.25">
      <c r="A1" s="22" t="s">
        <v>25</v>
      </c>
    </row>
    <row r="20" spans="1:10" x14ac:dyDescent="0.2">
      <c r="C20" s="4" t="s">
        <v>11</v>
      </c>
      <c r="D20" s="4"/>
      <c r="E20" s="4" t="s">
        <v>12</v>
      </c>
      <c r="G20" s="4"/>
    </row>
    <row r="21" spans="1:10" ht="18.75" customHeight="1" x14ac:dyDescent="0.2">
      <c r="F21" s="3" t="str">
        <f>HLOOKUP(B22,Prices!$C$5:$N$6,2,0)&amp;"/"&amp;HLOOKUP(D22,Prices!$C$5:$N$6,2,0)&amp;" Spread"</f>
        <v>AECO/Malin Spread</v>
      </c>
      <c r="H21" s="4" t="str">
        <f>HLOOKUP(G22,Tolls!$D$7:$P$8,2,0)&amp;" Toll"</f>
        <v>PGT Toll</v>
      </c>
      <c r="J21" s="4" t="s">
        <v>24</v>
      </c>
    </row>
    <row r="22" spans="1:10" x14ac:dyDescent="0.2">
      <c r="B22" s="13">
        <v>10</v>
      </c>
      <c r="D22" s="13">
        <v>11</v>
      </c>
      <c r="G22" s="13">
        <f>B22*1000+D22</f>
        <v>10011</v>
      </c>
    </row>
    <row r="23" spans="1:10" x14ac:dyDescent="0.2">
      <c r="A23" s="1">
        <f>Prices!A9</f>
        <v>35431</v>
      </c>
      <c r="C23" s="23">
        <f>HLOOKUP(B$22,Prices!$C$8:$T$58,Prices!$B9,0)</f>
        <v>2.8358064516129025</v>
      </c>
      <c r="E23" s="23">
        <f>HLOOKUP(D$22,Prices!$C$8:$T$58,Prices!$B9,0)</f>
        <v>4.08</v>
      </c>
      <c r="F23" s="17">
        <f t="shared" ref="F23:F54" si="0">E23-C23</f>
        <v>1.2441935483870976</v>
      </c>
      <c r="H23" s="17">
        <f>IF(ISERROR(HLOOKUP(G$22,Tolls!$D$7:$R$58,Tolls!$B9,0)),"Not Available",HLOOKUP(G$22,Tolls!$D$7:$R$58,Tolls!$B9,0))</f>
        <v>0.68</v>
      </c>
      <c r="J23" s="17">
        <f t="shared" ref="J23:J54" si="1">F23-H23</f>
        <v>0.56419354838709757</v>
      </c>
    </row>
    <row r="24" spans="1:10" x14ac:dyDescent="0.2">
      <c r="A24" s="1">
        <f>Prices!A10</f>
        <v>35462</v>
      </c>
      <c r="C24" s="23">
        <f>HLOOKUP(B$22,Prices!$C$8:$T$58,Prices!$B10,0)</f>
        <v>1.8896428571428567</v>
      </c>
      <c r="E24" s="23">
        <f>HLOOKUP(D$22,Prices!$C$8:$T$58,Prices!$B10,0)</f>
        <v>2.5</v>
      </c>
      <c r="F24" s="17">
        <f t="shared" si="0"/>
        <v>0.61035714285714326</v>
      </c>
      <c r="H24" s="17">
        <f>IF(ISERROR(HLOOKUP(G$22,Tolls!$D$7:$R$58,Tolls!$B10,0)),"Not Available",HLOOKUP(G$22,Tolls!$D$7:$R$58,Tolls!$B10,0))</f>
        <v>0.68</v>
      </c>
      <c r="J24" s="17">
        <f t="shared" si="1"/>
        <v>-6.9642857142856784E-2</v>
      </c>
    </row>
    <row r="25" spans="1:10" x14ac:dyDescent="0.2">
      <c r="A25" s="1">
        <f>Prices!A11</f>
        <v>35490</v>
      </c>
      <c r="C25" s="23">
        <f>HLOOKUP(B$22,Prices!$C$8:$T$58,Prices!$B11,0)</f>
        <v>1.4790322580645161</v>
      </c>
      <c r="E25" s="23">
        <f>HLOOKUP(D$22,Prices!$C$8:$T$58,Prices!$B11,0)</f>
        <v>1.33</v>
      </c>
      <c r="F25" s="17">
        <f t="shared" si="0"/>
        <v>-0.14903225806451603</v>
      </c>
      <c r="H25" s="17">
        <f>IF(ISERROR(HLOOKUP(G$22,Tolls!$D$7:$R$58,Tolls!$B11,0)),"Not Available",HLOOKUP(G$22,Tolls!$D$7:$R$58,Tolls!$B11,0))</f>
        <v>0.68</v>
      </c>
      <c r="J25" s="17">
        <f t="shared" si="1"/>
        <v>-0.82903225806451608</v>
      </c>
    </row>
    <row r="26" spans="1:10" x14ac:dyDescent="0.2">
      <c r="A26" s="1">
        <f>Prices!A12</f>
        <v>35521</v>
      </c>
      <c r="C26" s="23">
        <f>HLOOKUP(B$22,Prices!$C$8:$T$58,Prices!$B12,0)</f>
        <v>1.7768333333333335</v>
      </c>
      <c r="E26" s="23">
        <f>HLOOKUP(D$22,Prices!$C$8:$T$58,Prices!$B12,0)</f>
        <v>1.47</v>
      </c>
      <c r="F26" s="17">
        <f t="shared" si="0"/>
        <v>-0.30683333333333351</v>
      </c>
      <c r="H26" s="17">
        <f>IF(ISERROR(HLOOKUP(G$22,Tolls!$D$7:$R$58,Tolls!$B12,0)),"Not Available",HLOOKUP(G$22,Tolls!$D$7:$R$58,Tolls!$B12,0))</f>
        <v>0.68</v>
      </c>
      <c r="J26" s="17">
        <f t="shared" si="1"/>
        <v>-0.98683333333333356</v>
      </c>
    </row>
    <row r="27" spans="1:10" x14ac:dyDescent="0.2">
      <c r="A27" s="1">
        <f>Prices!A13</f>
        <v>35551</v>
      </c>
      <c r="C27" s="23">
        <f>HLOOKUP(B$22,Prices!$C$8:$T$58,Prices!$B13,0)</f>
        <v>1.7177419354838706</v>
      </c>
      <c r="E27" s="23">
        <f>HLOOKUP(D$22,Prices!$C$8:$T$58,Prices!$B13,0)</f>
        <v>1.76</v>
      </c>
      <c r="F27" s="17">
        <f t="shared" si="0"/>
        <v>4.2258064516129457E-2</v>
      </c>
      <c r="H27" s="17">
        <f>IF(ISERROR(HLOOKUP(G$22,Tolls!$D$7:$R$58,Tolls!$B13,0)),"Not Available",HLOOKUP(G$22,Tolls!$D$7:$R$58,Tolls!$B13,0))</f>
        <v>0.68</v>
      </c>
      <c r="J27" s="17">
        <f t="shared" si="1"/>
        <v>-0.63774193548387059</v>
      </c>
    </row>
    <row r="28" spans="1:10" x14ac:dyDescent="0.2">
      <c r="A28" s="1">
        <f>Prices!A14</f>
        <v>35582</v>
      </c>
      <c r="C28" s="23">
        <f>HLOOKUP(B$22,Prices!$C$8:$T$58,Prices!$B14,0)</f>
        <v>1.5523333333333331</v>
      </c>
      <c r="E28" s="23">
        <f>HLOOKUP(D$22,Prices!$C$8:$T$58,Prices!$B14,0)</f>
        <v>1.72</v>
      </c>
      <c r="F28" s="17">
        <f t="shared" si="0"/>
        <v>0.16766666666666685</v>
      </c>
      <c r="H28" s="17">
        <f>IF(ISERROR(HLOOKUP(G$22,Tolls!$D$7:$R$58,Tolls!$B14,0)),"Not Available",HLOOKUP(G$22,Tolls!$D$7:$R$58,Tolls!$B14,0))</f>
        <v>0.68</v>
      </c>
      <c r="J28" s="17">
        <f t="shared" si="1"/>
        <v>-0.5123333333333332</v>
      </c>
    </row>
    <row r="29" spans="1:10" x14ac:dyDescent="0.2">
      <c r="A29" s="1">
        <f>Prices!A15</f>
        <v>35612</v>
      </c>
      <c r="C29" s="23">
        <f>HLOOKUP(B$22,Prices!$C$8:$T$58,Prices!$B15,0)</f>
        <v>1.5072580645161289</v>
      </c>
      <c r="E29" s="23">
        <f>HLOOKUP(D$22,Prices!$C$8:$T$58,Prices!$B15,0)</f>
        <v>1.56</v>
      </c>
      <c r="F29" s="17">
        <f t="shared" si="0"/>
        <v>5.2741935483871183E-2</v>
      </c>
      <c r="H29" s="17">
        <f>IF(ISERROR(HLOOKUP(G$22,Tolls!$D$7:$R$58,Tolls!$B15,0)),"Not Available",HLOOKUP(G$22,Tolls!$D$7:$R$58,Tolls!$B15,0))</f>
        <v>0.68</v>
      </c>
      <c r="J29" s="17">
        <f t="shared" si="1"/>
        <v>-0.62725806451612887</v>
      </c>
    </row>
    <row r="30" spans="1:10" x14ac:dyDescent="0.2">
      <c r="A30" s="1">
        <f>Prices!A16</f>
        <v>35643</v>
      </c>
      <c r="C30" s="23">
        <f>HLOOKUP(B$22,Prices!$C$8:$T$58,Prices!$B16,0)</f>
        <v>1.4969354838709679</v>
      </c>
      <c r="E30" s="23">
        <f>HLOOKUP(D$22,Prices!$C$8:$T$58,Prices!$B16,0)</f>
        <v>1.51</v>
      </c>
      <c r="F30" s="17">
        <f t="shared" si="0"/>
        <v>1.3064516129032144E-2</v>
      </c>
      <c r="H30" s="17">
        <f>IF(ISERROR(HLOOKUP(G$22,Tolls!$D$7:$R$58,Tolls!$B16,0)),"Not Available",HLOOKUP(G$22,Tolls!$D$7:$R$58,Tolls!$B16,0))</f>
        <v>0.68</v>
      </c>
      <c r="J30" s="17">
        <f t="shared" si="1"/>
        <v>-0.6669354838709679</v>
      </c>
    </row>
    <row r="31" spans="1:10" x14ac:dyDescent="0.2">
      <c r="A31" s="1">
        <f>Prices!A17</f>
        <v>35674</v>
      </c>
      <c r="C31" s="23">
        <f>HLOOKUP(B$22,Prices!$C$8:$T$58,Prices!$B17,0)</f>
        <v>1.4648333333333332</v>
      </c>
      <c r="E31" s="23">
        <f>HLOOKUP(D$22,Prices!$C$8:$T$58,Prices!$B17,0)</f>
        <v>1.73</v>
      </c>
      <c r="F31" s="17">
        <f t="shared" si="0"/>
        <v>0.26516666666666677</v>
      </c>
      <c r="H31" s="17">
        <f>IF(ISERROR(HLOOKUP(G$22,Tolls!$D$7:$R$58,Tolls!$B17,0)),"Not Available",HLOOKUP(G$22,Tolls!$D$7:$R$58,Tolls!$B17,0))</f>
        <v>0.68</v>
      </c>
      <c r="J31" s="17">
        <f t="shared" si="1"/>
        <v>-0.41483333333333328</v>
      </c>
    </row>
    <row r="32" spans="1:10" x14ac:dyDescent="0.2">
      <c r="A32" s="1">
        <f>Prices!A18</f>
        <v>35704</v>
      </c>
      <c r="C32" s="23">
        <f>HLOOKUP(B$22,Prices!$C$8:$T$58,Prices!$B18,0)</f>
        <v>1.7343548387096772</v>
      </c>
      <c r="E32" s="23">
        <f>HLOOKUP(D$22,Prices!$C$8:$T$58,Prices!$B18,0)</f>
        <v>2.29</v>
      </c>
      <c r="F32" s="17">
        <f t="shared" si="0"/>
        <v>0.55564516129032282</v>
      </c>
      <c r="H32" s="17">
        <f>IF(ISERROR(HLOOKUP(G$22,Tolls!$D$7:$R$58,Tolls!$B18,0)),"Not Available",HLOOKUP(G$22,Tolls!$D$7:$R$58,Tolls!$B18,0))</f>
        <v>0.68</v>
      </c>
      <c r="J32" s="17">
        <f t="shared" si="1"/>
        <v>-0.12435483870967723</v>
      </c>
    </row>
    <row r="33" spans="1:10" x14ac:dyDescent="0.2">
      <c r="A33" s="1">
        <f>Prices!A19</f>
        <v>35735</v>
      </c>
      <c r="C33" s="23">
        <f>HLOOKUP(B$22,Prices!$C$8:$T$58,Prices!$B19,0)</f>
        <v>1.6788333333333327</v>
      </c>
      <c r="E33" s="23">
        <f>HLOOKUP(D$22,Prices!$C$8:$T$58,Prices!$B19,0)</f>
        <v>3.01</v>
      </c>
      <c r="F33" s="17">
        <f t="shared" si="0"/>
        <v>1.3311666666666671</v>
      </c>
      <c r="H33" s="17">
        <f>IF(ISERROR(HLOOKUP(G$22,Tolls!$D$7:$R$58,Tolls!$B19,0)),"Not Available",HLOOKUP(G$22,Tolls!$D$7:$R$58,Tolls!$B19,0))</f>
        <v>0.68</v>
      </c>
      <c r="J33" s="17">
        <f t="shared" si="1"/>
        <v>0.651166666666667</v>
      </c>
    </row>
    <row r="34" spans="1:10" x14ac:dyDescent="0.2">
      <c r="A34" s="1">
        <f>Prices!A20</f>
        <v>35765</v>
      </c>
      <c r="C34" s="23">
        <f>HLOOKUP(B$22,Prices!$C$8:$T$58,Prices!$B20,0)</f>
        <v>1.3391935483870963</v>
      </c>
      <c r="E34" s="23">
        <f>HLOOKUP(D$22,Prices!$C$8:$T$58,Prices!$B20,0)</f>
        <v>1.91</v>
      </c>
      <c r="F34" s="17">
        <f t="shared" si="0"/>
        <v>0.57080645161290366</v>
      </c>
      <c r="H34" s="17">
        <f>IF(ISERROR(HLOOKUP(G$22,Tolls!$D$7:$R$58,Tolls!$B20,0)),"Not Available",HLOOKUP(G$22,Tolls!$D$7:$R$58,Tolls!$B20,0))</f>
        <v>0.68</v>
      </c>
      <c r="J34" s="17">
        <f t="shared" si="1"/>
        <v>-0.10919354838709638</v>
      </c>
    </row>
    <row r="35" spans="1:10" x14ac:dyDescent="0.2">
      <c r="A35" s="1">
        <f>Prices!A21</f>
        <v>35796</v>
      </c>
      <c r="C35" s="23">
        <f>HLOOKUP(B$22,Prices!$C$8:$T$58,Prices!$B21,0)</f>
        <v>1.4580645161290322</v>
      </c>
      <c r="E35" s="23">
        <f>HLOOKUP(D$22,Prices!$C$8:$T$58,Prices!$B21,0)</f>
        <v>2.06</v>
      </c>
      <c r="F35" s="17">
        <f t="shared" si="0"/>
        <v>0.60193548387096785</v>
      </c>
      <c r="H35" s="17">
        <f>IF(ISERROR(HLOOKUP(G$22,Tolls!$D$7:$R$58,Tolls!$B21,0)),"Not Available",HLOOKUP(G$22,Tolls!$D$7:$R$58,Tolls!$B21,0))</f>
        <v>0.68</v>
      </c>
      <c r="J35" s="17">
        <f t="shared" si="1"/>
        <v>-7.8064516129032202E-2</v>
      </c>
    </row>
    <row r="36" spans="1:10" x14ac:dyDescent="0.2">
      <c r="A36" s="1">
        <f>Prices!A22</f>
        <v>35827</v>
      </c>
      <c r="C36" s="23">
        <f>HLOOKUP(B$22,Prices!$C$8:$T$58,Prices!$B22,0)</f>
        <v>1.6378571428571429</v>
      </c>
      <c r="E36" s="23">
        <f>HLOOKUP(D$22,Prices!$C$8:$T$58,Prices!$B22,0)</f>
        <v>1.77</v>
      </c>
      <c r="F36" s="17">
        <f t="shared" si="0"/>
        <v>0.13214285714285712</v>
      </c>
      <c r="H36" s="17">
        <f>IF(ISERROR(HLOOKUP(G$22,Tolls!$D$7:$R$58,Tolls!$B22,0)),"Not Available",HLOOKUP(G$22,Tolls!$D$7:$R$58,Tolls!$B22,0))</f>
        <v>0.68</v>
      </c>
      <c r="J36" s="17">
        <f t="shared" si="1"/>
        <v>-0.54785714285714293</v>
      </c>
    </row>
    <row r="37" spans="1:10" x14ac:dyDescent="0.2">
      <c r="A37" s="1">
        <f>Prices!A23</f>
        <v>35855</v>
      </c>
      <c r="C37" s="23">
        <f>HLOOKUP(B$22,Prices!$C$8:$T$58,Prices!$B23,0)</f>
        <v>1.7538709677419351</v>
      </c>
      <c r="E37" s="23">
        <f>HLOOKUP(D$22,Prices!$C$8:$T$58,Prices!$B23,0)</f>
        <v>1.91</v>
      </c>
      <c r="F37" s="17">
        <f t="shared" si="0"/>
        <v>0.15612903225806485</v>
      </c>
      <c r="H37" s="17">
        <f>IF(ISERROR(HLOOKUP(G$22,Tolls!$D$7:$R$58,Tolls!$B23,0)),"Not Available",HLOOKUP(G$22,Tolls!$D$7:$R$58,Tolls!$B23,0))</f>
        <v>0.68</v>
      </c>
      <c r="J37" s="17">
        <f t="shared" si="1"/>
        <v>-0.5238709677419352</v>
      </c>
    </row>
    <row r="38" spans="1:10" x14ac:dyDescent="0.2">
      <c r="A38" s="1">
        <f>Prices!A24</f>
        <v>35886</v>
      </c>
      <c r="C38" s="23">
        <f>HLOOKUP(B$22,Prices!$C$8:$T$58,Prices!$B24,0)</f>
        <v>2.2163333333333335</v>
      </c>
      <c r="E38" s="23">
        <f>HLOOKUP(D$22,Prices!$C$8:$T$58,Prices!$B24,0)</f>
        <v>1.97</v>
      </c>
      <c r="F38" s="17">
        <f t="shared" si="0"/>
        <v>-0.24633333333333352</v>
      </c>
      <c r="H38" s="17">
        <f>IF(ISERROR(HLOOKUP(G$22,Tolls!$D$7:$R$58,Tolls!$B24,0)),"Not Available",HLOOKUP(G$22,Tolls!$D$7:$R$58,Tolls!$B24,0))</f>
        <v>0.68</v>
      </c>
      <c r="J38" s="17">
        <f t="shared" si="1"/>
        <v>-0.92633333333333356</v>
      </c>
    </row>
    <row r="39" spans="1:10" x14ac:dyDescent="0.2">
      <c r="A39" s="1">
        <f>Prices!A25</f>
        <v>35916</v>
      </c>
      <c r="C39" s="23">
        <f>HLOOKUP(B$22,Prices!$C$8:$T$58,Prices!$B25,0)</f>
        <v>1.7604838709677417</v>
      </c>
      <c r="E39" s="23">
        <f>HLOOKUP(D$22,Prices!$C$8:$T$58,Prices!$B25,0)</f>
        <v>2.1800000000000002</v>
      </c>
      <c r="F39" s="17">
        <f t="shared" si="0"/>
        <v>0.41951612903225843</v>
      </c>
      <c r="H39" s="17">
        <f>IF(ISERROR(HLOOKUP(G$22,Tolls!$D$7:$R$58,Tolls!$B25,0)),"Not Available",HLOOKUP(G$22,Tolls!$D$7:$R$58,Tolls!$B25,0))</f>
        <v>0.68</v>
      </c>
      <c r="J39" s="17">
        <f t="shared" si="1"/>
        <v>-0.26048387096774162</v>
      </c>
    </row>
    <row r="40" spans="1:10" x14ac:dyDescent="0.2">
      <c r="A40" s="1">
        <f>Prices!A26</f>
        <v>35947</v>
      </c>
      <c r="C40" s="23">
        <f>HLOOKUP(B$22,Prices!$C$8:$T$58,Prices!$B26,0)</f>
        <v>1.8073333333333339</v>
      </c>
      <c r="E40" s="23">
        <f>HLOOKUP(D$22,Prices!$C$8:$T$58,Prices!$B26,0)</f>
        <v>1.68</v>
      </c>
      <c r="F40" s="17">
        <f t="shared" si="0"/>
        <v>-0.12733333333333396</v>
      </c>
      <c r="H40" s="17">
        <f>IF(ISERROR(HLOOKUP(G$22,Tolls!$D$7:$R$58,Tolls!$B26,0)),"Not Available",HLOOKUP(G$22,Tolls!$D$7:$R$58,Tolls!$B26,0))</f>
        <v>0.68</v>
      </c>
      <c r="J40" s="17">
        <f t="shared" si="1"/>
        <v>-0.80733333333333401</v>
      </c>
    </row>
    <row r="41" spans="1:10" x14ac:dyDescent="0.2">
      <c r="A41" s="1">
        <f>Prices!A27</f>
        <v>35977</v>
      </c>
      <c r="C41" s="23">
        <f>HLOOKUP(B$22,Prices!$C$8:$T$58,Prices!$B27,0)</f>
        <v>1.9741935483870965</v>
      </c>
      <c r="E41" s="23">
        <f>HLOOKUP(D$22,Prices!$C$8:$T$58,Prices!$B27,0)</f>
        <v>1.81</v>
      </c>
      <c r="F41" s="17">
        <f t="shared" si="0"/>
        <v>-0.16419354838709643</v>
      </c>
      <c r="H41" s="17">
        <f>IF(ISERROR(HLOOKUP(G$22,Tolls!$D$7:$R$58,Tolls!$B27,0)),"Not Available",HLOOKUP(G$22,Tolls!$D$7:$R$58,Tolls!$B27,0))</f>
        <v>0.68</v>
      </c>
      <c r="J41" s="17">
        <f t="shared" si="1"/>
        <v>-0.84419354838709648</v>
      </c>
    </row>
    <row r="42" spans="1:10" x14ac:dyDescent="0.2">
      <c r="A42" s="1">
        <f>Prices!A28</f>
        <v>36008</v>
      </c>
      <c r="C42" s="23">
        <f>HLOOKUP(B$22,Prices!$C$8:$T$58,Prices!$B28,0)</f>
        <v>1.7622580645161283</v>
      </c>
      <c r="E42" s="23">
        <f>HLOOKUP(D$22,Prices!$C$8:$T$58,Prices!$B28,0)</f>
        <v>2.04</v>
      </c>
      <c r="F42" s="17">
        <f t="shared" si="0"/>
        <v>0.27774193548387172</v>
      </c>
      <c r="H42" s="17">
        <f>IF(ISERROR(HLOOKUP(G$22,Tolls!$D$7:$R$58,Tolls!$B28,0)),"Not Available",HLOOKUP(G$22,Tolls!$D$7:$R$58,Tolls!$B28,0))</f>
        <v>0.68</v>
      </c>
      <c r="J42" s="17">
        <f t="shared" si="1"/>
        <v>-0.40225806451612833</v>
      </c>
    </row>
    <row r="43" spans="1:10" x14ac:dyDescent="0.2">
      <c r="A43" s="1">
        <f>Prices!A29</f>
        <v>36039</v>
      </c>
      <c r="C43" s="23">
        <f>HLOOKUP(B$22,Prices!$C$8:$T$58,Prices!$B29,0)</f>
        <v>2.0070000000000001</v>
      </c>
      <c r="E43" s="23">
        <f>HLOOKUP(D$22,Prices!$C$8:$T$58,Prices!$B29,0)</f>
        <v>1.78</v>
      </c>
      <c r="F43" s="17">
        <f t="shared" si="0"/>
        <v>-0.22700000000000009</v>
      </c>
      <c r="H43" s="17">
        <f>IF(ISERROR(HLOOKUP(G$22,Tolls!$D$7:$R$58,Tolls!$B29,0)),"Not Available",HLOOKUP(G$22,Tolls!$D$7:$R$58,Tolls!$B29,0))</f>
        <v>0.68</v>
      </c>
      <c r="J43" s="17">
        <f t="shared" si="1"/>
        <v>-0.90700000000000014</v>
      </c>
    </row>
    <row r="44" spans="1:10" x14ac:dyDescent="0.2">
      <c r="A44" s="1">
        <f>Prices!A30</f>
        <v>36069</v>
      </c>
      <c r="C44" s="23">
        <f>HLOOKUP(B$22,Prices!$C$8:$T$58,Prices!$B30,0)</f>
        <v>2.3535483870967742</v>
      </c>
      <c r="E44" s="23">
        <f>HLOOKUP(D$22,Prices!$C$8:$T$58,Prices!$B30,0)</f>
        <v>1.8</v>
      </c>
      <c r="F44" s="17">
        <f t="shared" si="0"/>
        <v>-0.55354838709677412</v>
      </c>
      <c r="H44" s="17">
        <f>IF(ISERROR(HLOOKUP(G$22,Tolls!$D$7:$R$58,Tolls!$B30,0)),"Not Available",HLOOKUP(G$22,Tolls!$D$7:$R$58,Tolls!$B30,0))</f>
        <v>0.68</v>
      </c>
      <c r="J44" s="17">
        <f t="shared" si="1"/>
        <v>-1.2335483870967741</v>
      </c>
    </row>
    <row r="45" spans="1:10" x14ac:dyDescent="0.2">
      <c r="A45" s="1">
        <f>Prices!A31</f>
        <v>36100</v>
      </c>
      <c r="C45" s="23">
        <f>HLOOKUP(B$22,Prices!$C$8:$T$58,Prices!$B31,0)</f>
        <v>2.5248333333333335</v>
      </c>
      <c r="E45" s="23">
        <f>HLOOKUP(D$22,Prices!$C$8:$T$58,Prices!$B31,0)</f>
        <v>2.2400000000000002</v>
      </c>
      <c r="F45" s="17">
        <f t="shared" si="0"/>
        <v>-0.28483333333333327</v>
      </c>
      <c r="H45" s="17">
        <f>IF(ISERROR(HLOOKUP(G$22,Tolls!$D$7:$R$58,Tolls!$B31,0)),"Not Available",HLOOKUP(G$22,Tolls!$D$7:$R$58,Tolls!$B31,0))</f>
        <v>0.68</v>
      </c>
      <c r="J45" s="17">
        <f t="shared" si="1"/>
        <v>-0.96483333333333332</v>
      </c>
    </row>
    <row r="46" spans="1:10" x14ac:dyDescent="0.2">
      <c r="A46" s="1">
        <f>Prices!A32</f>
        <v>36130</v>
      </c>
      <c r="C46" s="23">
        <f>HLOOKUP(B$22,Prices!$C$8:$T$58,Prices!$B32,0)</f>
        <v>2.222258064516129</v>
      </c>
      <c r="E46" s="23">
        <f>HLOOKUP(D$22,Prices!$C$8:$T$58,Prices!$B32,0)</f>
        <v>2.16</v>
      </c>
      <c r="F46" s="17">
        <f t="shared" si="0"/>
        <v>-6.2258064516128808E-2</v>
      </c>
      <c r="H46" s="17">
        <f>IF(ISERROR(HLOOKUP(G$22,Tolls!$D$7:$R$58,Tolls!$B32,0)),"Not Available",HLOOKUP(G$22,Tolls!$D$7:$R$58,Tolls!$B32,0))</f>
        <v>0.68</v>
      </c>
      <c r="J46" s="17">
        <f t="shared" si="1"/>
        <v>-0.74225806451612886</v>
      </c>
    </row>
    <row r="47" spans="1:10" x14ac:dyDescent="0.2">
      <c r="A47" s="1">
        <f>Prices!A33</f>
        <v>36161</v>
      </c>
      <c r="C47" s="23">
        <f>HLOOKUP(B$22,Prices!$C$8:$T$58,Prices!$B33,0)</f>
        <v>2.3129032258064517</v>
      </c>
      <c r="E47" s="23">
        <f>HLOOKUP(D$22,Prices!$C$8:$T$58,Prices!$B33,0)</f>
        <v>2.11</v>
      </c>
      <c r="F47" s="17">
        <f t="shared" si="0"/>
        <v>-0.20290322580645181</v>
      </c>
      <c r="H47" s="17">
        <f>IF(ISERROR(HLOOKUP(G$22,Tolls!$D$7:$R$58,Tolls!$B33,0)),"Not Available",HLOOKUP(G$22,Tolls!$D$7:$R$58,Tolls!$B33,0))</f>
        <v>0.68</v>
      </c>
      <c r="J47" s="17">
        <f t="shared" si="1"/>
        <v>-0.88290322580645186</v>
      </c>
    </row>
    <row r="48" spans="1:10" x14ac:dyDescent="0.2">
      <c r="A48" s="1">
        <f>Prices!A34</f>
        <v>36192</v>
      </c>
      <c r="C48" s="23">
        <f>HLOOKUP(B$22,Prices!$C$8:$T$58,Prices!$B34,0)</f>
        <v>2.2437499999999999</v>
      </c>
      <c r="E48" s="23">
        <f>HLOOKUP(D$22,Prices!$C$8:$T$58,Prices!$B34,0)</f>
        <v>1.75</v>
      </c>
      <c r="F48" s="17">
        <f t="shared" si="0"/>
        <v>-0.49374999999999991</v>
      </c>
      <c r="H48" s="17">
        <f>IF(ISERROR(HLOOKUP(G$22,Tolls!$D$7:$R$58,Tolls!$B34,0)),"Not Available",HLOOKUP(G$22,Tolls!$D$7:$R$58,Tolls!$B34,0))</f>
        <v>0.68</v>
      </c>
      <c r="J48" s="17">
        <f t="shared" si="1"/>
        <v>-1.1737500000000001</v>
      </c>
    </row>
    <row r="49" spans="1:10" x14ac:dyDescent="0.2">
      <c r="A49" s="1">
        <f>Prices!A35</f>
        <v>36220</v>
      </c>
      <c r="C49" s="23">
        <f>HLOOKUP(B$22,Prices!$C$8:$T$58,Prices!$B35,0)</f>
        <v>2.2025806451612904</v>
      </c>
      <c r="E49" s="23">
        <f>HLOOKUP(D$22,Prices!$C$8:$T$58,Prices!$B35,0)</f>
        <v>1.62</v>
      </c>
      <c r="F49" s="17">
        <f t="shared" si="0"/>
        <v>-0.58258064516129027</v>
      </c>
      <c r="H49" s="17">
        <f>IF(ISERROR(HLOOKUP(G$22,Tolls!$D$7:$R$58,Tolls!$B35,0)),"Not Available",HLOOKUP(G$22,Tolls!$D$7:$R$58,Tolls!$B35,0))</f>
        <v>0.68</v>
      </c>
      <c r="J49" s="17">
        <f t="shared" si="1"/>
        <v>-1.2625806451612904</v>
      </c>
    </row>
    <row r="50" spans="1:10" x14ac:dyDescent="0.2">
      <c r="A50" s="1">
        <f>Prices!A36</f>
        <v>36251</v>
      </c>
      <c r="C50" s="23">
        <f>HLOOKUP(B$22,Prices!$C$8:$T$58,Prices!$B36,0)</f>
        <v>2.5260000000000002</v>
      </c>
      <c r="E50" s="23">
        <f>HLOOKUP(D$22,Prices!$C$8:$T$58,Prices!$B36,0)</f>
        <v>1.65</v>
      </c>
      <c r="F50" s="17">
        <f t="shared" si="0"/>
        <v>-0.87600000000000033</v>
      </c>
      <c r="H50" s="17">
        <f>IF(ISERROR(HLOOKUP(G$22,Tolls!$D$7:$R$58,Tolls!$B36,0)),"Not Available",HLOOKUP(G$22,Tolls!$D$7:$R$58,Tolls!$B36,0))</f>
        <v>0.68</v>
      </c>
      <c r="J50" s="17">
        <f t="shared" si="1"/>
        <v>-1.5560000000000005</v>
      </c>
    </row>
    <row r="51" spans="1:10" x14ac:dyDescent="0.2">
      <c r="A51" s="1">
        <f>Prices!A37</f>
        <v>36281</v>
      </c>
      <c r="C51" s="23">
        <f>HLOOKUP(B$22,Prices!$C$8:$T$58,Prices!$B37,0)</f>
        <v>2.6993548387096782</v>
      </c>
      <c r="E51" s="23">
        <f>HLOOKUP(D$22,Prices!$C$8:$T$58,Prices!$B37,0)</f>
        <v>2.12</v>
      </c>
      <c r="F51" s="17">
        <f t="shared" si="0"/>
        <v>-0.57935483870967808</v>
      </c>
      <c r="H51" s="17">
        <f>IF(ISERROR(HLOOKUP(G$22,Tolls!$D$7:$R$58,Tolls!$B37,0)),"Not Available",HLOOKUP(G$22,Tolls!$D$7:$R$58,Tolls!$B37,0))</f>
        <v>0.68</v>
      </c>
      <c r="J51" s="17">
        <f t="shared" si="1"/>
        <v>-1.2593548387096782</v>
      </c>
    </row>
    <row r="52" spans="1:10" x14ac:dyDescent="0.2">
      <c r="A52" s="1">
        <f>Prices!A38</f>
        <v>36312</v>
      </c>
      <c r="C52" s="23">
        <f>HLOOKUP(B$22,Prices!$C$8:$T$58,Prices!$B38,0)</f>
        <v>2.7919999999999998</v>
      </c>
      <c r="E52" s="23">
        <f>HLOOKUP(D$22,Prices!$C$8:$T$58,Prices!$B38,0)</f>
        <v>2.1</v>
      </c>
      <c r="F52" s="17">
        <f t="shared" si="0"/>
        <v>-0.69199999999999973</v>
      </c>
      <c r="H52" s="17">
        <f>IF(ISERROR(HLOOKUP(G$22,Tolls!$D$7:$R$58,Tolls!$B38,0)),"Not Available",HLOOKUP(G$22,Tolls!$D$7:$R$58,Tolls!$B38,0))</f>
        <v>0.68</v>
      </c>
      <c r="J52" s="17">
        <f t="shared" si="1"/>
        <v>-1.3719999999999999</v>
      </c>
    </row>
    <row r="53" spans="1:10" x14ac:dyDescent="0.2">
      <c r="A53" s="1">
        <f>Prices!A39</f>
        <v>36342</v>
      </c>
      <c r="C53" s="23">
        <f>HLOOKUP(B$22,Prices!$C$8:$T$58,Prices!$B39,0)</f>
        <v>2.7812903225806451</v>
      </c>
      <c r="E53" s="23">
        <f>HLOOKUP(D$22,Prices!$C$8:$T$58,Prices!$B39,0)</f>
        <v>2.21</v>
      </c>
      <c r="F53" s="17">
        <f t="shared" si="0"/>
        <v>-0.57129032258064516</v>
      </c>
      <c r="H53" s="17">
        <f>IF(ISERROR(HLOOKUP(G$22,Tolls!$D$7:$R$58,Tolls!$B39,0)),"Not Available",HLOOKUP(G$22,Tolls!$D$7:$R$58,Tolls!$B39,0))</f>
        <v>0.68</v>
      </c>
      <c r="J53" s="17">
        <f t="shared" si="1"/>
        <v>-1.2512903225806453</v>
      </c>
    </row>
    <row r="54" spans="1:10" x14ac:dyDescent="0.2">
      <c r="A54" s="1">
        <f>Prices!A40</f>
        <v>36373</v>
      </c>
      <c r="C54" s="23">
        <f>HLOOKUP(B$22,Prices!$C$8:$T$58,Prices!$B40,0)</f>
        <v>3.250322580645161</v>
      </c>
      <c r="E54" s="23">
        <f>HLOOKUP(D$22,Prices!$C$8:$T$58,Prices!$B40,0)</f>
        <v>2.2799999999999998</v>
      </c>
      <c r="F54" s="17">
        <f t="shared" si="0"/>
        <v>-0.97032258064516119</v>
      </c>
      <c r="H54" s="17">
        <f>IF(ISERROR(HLOOKUP(G$22,Tolls!$D$7:$R$58,Tolls!$B40,0)),"Not Available",HLOOKUP(G$22,Tolls!$D$7:$R$58,Tolls!$B40,0))</f>
        <v>0.68</v>
      </c>
      <c r="J54" s="17">
        <f t="shared" si="1"/>
        <v>-1.6503225806451614</v>
      </c>
    </row>
    <row r="55" spans="1:10" x14ac:dyDescent="0.2">
      <c r="A55" s="1">
        <f>Prices!A41</f>
        <v>36404</v>
      </c>
      <c r="C55" s="23">
        <f>HLOOKUP(B$22,Prices!$C$8:$T$58,Prices!$B41,0)</f>
        <v>3.1150000000000002</v>
      </c>
      <c r="E55" s="23">
        <f>HLOOKUP(D$22,Prices!$C$8:$T$58,Prices!$B41,0)</f>
        <v>2.64</v>
      </c>
      <c r="F55" s="17">
        <f t="shared" ref="F55:F72" si="2">E55-C55</f>
        <v>-0.47500000000000009</v>
      </c>
      <c r="H55" s="17">
        <f>IF(ISERROR(HLOOKUP(G$22,Tolls!$D$7:$R$58,Tolls!$B41,0)),"Not Available",HLOOKUP(G$22,Tolls!$D$7:$R$58,Tolls!$B41,0))</f>
        <v>0.68</v>
      </c>
      <c r="J55" s="17">
        <f t="shared" ref="J55:J72" si="3">F55-H55</f>
        <v>-1.1550000000000002</v>
      </c>
    </row>
    <row r="56" spans="1:10" x14ac:dyDescent="0.2">
      <c r="A56" s="1">
        <f>Prices!A42</f>
        <v>36434</v>
      </c>
      <c r="C56" s="23">
        <f>HLOOKUP(B$22,Prices!$C$8:$T$58,Prices!$B42,0)</f>
        <v>3.5780645161290319</v>
      </c>
      <c r="E56" s="23">
        <f>HLOOKUP(D$22,Prices!$C$8:$T$58,Prices!$B42,0)</f>
        <v>2.5499999999999998</v>
      </c>
      <c r="F56" s="17">
        <f t="shared" si="2"/>
        <v>-1.028064516129032</v>
      </c>
      <c r="H56" s="17">
        <f>IF(ISERROR(HLOOKUP(G$22,Tolls!$D$7:$R$58,Tolls!$B42,0)),"Not Available",HLOOKUP(G$22,Tolls!$D$7:$R$58,Tolls!$B42,0))</f>
        <v>0.68</v>
      </c>
      <c r="J56" s="17">
        <f t="shared" si="3"/>
        <v>-1.7080645161290322</v>
      </c>
    </row>
    <row r="57" spans="1:10" x14ac:dyDescent="0.2">
      <c r="A57" s="1">
        <f>Prices!A43</f>
        <v>36465</v>
      </c>
      <c r="C57" s="23">
        <f>HLOOKUP(B$22,Prices!$C$8:$T$58,Prices!$B43,0)</f>
        <v>2.8945000000000007</v>
      </c>
      <c r="E57" s="23">
        <f>HLOOKUP(D$22,Prices!$C$8:$T$58,Prices!$B43,0)</f>
        <v>3.01</v>
      </c>
      <c r="F57" s="17">
        <f t="shared" si="2"/>
        <v>0.11549999999999905</v>
      </c>
      <c r="H57" s="17">
        <f>IF(ISERROR(HLOOKUP(G$22,Tolls!$D$7:$R$58,Tolls!$B43,0)),"Not Available",HLOOKUP(G$22,Tolls!$D$7:$R$58,Tolls!$B43,0))</f>
        <v>0.68</v>
      </c>
      <c r="J57" s="17">
        <f t="shared" si="3"/>
        <v>-0.564500000000001</v>
      </c>
    </row>
    <row r="58" spans="1:10" x14ac:dyDescent="0.2">
      <c r="A58" s="1">
        <f>Prices!A44</f>
        <v>36495</v>
      </c>
      <c r="C58" s="23">
        <f>HLOOKUP(B$22,Prices!$C$8:$T$58,Prices!$B44,0)</f>
        <v>2.790322580645161</v>
      </c>
      <c r="E58" s="23">
        <f>HLOOKUP(D$22,Prices!$C$8:$T$58,Prices!$B44,0)</f>
        <v>2.31</v>
      </c>
      <c r="F58" s="17">
        <f t="shared" si="2"/>
        <v>-0.48032258064516098</v>
      </c>
      <c r="H58" s="17">
        <f>IF(ISERROR(HLOOKUP(G$22,Tolls!$D$7:$R$58,Tolls!$B44,0)),"Not Available",HLOOKUP(G$22,Tolls!$D$7:$R$58,Tolls!$B44,0))</f>
        <v>0.68</v>
      </c>
      <c r="J58" s="17">
        <f t="shared" si="3"/>
        <v>-1.1603225806451611</v>
      </c>
    </row>
    <row r="59" spans="1:10" x14ac:dyDescent="0.2">
      <c r="A59" s="1">
        <f>Prices!A45</f>
        <v>36526</v>
      </c>
      <c r="C59" s="23">
        <f>HLOOKUP(B$22,Prices!$C$8:$T$58,Prices!$B45,0)</f>
        <v>2.827096774193548</v>
      </c>
      <c r="E59" s="23">
        <f>HLOOKUP(D$22,Prices!$C$8:$T$58,Prices!$B45,0)</f>
        <v>2.3199999999999998</v>
      </c>
      <c r="F59" s="17">
        <f t="shared" si="2"/>
        <v>-0.50709677419354815</v>
      </c>
      <c r="H59" s="17">
        <f>IF(ISERROR(HLOOKUP(G$22,Tolls!$D$7:$R$58,Tolls!$B45,0)),"Not Available",HLOOKUP(G$22,Tolls!$D$7:$R$58,Tolls!$B45,0))</f>
        <v>0.68</v>
      </c>
      <c r="J59" s="17">
        <f t="shared" si="3"/>
        <v>-1.1870967741935483</v>
      </c>
    </row>
    <row r="60" spans="1:10" x14ac:dyDescent="0.2">
      <c r="A60" s="1">
        <f>Prices!A46</f>
        <v>36557</v>
      </c>
      <c r="C60" s="23">
        <f>HLOOKUP(B$22,Prices!$C$8:$T$58,Prices!$B46,0)</f>
        <v>3.1018965517241388</v>
      </c>
      <c r="E60" s="23">
        <f>HLOOKUP(D$22,Prices!$C$8:$T$58,Prices!$B46,0)</f>
        <v>2.4900000000000002</v>
      </c>
      <c r="F60" s="17">
        <f t="shared" si="2"/>
        <v>-0.61189655172413859</v>
      </c>
      <c r="H60" s="17">
        <f>IF(ISERROR(HLOOKUP(G$22,Tolls!$D$7:$R$58,Tolls!$B46,0)),"Not Available",HLOOKUP(G$22,Tolls!$D$7:$R$58,Tolls!$B46,0))</f>
        <v>0.68</v>
      </c>
      <c r="J60" s="17">
        <f t="shared" si="3"/>
        <v>-1.2918965517241388</v>
      </c>
    </row>
    <row r="61" spans="1:10" x14ac:dyDescent="0.2">
      <c r="A61" s="1">
        <f>Prices!A47</f>
        <v>36586</v>
      </c>
      <c r="C61" s="23">
        <f>HLOOKUP(B$22,Prices!$C$8:$T$58,Prices!$B47,0)</f>
        <v>3.521290322580644</v>
      </c>
      <c r="E61" s="23">
        <f>HLOOKUP(D$22,Prices!$C$8:$T$58,Prices!$B47,0)</f>
        <v>2.44</v>
      </c>
      <c r="F61" s="17">
        <f t="shared" si="2"/>
        <v>-1.0812903225806441</v>
      </c>
      <c r="H61" s="17">
        <f>IF(ISERROR(HLOOKUP(G$22,Tolls!$D$7:$R$58,Tolls!$B47,0)),"Not Available",HLOOKUP(G$22,Tolls!$D$7:$R$58,Tolls!$B47,0))</f>
        <v>0.68</v>
      </c>
      <c r="J61" s="17">
        <f t="shared" si="3"/>
        <v>-1.7612903225806442</v>
      </c>
    </row>
    <row r="62" spans="1:10" x14ac:dyDescent="0.2">
      <c r="A62" s="1">
        <f>Prices!A48</f>
        <v>36617</v>
      </c>
      <c r="C62" s="23">
        <f>HLOOKUP(B$22,Prices!$C$8:$T$58,Prices!$B48,0)</f>
        <v>3.7708333333333335</v>
      </c>
      <c r="E62" s="23">
        <f>HLOOKUP(D$22,Prices!$C$8:$T$58,Prices!$B48,0)</f>
        <v>2.9</v>
      </c>
      <c r="F62" s="17">
        <f t="shared" si="2"/>
        <v>-0.87083333333333357</v>
      </c>
      <c r="H62" s="17">
        <f>IF(ISERROR(HLOOKUP(G$22,Tolls!$D$7:$R$58,Tolls!$B48,0)),"Not Available",HLOOKUP(G$22,Tolls!$D$7:$R$58,Tolls!$B48,0))</f>
        <v>0.68</v>
      </c>
      <c r="J62" s="17">
        <f t="shared" si="3"/>
        <v>-1.5508333333333337</v>
      </c>
    </row>
    <row r="63" spans="1:10" x14ac:dyDescent="0.2">
      <c r="A63" s="1">
        <f>Prices!A49</f>
        <v>36647</v>
      </c>
      <c r="C63" s="23">
        <f>HLOOKUP(B$22,Prices!$C$8:$T$58,Prices!$B49,0)</f>
        <v>4.3430645161290338</v>
      </c>
      <c r="E63" s="23">
        <f>HLOOKUP(D$22,Prices!$C$8:$T$58,Prices!$B49,0)</f>
        <v>2.94</v>
      </c>
      <c r="F63" s="17">
        <f t="shared" si="2"/>
        <v>-1.4030645161290338</v>
      </c>
      <c r="H63" s="17">
        <f>IF(ISERROR(HLOOKUP(G$22,Tolls!$D$7:$R$58,Tolls!$B49,0)),"Not Available",HLOOKUP(G$22,Tolls!$D$7:$R$58,Tolls!$B49,0))</f>
        <v>0.68</v>
      </c>
      <c r="J63" s="17">
        <f t="shared" si="3"/>
        <v>-2.083064516129034</v>
      </c>
    </row>
    <row r="64" spans="1:10" x14ac:dyDescent="0.2">
      <c r="A64" s="1">
        <f>Prices!A50</f>
        <v>36678</v>
      </c>
      <c r="C64" s="23">
        <f>HLOOKUP(B$22,Prices!$C$8:$T$58,Prices!$B50,0)</f>
        <v>5.1076666666666659</v>
      </c>
      <c r="E64" s="23">
        <f>HLOOKUP(D$22,Prices!$C$8:$T$58,Prices!$B50,0)</f>
        <v>3.88</v>
      </c>
      <c r="F64" s="17">
        <f t="shared" si="2"/>
        <v>-1.227666666666666</v>
      </c>
      <c r="H64" s="17">
        <f>IF(ISERROR(HLOOKUP(G$22,Tolls!$D$7:$R$58,Tolls!$B50,0)),"Not Available",HLOOKUP(G$22,Tolls!$D$7:$R$58,Tolls!$B50,0))</f>
        <v>0.68</v>
      </c>
      <c r="J64" s="17">
        <f t="shared" si="3"/>
        <v>-1.9076666666666662</v>
      </c>
    </row>
    <row r="65" spans="1:10" x14ac:dyDescent="0.2">
      <c r="A65" s="1">
        <f>Prices!A51</f>
        <v>36708</v>
      </c>
      <c r="C65" s="23">
        <f>HLOOKUP(B$22,Prices!$C$8:$T$58,Prices!$B51,0)</f>
        <v>4.535967741935484</v>
      </c>
      <c r="E65" s="23">
        <f>HLOOKUP(D$22,Prices!$C$8:$T$58,Prices!$B51,0)</f>
        <v>4.5</v>
      </c>
      <c r="F65" s="17">
        <f t="shared" si="2"/>
        <v>-3.5967741935484021E-2</v>
      </c>
      <c r="H65" s="17">
        <f>IF(ISERROR(HLOOKUP(G$22,Tolls!$D$7:$R$58,Tolls!$B51,0)),"Not Available",HLOOKUP(G$22,Tolls!$D$7:$R$58,Tolls!$B51,0))</f>
        <v>0.68</v>
      </c>
      <c r="J65" s="17">
        <f t="shared" si="3"/>
        <v>-0.71596774193548407</v>
      </c>
    </row>
    <row r="66" spans="1:10" x14ac:dyDescent="0.2">
      <c r="A66" s="1">
        <f>Prices!A52</f>
        <v>36739</v>
      </c>
      <c r="C66" s="23">
        <f>HLOOKUP(B$22,Prices!$C$8:$T$58,Prices!$B52,0)</f>
        <v>4.5043548387096788</v>
      </c>
      <c r="E66" s="23">
        <f>HLOOKUP(D$22,Prices!$C$8:$T$58,Prices!$B52,0)</f>
        <v>3.99</v>
      </c>
      <c r="F66" s="17">
        <f t="shared" si="2"/>
        <v>-0.51435483870967857</v>
      </c>
      <c r="H66" s="17">
        <f>IF(ISERROR(HLOOKUP(G$22,Tolls!$D$7:$R$58,Tolls!$B52,0)),"Not Available",HLOOKUP(G$22,Tolls!$D$7:$R$58,Tolls!$B52,0))</f>
        <v>0.68</v>
      </c>
      <c r="J66" s="17">
        <f t="shared" si="3"/>
        <v>-1.1943548387096787</v>
      </c>
    </row>
    <row r="67" spans="1:10" x14ac:dyDescent="0.2">
      <c r="A67" s="1">
        <f>Prices!A53</f>
        <v>36770</v>
      </c>
      <c r="C67" s="23">
        <f>HLOOKUP(B$22,Prices!$C$8:$T$58,Prices!$B53,0)</f>
        <v>6.2013333333333351</v>
      </c>
      <c r="E67" s="23">
        <f>HLOOKUP(D$22,Prices!$C$8:$T$58,Prices!$B53,0)</f>
        <v>5.91</v>
      </c>
      <c r="F67" s="17">
        <f t="shared" si="2"/>
        <v>-0.291333333333335</v>
      </c>
      <c r="H67" s="17">
        <f>IF(ISERROR(HLOOKUP(G$22,Tolls!$D$7:$R$58,Tolls!$B53,0)),"Not Available",HLOOKUP(G$22,Tolls!$D$7:$R$58,Tolls!$B53,0))</f>
        <v>0.68</v>
      </c>
      <c r="J67" s="17">
        <f t="shared" si="3"/>
        <v>-0.97133333333333505</v>
      </c>
    </row>
    <row r="68" spans="1:10" x14ac:dyDescent="0.2">
      <c r="A68" s="1">
        <f>Prices!A54</f>
        <v>36800</v>
      </c>
      <c r="C68" s="23">
        <f>HLOOKUP(B$22,Prices!$C$8:$T$58,Prices!$B54,0)</f>
        <v>6.444193548387096</v>
      </c>
      <c r="E68" s="23">
        <f>HLOOKUP(D$22,Prices!$C$8:$T$58,Prices!$B54,0)</f>
        <v>5.31</v>
      </c>
      <c r="F68" s="17">
        <f t="shared" si="2"/>
        <v>-1.1341935483870964</v>
      </c>
      <c r="H68" s="17">
        <f>IF(ISERROR(HLOOKUP(G$22,Tolls!$D$7:$R$58,Tolls!$B54,0)),"Not Available",HLOOKUP(G$22,Tolls!$D$7:$R$58,Tolls!$B54,0))</f>
        <v>0.68</v>
      </c>
      <c r="J68" s="17">
        <f t="shared" si="3"/>
        <v>-1.8141935483870966</v>
      </c>
    </row>
    <row r="69" spans="1:10" x14ac:dyDescent="0.2">
      <c r="A69" s="1">
        <f>Prices!A55</f>
        <v>36831</v>
      </c>
      <c r="C69" s="23">
        <f>HLOOKUP(B$22,Prices!$C$8:$T$58,Prices!$B55,0)</f>
        <v>7.1614999999999993</v>
      </c>
      <c r="E69" s="23">
        <f>HLOOKUP(D$22,Prices!$C$8:$T$58,Prices!$B55,0)</f>
        <v>5.0599999999999996</v>
      </c>
      <c r="F69" s="17">
        <f t="shared" si="2"/>
        <v>-2.1014999999999997</v>
      </c>
      <c r="H69" s="17">
        <f>IF(ISERROR(HLOOKUP(G$22,Tolls!$D$7:$R$58,Tolls!$B55,0)),"Not Available",HLOOKUP(G$22,Tolls!$D$7:$R$58,Tolls!$B55,0))</f>
        <v>0.68</v>
      </c>
      <c r="J69" s="17">
        <f t="shared" si="3"/>
        <v>-2.7814999999999999</v>
      </c>
    </row>
    <row r="70" spans="1:10" x14ac:dyDescent="0.2">
      <c r="A70" s="1">
        <f>Prices!A56</f>
        <v>36861</v>
      </c>
      <c r="C70" s="23">
        <f>HLOOKUP(B$22,Prices!$C$8:$T$58,Prices!$B56,0)</f>
        <v>11.717419354838707</v>
      </c>
      <c r="E70" s="23">
        <f>HLOOKUP(D$22,Prices!$C$8:$T$58,Prices!$B56,0)</f>
        <v>13.53</v>
      </c>
      <c r="F70" s="17">
        <f t="shared" si="2"/>
        <v>1.812580645161292</v>
      </c>
      <c r="H70" s="17">
        <f>IF(ISERROR(HLOOKUP(G$22,Tolls!$D$7:$R$58,Tolls!$B56,0)),"Not Available",HLOOKUP(G$22,Tolls!$D$7:$R$58,Tolls!$B56,0))</f>
        <v>0.68</v>
      </c>
      <c r="J70" s="17">
        <f t="shared" si="3"/>
        <v>1.1325806451612919</v>
      </c>
    </row>
    <row r="71" spans="1:10" x14ac:dyDescent="0.2">
      <c r="A71" s="1">
        <f>Prices!A57</f>
        <v>36892</v>
      </c>
      <c r="C71" s="23">
        <f>HLOOKUP(B$22,Prices!$C$8:$T$58,Prices!$B57,0)</f>
        <v>10.727903225806452</v>
      </c>
      <c r="E71" s="23">
        <f>HLOOKUP(D$22,Prices!$C$8:$T$58,Prices!$B57,0)</f>
        <v>14.17</v>
      </c>
      <c r="F71" s="17">
        <f t="shared" si="2"/>
        <v>3.4420967741935478</v>
      </c>
      <c r="H71" s="17">
        <f>IF(ISERROR(HLOOKUP(G$22,Tolls!$D$7:$R$58,Tolls!$B57,0)),"Not Available",HLOOKUP(G$22,Tolls!$D$7:$R$58,Tolls!$B57,0))</f>
        <v>0.68</v>
      </c>
      <c r="J71" s="17">
        <f t="shared" si="3"/>
        <v>2.7620967741935476</v>
      </c>
    </row>
    <row r="72" spans="1:10" x14ac:dyDescent="0.2">
      <c r="A72" s="1">
        <f>Prices!A58</f>
        <v>36923</v>
      </c>
      <c r="C72" s="23">
        <f>HLOOKUP(B$22,Prices!$C$8:$T$58,Prices!$B58,0)</f>
        <v>8.0018181818181802</v>
      </c>
      <c r="E72" s="23">
        <f>HLOOKUP(D$22,Prices!$C$8:$T$58,Prices!$B58,0)</f>
        <v>9.77</v>
      </c>
      <c r="F72" s="17">
        <f t="shared" si="2"/>
        <v>1.7681818181818194</v>
      </c>
      <c r="H72" s="17">
        <f>IF(ISERROR(HLOOKUP(G$22,Tolls!$D$7:$R$58,Tolls!$B58,0)),"Not Available",HLOOKUP(G$22,Tolls!$D$7:$R$58,Tolls!$B58,0))</f>
        <v>0.68</v>
      </c>
      <c r="J72" s="17">
        <f t="shared" si="3"/>
        <v>1.0881818181818192</v>
      </c>
    </row>
    <row r="73" spans="1:10" x14ac:dyDescent="0.2">
      <c r="A73" s="1"/>
    </row>
    <row r="74" spans="1:10" x14ac:dyDescent="0.2">
      <c r="A74" s="1"/>
    </row>
    <row r="75" spans="1:10" x14ac:dyDescent="0.2">
      <c r="A75" s="1"/>
    </row>
    <row r="76" spans="1:10" x14ac:dyDescent="0.2">
      <c r="A76" s="1"/>
    </row>
    <row r="77" spans="1:10" x14ac:dyDescent="0.2">
      <c r="A77" s="1"/>
    </row>
    <row r="78" spans="1:10" x14ac:dyDescent="0.2">
      <c r="A78" s="1"/>
    </row>
    <row r="79" spans="1:10" x14ac:dyDescent="0.2">
      <c r="A79" s="1"/>
    </row>
    <row r="80" spans="1:10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</sheetData>
  <phoneticPr fontId="0" type="noConversion"/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3" name="Drop Down 1">
              <controlPr defaultSize="0" autoLine="0" autoPict="0">
                <anchor moveWithCells="1">
                  <from>
                    <xdr:col>2</xdr:col>
                    <xdr:colOff>95250</xdr:colOff>
                    <xdr:row>20</xdr:row>
                    <xdr:rowOff>28575</xdr:rowOff>
                  </from>
                  <to>
                    <xdr:col>2</xdr:col>
                    <xdr:colOff>2209800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4" name="Drop Down 2">
              <controlPr defaultSize="0" autoLine="0" autoPict="0">
                <anchor moveWithCells="1">
                  <from>
                    <xdr:col>4</xdr:col>
                    <xdr:colOff>66675</xdr:colOff>
                    <xdr:row>20</xdr:row>
                    <xdr:rowOff>19050</xdr:rowOff>
                  </from>
                  <to>
                    <xdr:col>4</xdr:col>
                    <xdr:colOff>2219325</xdr:colOff>
                    <xdr:row>20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7"/>
  <sheetViews>
    <sheetView showGridLines="0" workbookViewId="0">
      <selection activeCell="E24" sqref="E24"/>
    </sheetView>
  </sheetViews>
  <sheetFormatPr defaultRowHeight="12.75" x14ac:dyDescent="0.2"/>
  <cols>
    <col min="2" max="2" width="6.83203125" hidden="1" customWidth="1"/>
    <col min="3" max="3" width="39.33203125" customWidth="1"/>
    <col min="4" max="4" width="6.83203125" hidden="1" customWidth="1"/>
    <col min="5" max="5" width="39.6640625" customWidth="1"/>
    <col min="6" max="6" width="23" customWidth="1"/>
    <col min="7" max="7" width="6.83203125" hidden="1" customWidth="1"/>
    <col min="8" max="8" width="13.5" customWidth="1"/>
    <col min="10" max="10" width="15" customWidth="1"/>
  </cols>
  <sheetData>
    <row r="1" spans="1:1" s="22" customFormat="1" ht="18" x14ac:dyDescent="0.25">
      <c r="A1" s="22" t="s">
        <v>25</v>
      </c>
    </row>
    <row r="20" spans="1:10" x14ac:dyDescent="0.2">
      <c r="C20" s="4" t="s">
        <v>11</v>
      </c>
      <c r="D20" s="4"/>
      <c r="E20" s="4" t="s">
        <v>12</v>
      </c>
      <c r="G20" s="4"/>
    </row>
    <row r="21" spans="1:10" ht="18.75" customHeight="1" x14ac:dyDescent="0.2">
      <c r="F21" s="3" t="str">
        <f>HLOOKUP(B22,Prices!$C$5:$N$6,2,0)&amp;"/"&amp;HLOOKUP(D22,Prices!$C$5:$N$6,2,0)&amp;" Spread"</f>
        <v>Malin/PG&amp;E Spread</v>
      </c>
      <c r="H21" s="4" t="str">
        <f>HLOOKUP(G22,Tolls!$D$7:$P$8,2,0)&amp;" Toll"</f>
        <v>PGT Toll</v>
      </c>
      <c r="J21" s="4" t="s">
        <v>24</v>
      </c>
    </row>
    <row r="22" spans="1:10" x14ac:dyDescent="0.2">
      <c r="B22" s="13">
        <v>11</v>
      </c>
      <c r="D22" s="13">
        <v>12</v>
      </c>
      <c r="G22" s="13">
        <f>B22*1000+D22</f>
        <v>11012</v>
      </c>
    </row>
    <row r="23" spans="1:10" x14ac:dyDescent="0.2">
      <c r="A23" s="1">
        <f>Prices!A9</f>
        <v>35431</v>
      </c>
      <c r="C23" s="23">
        <f>HLOOKUP(B$22,Prices!$C$8:$T$58,Prices!$B9,0)</f>
        <v>4.08</v>
      </c>
      <c r="E23" s="23">
        <f>HLOOKUP(D$22,Prices!$C$8:$T$58,Prices!$B9,0)</f>
        <v>4.1749999999999998</v>
      </c>
      <c r="F23" s="17">
        <f t="shared" ref="F23:F54" si="0">E23-C23</f>
        <v>9.4999999999999751E-2</v>
      </c>
      <c r="H23" s="17">
        <f>IF(ISERROR(HLOOKUP(G$22,Tolls!$D$7:$R$58,Tolls!$B9,0)),"Not Available",HLOOKUP(G$22,Tolls!$D$7:$R$58,Tolls!$B9,0))</f>
        <v>0.31328800000000001</v>
      </c>
      <c r="J23" s="17">
        <f t="shared" ref="J23:J54" si="1">F23-H23</f>
        <v>-0.21828800000000026</v>
      </c>
    </row>
    <row r="24" spans="1:10" x14ac:dyDescent="0.2">
      <c r="A24" s="1">
        <f>Prices!A10</f>
        <v>35462</v>
      </c>
      <c r="C24" s="23">
        <f>HLOOKUP(B$22,Prices!$C$8:$T$58,Prices!$B10,0)</f>
        <v>2.5</v>
      </c>
      <c r="E24" s="23">
        <f>HLOOKUP(D$22,Prices!$C$8:$T$58,Prices!$B10,0)</f>
        <v>2.8010574620909821</v>
      </c>
      <c r="F24" s="17">
        <f t="shared" si="0"/>
        <v>0.30105746209098205</v>
      </c>
      <c r="H24" s="17">
        <f>IF(ISERROR(HLOOKUP(G$22,Tolls!$D$7:$R$58,Tolls!$B10,0)),"Not Available",HLOOKUP(G$22,Tolls!$D$7:$R$58,Tolls!$B10,0))</f>
        <v>0.29575000000000001</v>
      </c>
      <c r="J24" s="17">
        <f t="shared" si="1"/>
        <v>5.3074620909820402E-3</v>
      </c>
    </row>
    <row r="25" spans="1:10" x14ac:dyDescent="0.2">
      <c r="A25" s="1">
        <f>Prices!A11</f>
        <v>35490</v>
      </c>
      <c r="C25" s="23">
        <f>HLOOKUP(B$22,Prices!$C$8:$T$58,Prices!$B11,0)</f>
        <v>1.33</v>
      </c>
      <c r="E25" s="23">
        <f>HLOOKUP(D$22,Prices!$C$8:$T$58,Prices!$B11,0)</f>
        <v>1.6951351351351354</v>
      </c>
      <c r="F25" s="17">
        <f t="shared" si="0"/>
        <v>0.36513513513513529</v>
      </c>
      <c r="H25" s="17">
        <f>IF(ISERROR(HLOOKUP(G$22,Tolls!$D$7:$R$58,Tolls!$B11,0)),"Not Available",HLOOKUP(G$22,Tolls!$D$7:$R$58,Tolls!$B11,0))</f>
        <v>0.28276300000000004</v>
      </c>
      <c r="J25" s="17">
        <f t="shared" si="1"/>
        <v>8.2372135135135249E-2</v>
      </c>
    </row>
    <row r="26" spans="1:10" x14ac:dyDescent="0.2">
      <c r="A26" s="1">
        <f>Prices!A12</f>
        <v>35521</v>
      </c>
      <c r="C26" s="23">
        <f>HLOOKUP(B$22,Prices!$C$8:$T$58,Prices!$B12,0)</f>
        <v>1.47</v>
      </c>
      <c r="E26" s="23">
        <f>HLOOKUP(D$22,Prices!$C$8:$T$58,Prices!$B12,0)</f>
        <v>2.1314212827988337</v>
      </c>
      <c r="F26" s="17">
        <f t="shared" si="0"/>
        <v>0.66142128279883372</v>
      </c>
      <c r="H26" s="17">
        <f>IF(ISERROR(HLOOKUP(G$22,Tolls!$D$7:$R$58,Tolls!$B12,0)),"Not Available",HLOOKUP(G$22,Tolls!$D$7:$R$58,Tolls!$B12,0))</f>
        <v>0.28431700000000004</v>
      </c>
      <c r="J26" s="17">
        <f t="shared" si="1"/>
        <v>0.37710428279883368</v>
      </c>
    </row>
    <row r="27" spans="1:10" x14ac:dyDescent="0.2">
      <c r="A27" s="1">
        <f>Prices!A13</f>
        <v>35551</v>
      </c>
      <c r="C27" s="23">
        <f>HLOOKUP(B$22,Prices!$C$8:$T$58,Prices!$B13,0)</f>
        <v>1.76</v>
      </c>
      <c r="E27" s="23">
        <f>HLOOKUP(D$22,Prices!$C$8:$T$58,Prices!$B13,0)</f>
        <v>2.1165408057083388</v>
      </c>
      <c r="F27" s="17">
        <f t="shared" si="0"/>
        <v>0.35654080570833879</v>
      </c>
      <c r="H27" s="17">
        <f>IF(ISERROR(HLOOKUP(G$22,Tolls!$D$7:$R$58,Tolls!$B13,0)),"Not Available",HLOOKUP(G$22,Tolls!$D$7:$R$58,Tolls!$B13,0))</f>
        <v>0.28753600000000001</v>
      </c>
      <c r="J27" s="17">
        <f t="shared" si="1"/>
        <v>6.9004805708338779E-2</v>
      </c>
    </row>
    <row r="28" spans="1:10" x14ac:dyDescent="0.2">
      <c r="A28" s="1">
        <f>Prices!A14</f>
        <v>35582</v>
      </c>
      <c r="C28" s="23">
        <f>HLOOKUP(B$22,Prices!$C$8:$T$58,Prices!$B14,0)</f>
        <v>1.72</v>
      </c>
      <c r="E28" s="23">
        <f>HLOOKUP(D$22,Prices!$C$8:$T$58,Prices!$B14,0)</f>
        <v>2.2310123456790123</v>
      </c>
      <c r="F28" s="17">
        <f t="shared" si="0"/>
        <v>0.51101234567901233</v>
      </c>
      <c r="H28" s="17">
        <f>IF(ISERROR(HLOOKUP(G$22,Tolls!$D$7:$R$58,Tolls!$B14,0)),"Not Available",HLOOKUP(G$22,Tolls!$D$7:$R$58,Tolls!$B14,0))</f>
        <v>0.28709200000000001</v>
      </c>
      <c r="J28" s="17">
        <f t="shared" si="1"/>
        <v>0.22392034567901231</v>
      </c>
    </row>
    <row r="29" spans="1:10" x14ac:dyDescent="0.2">
      <c r="A29" s="1">
        <f>Prices!A15</f>
        <v>35612</v>
      </c>
      <c r="C29" s="23">
        <f>HLOOKUP(B$22,Prices!$C$8:$T$58,Prices!$B15,0)</f>
        <v>1.56</v>
      </c>
      <c r="E29" s="23">
        <f>HLOOKUP(D$22,Prices!$C$8:$T$58,Prices!$B15,0)</f>
        <v>2.0237718743411341</v>
      </c>
      <c r="F29" s="17">
        <f t="shared" si="0"/>
        <v>0.46377187434113409</v>
      </c>
      <c r="H29" s="17">
        <f>IF(ISERROR(HLOOKUP(G$22,Tolls!$D$7:$R$58,Tolls!$B15,0)),"Not Available",HLOOKUP(G$22,Tolls!$D$7:$R$58,Tolls!$B15,0))</f>
        <v>0.28531600000000001</v>
      </c>
      <c r="J29" s="17">
        <f t="shared" si="1"/>
        <v>0.17845587434113408</v>
      </c>
    </row>
    <row r="30" spans="1:10" x14ac:dyDescent="0.2">
      <c r="A30" s="1">
        <f>Prices!A16</f>
        <v>35643</v>
      </c>
      <c r="C30" s="23">
        <f>HLOOKUP(B$22,Prices!$C$8:$T$58,Prices!$B16,0)</f>
        <v>1.51</v>
      </c>
      <c r="E30" s="23">
        <f>HLOOKUP(D$22,Prices!$C$8:$T$58,Prices!$B16,0)</f>
        <v>2.105892738616753</v>
      </c>
      <c r="F30" s="17">
        <f t="shared" si="0"/>
        <v>0.59589273861675296</v>
      </c>
      <c r="H30" s="17">
        <f>IF(ISERROR(HLOOKUP(G$22,Tolls!$D$7:$R$58,Tolls!$B16,0)),"Not Available",HLOOKUP(G$22,Tolls!$D$7:$R$58,Tolls!$B16,0))</f>
        <v>0.28476100000000004</v>
      </c>
      <c r="J30" s="17">
        <f t="shared" si="1"/>
        <v>0.31113173861675292</v>
      </c>
    </row>
    <row r="31" spans="1:10" x14ac:dyDescent="0.2">
      <c r="A31" s="1">
        <f>Prices!A17</f>
        <v>35674</v>
      </c>
      <c r="C31" s="23">
        <f>HLOOKUP(B$22,Prices!$C$8:$T$58,Prices!$B17,0)</f>
        <v>1.73</v>
      </c>
      <c r="E31" s="23">
        <f>HLOOKUP(D$22,Prices!$C$8:$T$58,Prices!$B17,0)</f>
        <v>2.117657989228007</v>
      </c>
      <c r="F31" s="17">
        <f t="shared" si="0"/>
        <v>0.38765798922800698</v>
      </c>
      <c r="H31" s="17">
        <f>IF(ISERROR(HLOOKUP(G$22,Tolls!$D$7:$R$58,Tolls!$B17,0)),"Not Available",HLOOKUP(G$22,Tolls!$D$7:$R$58,Tolls!$B17,0))</f>
        <v>0.28720300000000004</v>
      </c>
      <c r="J31" s="17">
        <f t="shared" si="1"/>
        <v>0.10045498922800694</v>
      </c>
    </row>
    <row r="32" spans="1:10" x14ac:dyDescent="0.2">
      <c r="A32" s="1">
        <f>Prices!A18</f>
        <v>35704</v>
      </c>
      <c r="C32" s="23">
        <f>HLOOKUP(B$22,Prices!$C$8:$T$58,Prices!$B18,0)</f>
        <v>2.29</v>
      </c>
      <c r="E32" s="23">
        <f>HLOOKUP(D$22,Prices!$C$8:$T$58,Prices!$B18,0)</f>
        <v>3.2222963939654119</v>
      </c>
      <c r="F32" s="17">
        <f t="shared" si="0"/>
        <v>0.93229639396541186</v>
      </c>
      <c r="H32" s="17">
        <f>IF(ISERROR(HLOOKUP(G$22,Tolls!$D$7:$R$58,Tolls!$B18,0)),"Not Available",HLOOKUP(G$22,Tolls!$D$7:$R$58,Tolls!$B18,0))</f>
        <v>0.29341900000000004</v>
      </c>
      <c r="J32" s="17">
        <f t="shared" si="1"/>
        <v>0.63887739396541177</v>
      </c>
    </row>
    <row r="33" spans="1:10" x14ac:dyDescent="0.2">
      <c r="A33" s="1">
        <f>Prices!A19</f>
        <v>35735</v>
      </c>
      <c r="C33" s="23">
        <f>HLOOKUP(B$22,Prices!$C$8:$T$58,Prices!$B19,0)</f>
        <v>3.01</v>
      </c>
      <c r="E33" s="23">
        <f>HLOOKUP(D$22,Prices!$C$8:$T$58,Prices!$B19,0)</f>
        <v>2.7850877192982448</v>
      </c>
      <c r="F33" s="17">
        <f t="shared" si="0"/>
        <v>-0.22491228070175495</v>
      </c>
      <c r="H33" s="17">
        <f>IF(ISERROR(HLOOKUP(G$22,Tolls!$D$7:$R$58,Tolls!$B19,0)),"Not Available",HLOOKUP(G$22,Tolls!$D$7:$R$58,Tolls!$B19,0))</f>
        <v>0.30141099999999998</v>
      </c>
      <c r="J33" s="17">
        <f t="shared" si="1"/>
        <v>-0.52632328070175494</v>
      </c>
    </row>
    <row r="34" spans="1:10" x14ac:dyDescent="0.2">
      <c r="A34" s="1">
        <f>Prices!A20</f>
        <v>35765</v>
      </c>
      <c r="C34" s="23">
        <f>HLOOKUP(B$22,Prices!$C$8:$T$58,Prices!$B20,0)</f>
        <v>1.91</v>
      </c>
      <c r="E34" s="23">
        <f>HLOOKUP(D$22,Prices!$C$8:$T$58,Prices!$B20,0)</f>
        <v>2.2899596774193549</v>
      </c>
      <c r="F34" s="17">
        <f t="shared" si="0"/>
        <v>0.37995967741935499</v>
      </c>
      <c r="H34" s="17">
        <f>IF(ISERROR(HLOOKUP(G$22,Tolls!$D$7:$R$58,Tolls!$B20,0)),"Not Available",HLOOKUP(G$22,Tolls!$D$7:$R$58,Tolls!$B20,0))</f>
        <v>0.28920100000000004</v>
      </c>
      <c r="J34" s="17">
        <f t="shared" si="1"/>
        <v>9.0758677419354949E-2</v>
      </c>
    </row>
    <row r="35" spans="1:10" x14ac:dyDescent="0.2">
      <c r="A35" s="1">
        <f>Prices!A21</f>
        <v>35796</v>
      </c>
      <c r="C35" s="23">
        <f>HLOOKUP(B$22,Prices!$C$8:$T$58,Prices!$B21,0)</f>
        <v>2.06</v>
      </c>
      <c r="E35" s="23">
        <f>HLOOKUP(D$22,Prices!$C$8:$T$58,Prices!$B21,0)</f>
        <v>2.2888510638297874</v>
      </c>
      <c r="F35" s="17">
        <f t="shared" si="0"/>
        <v>0.22885106382978737</v>
      </c>
      <c r="H35" s="17">
        <f>IF(ISERROR(HLOOKUP(G$22,Tolls!$D$7:$R$58,Tolls!$B21,0)),"Not Available",HLOOKUP(G$22,Tolls!$D$7:$R$58,Tolls!$B21,0))</f>
        <v>0.29086600000000001</v>
      </c>
      <c r="J35" s="17">
        <f t="shared" si="1"/>
        <v>-6.2014936170212642E-2</v>
      </c>
    </row>
    <row r="36" spans="1:10" x14ac:dyDescent="0.2">
      <c r="A36" s="1">
        <f>Prices!A22</f>
        <v>35827</v>
      </c>
      <c r="C36" s="23">
        <f>HLOOKUP(B$22,Prices!$C$8:$T$58,Prices!$B22,0)</f>
        <v>1.77</v>
      </c>
      <c r="E36" s="23">
        <f>HLOOKUP(D$22,Prices!$C$8:$T$58,Prices!$B22,0)</f>
        <v>2.0755186097427489</v>
      </c>
      <c r="F36" s="17">
        <f t="shared" si="0"/>
        <v>0.30551860974274891</v>
      </c>
      <c r="H36" s="17">
        <f>IF(ISERROR(HLOOKUP(G$22,Tolls!$D$7:$R$58,Tolls!$B22,0)),"Not Available",HLOOKUP(G$22,Tolls!$D$7:$R$58,Tolls!$B22,0))</f>
        <v>0.28764700000000004</v>
      </c>
      <c r="J36" s="17">
        <f t="shared" si="1"/>
        <v>1.7871609742748873E-2</v>
      </c>
    </row>
    <row r="37" spans="1:10" x14ac:dyDescent="0.2">
      <c r="A37" s="1">
        <f>Prices!A23</f>
        <v>35855</v>
      </c>
      <c r="C37" s="23">
        <f>HLOOKUP(B$22,Prices!$C$8:$T$58,Prices!$B23,0)</f>
        <v>1.91</v>
      </c>
      <c r="E37" s="23">
        <f>HLOOKUP(D$22,Prices!$C$8:$T$58,Prices!$B23,0)</f>
        <v>2.5052186878727638</v>
      </c>
      <c r="F37" s="17">
        <f t="shared" si="0"/>
        <v>0.59521868787276389</v>
      </c>
      <c r="H37" s="17">
        <f>IF(ISERROR(HLOOKUP(G$22,Tolls!$D$7:$R$58,Tolls!$B23,0)),"Not Available",HLOOKUP(G$22,Tolls!$D$7:$R$58,Tolls!$B23,0))</f>
        <v>0.28920100000000004</v>
      </c>
      <c r="J37" s="17">
        <f t="shared" si="1"/>
        <v>0.30601768787276384</v>
      </c>
    </row>
    <row r="38" spans="1:10" x14ac:dyDescent="0.2">
      <c r="A38" s="1">
        <f>Prices!A24</f>
        <v>35886</v>
      </c>
      <c r="C38" s="23">
        <f>HLOOKUP(B$22,Prices!$C$8:$T$58,Prices!$B24,0)</f>
        <v>1.97</v>
      </c>
      <c r="E38" s="23">
        <f>HLOOKUP(D$22,Prices!$C$8:$T$58,Prices!$B24,0)</f>
        <v>2.2616385135135135</v>
      </c>
      <c r="F38" s="17">
        <f t="shared" si="0"/>
        <v>0.29163851351351355</v>
      </c>
      <c r="H38" s="17">
        <f>IF(ISERROR(HLOOKUP(G$22,Tolls!$D$7:$R$58,Tolls!$B24,0)),"Not Available",HLOOKUP(G$22,Tolls!$D$7:$R$58,Tolls!$B24,0))</f>
        <v>0.28986700000000004</v>
      </c>
      <c r="J38" s="17">
        <f t="shared" si="1"/>
        <v>1.7715135135135118E-3</v>
      </c>
    </row>
    <row r="39" spans="1:10" x14ac:dyDescent="0.2">
      <c r="A39" s="1">
        <f>Prices!A25</f>
        <v>35916</v>
      </c>
      <c r="C39" s="23">
        <f>HLOOKUP(B$22,Prices!$C$8:$T$58,Prices!$B25,0)</f>
        <v>2.1800000000000002</v>
      </c>
      <c r="E39" s="23">
        <f>HLOOKUP(D$22,Prices!$C$8:$T$58,Prices!$B25,0)</f>
        <v>2.2549999999999999</v>
      </c>
      <c r="F39" s="17">
        <f t="shared" si="0"/>
        <v>7.4999999999999734E-2</v>
      </c>
      <c r="H39" s="17">
        <f>IF(ISERROR(HLOOKUP(G$22,Tolls!$D$7:$R$58,Tolls!$B25,0)),"Not Available",HLOOKUP(G$22,Tolls!$D$7:$R$58,Tolls!$B25,0))</f>
        <v>0.29219800000000001</v>
      </c>
      <c r="J39" s="17">
        <f t="shared" si="1"/>
        <v>-0.21719800000000028</v>
      </c>
    </row>
    <row r="40" spans="1:10" x14ac:dyDescent="0.2">
      <c r="A40" s="1">
        <f>Prices!A26</f>
        <v>35947</v>
      </c>
      <c r="C40" s="23">
        <f>HLOOKUP(B$22,Prices!$C$8:$T$58,Prices!$B26,0)</f>
        <v>1.68</v>
      </c>
      <c r="E40" s="23">
        <f>HLOOKUP(D$22,Prices!$C$8:$T$58,Prices!$B26,0)</f>
        <v>2.075333333333333</v>
      </c>
      <c r="F40" s="17">
        <f t="shared" si="0"/>
        <v>0.39533333333333309</v>
      </c>
      <c r="H40" s="17">
        <f>IF(ISERROR(HLOOKUP(G$22,Tolls!$D$7:$R$58,Tolls!$B26,0)),"Not Available",HLOOKUP(G$22,Tolls!$D$7:$R$58,Tolls!$B26,0))</f>
        <v>0.28664800000000001</v>
      </c>
      <c r="J40" s="17">
        <f t="shared" si="1"/>
        <v>0.10868533333333308</v>
      </c>
    </row>
    <row r="41" spans="1:10" x14ac:dyDescent="0.2">
      <c r="A41" s="1">
        <f>Prices!A27</f>
        <v>35977</v>
      </c>
      <c r="C41" s="23">
        <f>HLOOKUP(B$22,Prices!$C$8:$T$58,Prices!$B27,0)</f>
        <v>1.81</v>
      </c>
      <c r="E41" s="23">
        <f>HLOOKUP(D$22,Prices!$C$8:$T$58,Prices!$B27,0)</f>
        <v>2.4371666666666667</v>
      </c>
      <c r="F41" s="17">
        <f t="shared" si="0"/>
        <v>0.62716666666666665</v>
      </c>
      <c r="H41" s="17">
        <f>IF(ISERROR(HLOOKUP(G$22,Tolls!$D$7:$R$58,Tolls!$B27,0)),"Not Available",HLOOKUP(G$22,Tolls!$D$7:$R$58,Tolls!$B27,0))</f>
        <v>0.28809100000000004</v>
      </c>
      <c r="J41" s="17">
        <f t="shared" si="1"/>
        <v>0.33907566666666661</v>
      </c>
    </row>
    <row r="42" spans="1:10" x14ac:dyDescent="0.2">
      <c r="A42" s="1">
        <f>Prices!A28</f>
        <v>36008</v>
      </c>
      <c r="C42" s="23">
        <f>HLOOKUP(B$22,Prices!$C$8:$T$58,Prices!$B28,0)</f>
        <v>2.04</v>
      </c>
      <c r="E42" s="23">
        <f>HLOOKUP(D$22,Prices!$C$8:$T$58,Prices!$B28,0)</f>
        <v>2.3982258064516118</v>
      </c>
      <c r="F42" s="17">
        <f t="shared" si="0"/>
        <v>0.35822580645161173</v>
      </c>
      <c r="H42" s="17">
        <f>IF(ISERROR(HLOOKUP(G$22,Tolls!$D$7:$R$58,Tolls!$B28,0)),"Not Available",HLOOKUP(G$22,Tolls!$D$7:$R$58,Tolls!$B28,0))</f>
        <v>0.29064400000000001</v>
      </c>
      <c r="J42" s="17">
        <f t="shared" si="1"/>
        <v>6.7581806451611715E-2</v>
      </c>
    </row>
    <row r="43" spans="1:10" x14ac:dyDescent="0.2">
      <c r="A43" s="1">
        <f>Prices!A29</f>
        <v>36039</v>
      </c>
      <c r="C43" s="23">
        <f>HLOOKUP(B$22,Prices!$C$8:$T$58,Prices!$B29,0)</f>
        <v>1.78</v>
      </c>
      <c r="E43" s="23">
        <f>HLOOKUP(D$22,Prices!$C$8:$T$58,Prices!$B29,0)</f>
        <v>2.3041379310344814</v>
      </c>
      <c r="F43" s="17">
        <f t="shared" si="0"/>
        <v>0.52413793103448136</v>
      </c>
      <c r="H43" s="17">
        <f>IF(ISERROR(HLOOKUP(G$22,Tolls!$D$7:$R$58,Tolls!$B29,0)),"Not Available",HLOOKUP(G$22,Tolls!$D$7:$R$58,Tolls!$B29,0))</f>
        <v>0.28775800000000001</v>
      </c>
      <c r="J43" s="17">
        <f t="shared" si="1"/>
        <v>0.23637993103448135</v>
      </c>
    </row>
    <row r="44" spans="1:10" x14ac:dyDescent="0.2">
      <c r="A44" s="1">
        <f>Prices!A30</f>
        <v>36069</v>
      </c>
      <c r="C44" s="23">
        <f>HLOOKUP(B$22,Prices!$C$8:$T$58,Prices!$B30,0)</f>
        <v>1.8</v>
      </c>
      <c r="E44" s="23">
        <f>HLOOKUP(D$22,Prices!$C$8:$T$58,Prices!$B30,0)</f>
        <v>2.3846774193548392</v>
      </c>
      <c r="F44" s="17">
        <f t="shared" si="0"/>
        <v>0.58467741935483919</v>
      </c>
      <c r="H44" s="17">
        <f>IF(ISERROR(HLOOKUP(G$22,Tolls!$D$7:$R$58,Tolls!$B30,0)),"Not Available",HLOOKUP(G$22,Tolls!$D$7:$R$58,Tolls!$B30,0))</f>
        <v>0.28798000000000001</v>
      </c>
      <c r="J44" s="17">
        <f t="shared" si="1"/>
        <v>0.29669741935483918</v>
      </c>
    </row>
    <row r="45" spans="1:10" x14ac:dyDescent="0.2">
      <c r="A45" s="1">
        <f>Prices!A31</f>
        <v>36100</v>
      </c>
      <c r="C45" s="23">
        <f>HLOOKUP(B$22,Prices!$C$8:$T$58,Prices!$B31,0)</f>
        <v>2.2400000000000002</v>
      </c>
      <c r="E45" s="23">
        <f>HLOOKUP(D$22,Prices!$C$8:$T$58,Prices!$B31,0)</f>
        <v>2.5983928571428581</v>
      </c>
      <c r="F45" s="17">
        <f t="shared" si="0"/>
        <v>0.35839285714285785</v>
      </c>
      <c r="H45" s="17">
        <f>IF(ISERROR(HLOOKUP(G$22,Tolls!$D$7:$R$58,Tolls!$B31,0)),"Not Available",HLOOKUP(G$22,Tolls!$D$7:$R$58,Tolls!$B31,0))</f>
        <v>0.29286400000000001</v>
      </c>
      <c r="J45" s="17">
        <f t="shared" si="1"/>
        <v>6.5528857142857833E-2</v>
      </c>
    </row>
    <row r="46" spans="1:10" x14ac:dyDescent="0.2">
      <c r="A46" s="1">
        <f>Prices!A32</f>
        <v>36130</v>
      </c>
      <c r="C46" s="23">
        <f>HLOOKUP(B$22,Prices!$C$8:$T$58,Prices!$B32,0)</f>
        <v>2.16</v>
      </c>
      <c r="E46" s="23">
        <f>HLOOKUP(D$22,Prices!$C$8:$T$58,Prices!$B32,0)</f>
        <v>2.5518965517241377</v>
      </c>
      <c r="F46" s="17">
        <f t="shared" si="0"/>
        <v>0.39189655172413751</v>
      </c>
      <c r="H46" s="17">
        <f>IF(ISERROR(HLOOKUP(G$22,Tolls!$D$7:$R$58,Tolls!$B32,0)),"Not Available",HLOOKUP(G$22,Tolls!$D$7:$R$58,Tolls!$B32,0))</f>
        <v>0.29197600000000001</v>
      </c>
      <c r="J46" s="17">
        <f t="shared" si="1"/>
        <v>9.9920551724137496E-2</v>
      </c>
    </row>
    <row r="47" spans="1:10" x14ac:dyDescent="0.2">
      <c r="A47" s="1">
        <f>Prices!A33</f>
        <v>36161</v>
      </c>
      <c r="C47" s="23">
        <f>HLOOKUP(B$22,Prices!$C$8:$T$58,Prices!$B33,0)</f>
        <v>2.11</v>
      </c>
      <c r="E47" s="23">
        <f>HLOOKUP(D$22,Prices!$C$8:$T$58,Prices!$B33,0)</f>
        <v>2.0750000000000002</v>
      </c>
      <c r="F47" s="17">
        <f t="shared" si="0"/>
        <v>-3.4999999999999698E-2</v>
      </c>
      <c r="H47" s="17">
        <f>IF(ISERROR(HLOOKUP(G$22,Tolls!$D$7:$R$58,Tolls!$B33,0)),"Not Available",HLOOKUP(G$22,Tolls!$D$7:$R$58,Tolls!$B33,0))</f>
        <v>0.29142100000000004</v>
      </c>
      <c r="J47" s="17">
        <f t="shared" si="1"/>
        <v>-0.32642099999999974</v>
      </c>
    </row>
    <row r="48" spans="1:10" x14ac:dyDescent="0.2">
      <c r="A48" s="1">
        <f>Prices!A34</f>
        <v>36192</v>
      </c>
      <c r="C48" s="23">
        <f>HLOOKUP(B$22,Prices!$C$8:$T$58,Prices!$B34,0)</f>
        <v>1.75</v>
      </c>
      <c r="E48" s="23">
        <f>HLOOKUP(D$22,Prices!$C$8:$T$58,Prices!$B34,0)</f>
        <v>1.9471428571428575</v>
      </c>
      <c r="F48" s="17">
        <f t="shared" si="0"/>
        <v>0.19714285714285751</v>
      </c>
      <c r="H48" s="17">
        <f>IF(ISERROR(HLOOKUP(G$22,Tolls!$D$7:$R$58,Tolls!$B34,0)),"Not Available",HLOOKUP(G$22,Tolls!$D$7:$R$58,Tolls!$B34,0))</f>
        <v>0.28742500000000004</v>
      </c>
      <c r="J48" s="17">
        <f t="shared" si="1"/>
        <v>-9.0282142857142533E-2</v>
      </c>
    </row>
    <row r="49" spans="1:10" x14ac:dyDescent="0.2">
      <c r="A49" s="1">
        <f>Prices!A35</f>
        <v>36220</v>
      </c>
      <c r="C49" s="23">
        <f>HLOOKUP(B$22,Prices!$C$8:$T$58,Prices!$B35,0)</f>
        <v>1.62</v>
      </c>
      <c r="E49" s="23">
        <f>HLOOKUP(D$22,Prices!$C$8:$T$58,Prices!$B35,0)</f>
        <v>1.92</v>
      </c>
      <c r="F49" s="17">
        <f t="shared" si="0"/>
        <v>0.29999999999999982</v>
      </c>
      <c r="H49" s="17">
        <f>IF(ISERROR(HLOOKUP(G$22,Tolls!$D$7:$R$58,Tolls!$B35,0)),"Not Available",HLOOKUP(G$22,Tolls!$D$7:$R$58,Tolls!$B35,0))</f>
        <v>0.28598200000000001</v>
      </c>
      <c r="J49" s="17">
        <f t="shared" si="1"/>
        <v>1.4017999999999808E-2</v>
      </c>
    </row>
    <row r="50" spans="1:10" x14ac:dyDescent="0.2">
      <c r="A50" s="1">
        <f>Prices!A36</f>
        <v>36251</v>
      </c>
      <c r="C50" s="23">
        <f>HLOOKUP(B$22,Prices!$C$8:$T$58,Prices!$B36,0)</f>
        <v>1.65</v>
      </c>
      <c r="E50" s="23">
        <f>HLOOKUP(D$22,Prices!$C$8:$T$58,Prices!$B36,0)</f>
        <v>2.2774999999999999</v>
      </c>
      <c r="F50" s="17">
        <f t="shared" si="0"/>
        <v>0.62749999999999995</v>
      </c>
      <c r="H50" s="17">
        <f>IF(ISERROR(HLOOKUP(G$22,Tolls!$D$7:$R$58,Tolls!$B36,0)),"Not Available",HLOOKUP(G$22,Tolls!$D$7:$R$58,Tolls!$B36,0))</f>
        <v>0.28631500000000004</v>
      </c>
      <c r="J50" s="17">
        <f t="shared" si="1"/>
        <v>0.34118499999999991</v>
      </c>
    </row>
    <row r="51" spans="1:10" x14ac:dyDescent="0.2">
      <c r="A51" s="1">
        <f>Prices!A37</f>
        <v>36281</v>
      </c>
      <c r="C51" s="23">
        <f>HLOOKUP(B$22,Prices!$C$8:$T$58,Prices!$B37,0)</f>
        <v>2.12</v>
      </c>
      <c r="E51" s="23">
        <f>HLOOKUP(D$22,Prices!$C$8:$T$58,Prices!$B37,0)</f>
        <v>2.4109677419354831</v>
      </c>
      <c r="F51" s="17">
        <f t="shared" si="0"/>
        <v>0.29096774193548303</v>
      </c>
      <c r="H51" s="17">
        <f>IF(ISERROR(HLOOKUP(G$22,Tolls!$D$7:$R$58,Tolls!$B37,0)),"Not Available",HLOOKUP(G$22,Tolls!$D$7:$R$58,Tolls!$B37,0))</f>
        <v>0.29153200000000001</v>
      </c>
      <c r="J51" s="17">
        <f t="shared" si="1"/>
        <v>-5.6425806451698701E-4</v>
      </c>
    </row>
    <row r="52" spans="1:10" x14ac:dyDescent="0.2">
      <c r="A52" s="1">
        <f>Prices!A38</f>
        <v>36312</v>
      </c>
      <c r="C52" s="23">
        <f>HLOOKUP(B$22,Prices!$C$8:$T$58,Prices!$B38,0)</f>
        <v>2.1</v>
      </c>
      <c r="E52" s="23">
        <f>HLOOKUP(D$22,Prices!$C$8:$T$58,Prices!$B38,0)</f>
        <v>2.4586666666666668</v>
      </c>
      <c r="F52" s="17">
        <f t="shared" si="0"/>
        <v>0.35866666666666669</v>
      </c>
      <c r="H52" s="17">
        <f>IF(ISERROR(HLOOKUP(G$22,Tolls!$D$7:$R$58,Tolls!$B38,0)),"Not Available",HLOOKUP(G$22,Tolls!$D$7:$R$58,Tolls!$B38,0))</f>
        <v>0.29131000000000001</v>
      </c>
      <c r="J52" s="17">
        <f t="shared" si="1"/>
        <v>6.7356666666666676E-2</v>
      </c>
    </row>
    <row r="53" spans="1:10" x14ac:dyDescent="0.2">
      <c r="A53" s="1">
        <f>Prices!A39</f>
        <v>36342</v>
      </c>
      <c r="C53" s="23">
        <f>HLOOKUP(B$22,Prices!$C$8:$T$58,Prices!$B39,0)</f>
        <v>2.21</v>
      </c>
      <c r="E53" s="23">
        <f>HLOOKUP(D$22,Prices!$C$8:$T$58,Prices!$B39,0)</f>
        <v>2.4770967741935483</v>
      </c>
      <c r="F53" s="17">
        <f t="shared" si="0"/>
        <v>0.26709677419354838</v>
      </c>
      <c r="H53" s="17">
        <f>IF(ISERROR(HLOOKUP(G$22,Tolls!$D$7:$R$58,Tolls!$B39,0)),"Not Available",HLOOKUP(G$22,Tolls!$D$7:$R$58,Tolls!$B39,0))</f>
        <v>0.29253100000000004</v>
      </c>
      <c r="J53" s="17">
        <f t="shared" si="1"/>
        <v>-2.543422580645166E-2</v>
      </c>
    </row>
    <row r="54" spans="1:10" x14ac:dyDescent="0.2">
      <c r="A54" s="1">
        <f>Prices!A40</f>
        <v>36373</v>
      </c>
      <c r="C54" s="23">
        <f>HLOOKUP(B$22,Prices!$C$8:$T$58,Prices!$B40,0)</f>
        <v>2.2799999999999998</v>
      </c>
      <c r="E54" s="23">
        <f>HLOOKUP(D$22,Prices!$C$8:$T$58,Prices!$B40,0)</f>
        <v>2.7438709677419348</v>
      </c>
      <c r="F54" s="17">
        <f t="shared" si="0"/>
        <v>0.46387096774193504</v>
      </c>
      <c r="H54" s="17">
        <f>IF(ISERROR(HLOOKUP(G$22,Tolls!$D$7:$R$58,Tolls!$B40,0)),"Not Available",HLOOKUP(G$22,Tolls!$D$7:$R$58,Tolls!$B40,0))</f>
        <v>0.29330800000000001</v>
      </c>
      <c r="J54" s="17">
        <f t="shared" si="1"/>
        <v>0.17056296774193502</v>
      </c>
    </row>
    <row r="55" spans="1:10" x14ac:dyDescent="0.2">
      <c r="A55" s="1">
        <f>Prices!A41</f>
        <v>36404</v>
      </c>
      <c r="C55" s="23">
        <f>HLOOKUP(B$22,Prices!$C$8:$T$58,Prices!$B41,0)</f>
        <v>2.64</v>
      </c>
      <c r="E55" s="23">
        <f>HLOOKUP(D$22,Prices!$C$8:$T$58,Prices!$B41,0)</f>
        <v>2.7884999999999995</v>
      </c>
      <c r="F55" s="17">
        <f t="shared" ref="F55:F72" si="2">E55-C55</f>
        <v>0.14849999999999941</v>
      </c>
      <c r="H55" s="17">
        <f>IF(ISERROR(HLOOKUP(G$22,Tolls!$D$7:$R$58,Tolls!$B41,0)),"Not Available",HLOOKUP(G$22,Tolls!$D$7:$R$58,Tolls!$B41,0))</f>
        <v>0.29730400000000001</v>
      </c>
      <c r="J55" s="17">
        <f t="shared" ref="J55:J72" si="3">F55-H55</f>
        <v>-0.1488040000000006</v>
      </c>
    </row>
    <row r="56" spans="1:10" x14ac:dyDescent="0.2">
      <c r="A56" s="1">
        <f>Prices!A42</f>
        <v>36434</v>
      </c>
      <c r="C56" s="23">
        <f>HLOOKUP(B$22,Prices!$C$8:$T$58,Prices!$B42,0)</f>
        <v>2.5499999999999998</v>
      </c>
      <c r="E56" s="23">
        <f>HLOOKUP(D$22,Prices!$C$8:$T$58,Prices!$B42,0)</f>
        <v>3.1562903225806451</v>
      </c>
      <c r="F56" s="17">
        <f t="shared" si="2"/>
        <v>0.6062903225806453</v>
      </c>
      <c r="H56" s="17">
        <f>IF(ISERROR(HLOOKUP(G$22,Tolls!$D$7:$R$58,Tolls!$B42,0)),"Not Available",HLOOKUP(G$22,Tolls!$D$7:$R$58,Tolls!$B42,0))</f>
        <v>0.29630500000000004</v>
      </c>
      <c r="J56" s="17">
        <f t="shared" si="3"/>
        <v>0.30998532258064526</v>
      </c>
    </row>
    <row r="57" spans="1:10" x14ac:dyDescent="0.2">
      <c r="A57" s="1">
        <f>Prices!A43</f>
        <v>36465</v>
      </c>
      <c r="C57" s="23">
        <f>HLOOKUP(B$22,Prices!$C$8:$T$58,Prices!$B43,0)</f>
        <v>3.01</v>
      </c>
      <c r="E57" s="23">
        <f>HLOOKUP(D$22,Prices!$C$8:$T$58,Prices!$B43,0)</f>
        <v>2.6666666666666661</v>
      </c>
      <c r="F57" s="17">
        <f t="shared" si="2"/>
        <v>-0.34333333333333371</v>
      </c>
      <c r="H57" s="17">
        <f>IF(ISERROR(HLOOKUP(G$22,Tolls!$D$7:$R$58,Tolls!$B43,0)),"Not Available",HLOOKUP(G$22,Tolls!$D$7:$R$58,Tolls!$B43,0))</f>
        <v>0.30141099999999998</v>
      </c>
      <c r="J57" s="17">
        <f t="shared" si="3"/>
        <v>-0.6447443333333337</v>
      </c>
    </row>
    <row r="58" spans="1:10" x14ac:dyDescent="0.2">
      <c r="A58" s="1">
        <f>Prices!A44</f>
        <v>36495</v>
      </c>
      <c r="C58" s="23">
        <f>HLOOKUP(B$22,Prices!$C$8:$T$58,Prices!$B44,0)</f>
        <v>2.31</v>
      </c>
      <c r="E58" s="23">
        <f>HLOOKUP(D$22,Prices!$C$8:$T$58,Prices!$B44,0)</f>
        <v>2.5098387096774193</v>
      </c>
      <c r="F58" s="17">
        <f t="shared" si="2"/>
        <v>0.19983870967741924</v>
      </c>
      <c r="H58" s="17">
        <f>IF(ISERROR(HLOOKUP(G$22,Tolls!$D$7:$R$58,Tolls!$B44,0)),"Not Available",HLOOKUP(G$22,Tolls!$D$7:$R$58,Tolls!$B44,0))</f>
        <v>0.29364100000000004</v>
      </c>
      <c r="J58" s="17">
        <f t="shared" si="3"/>
        <v>-9.3802290322580806E-2</v>
      </c>
    </row>
    <row r="59" spans="1:10" x14ac:dyDescent="0.2">
      <c r="A59" s="1">
        <f>Prices!A45</f>
        <v>36526</v>
      </c>
      <c r="C59" s="23">
        <f>HLOOKUP(B$22,Prices!$C$8:$T$58,Prices!$B45,0)</f>
        <v>2.3199999999999998</v>
      </c>
      <c r="E59" s="23">
        <f>HLOOKUP(D$22,Prices!$C$8:$T$58,Prices!$B45,0)</f>
        <v>2.4787096774193551</v>
      </c>
      <c r="F59" s="17">
        <f t="shared" si="2"/>
        <v>0.15870967741935527</v>
      </c>
      <c r="H59" s="17">
        <f>IF(ISERROR(HLOOKUP(G$22,Tolls!$D$7:$R$58,Tolls!$B45,0)),"Not Available",HLOOKUP(G$22,Tolls!$D$7:$R$58,Tolls!$B45,0))</f>
        <v>0.29375200000000001</v>
      </c>
      <c r="J59" s="17">
        <f t="shared" si="3"/>
        <v>-0.13504232258064475</v>
      </c>
    </row>
    <row r="60" spans="1:10" x14ac:dyDescent="0.2">
      <c r="A60" s="1">
        <f>Prices!A46</f>
        <v>36557</v>
      </c>
      <c r="C60" s="23">
        <f>HLOOKUP(B$22,Prices!$C$8:$T$58,Prices!$B46,0)</f>
        <v>2.4900000000000002</v>
      </c>
      <c r="E60" s="23">
        <f>HLOOKUP(D$22,Prices!$C$8:$T$58,Prices!$B46,0)</f>
        <v>2.6960344827586225</v>
      </c>
      <c r="F60" s="17">
        <f t="shared" si="2"/>
        <v>0.20603448275862224</v>
      </c>
      <c r="H60" s="17">
        <f>IF(ISERROR(HLOOKUP(G$22,Tolls!$D$7:$R$58,Tolls!$B46,0)),"Not Available",HLOOKUP(G$22,Tolls!$D$7:$R$58,Tolls!$B46,0))</f>
        <v>0.29563900000000004</v>
      </c>
      <c r="J60" s="17">
        <f t="shared" si="3"/>
        <v>-8.9604517241377801E-2</v>
      </c>
    </row>
    <row r="61" spans="1:10" x14ac:dyDescent="0.2">
      <c r="A61" s="1">
        <f>Prices!A47</f>
        <v>36586</v>
      </c>
      <c r="C61" s="23">
        <f>HLOOKUP(B$22,Prices!$C$8:$T$58,Prices!$B47,0)</f>
        <v>2.44</v>
      </c>
      <c r="E61" s="23">
        <f>HLOOKUP(D$22,Prices!$C$8:$T$58,Prices!$B47,0)</f>
        <v>2.9649999999999999</v>
      </c>
      <c r="F61" s="17">
        <f t="shared" si="2"/>
        <v>0.52499999999999991</v>
      </c>
      <c r="H61" s="17">
        <f>IF(ISERROR(HLOOKUP(G$22,Tolls!$D$7:$R$58,Tolls!$B47,0)),"Not Available",HLOOKUP(G$22,Tolls!$D$7:$R$58,Tolls!$B47,0))</f>
        <v>0.29508400000000001</v>
      </c>
      <c r="J61" s="17">
        <f t="shared" si="3"/>
        <v>0.2299159999999999</v>
      </c>
    </row>
    <row r="62" spans="1:10" x14ac:dyDescent="0.2">
      <c r="A62" s="1">
        <f>Prices!A48</f>
        <v>36617</v>
      </c>
      <c r="C62" s="23">
        <f>HLOOKUP(B$22,Prices!$C$8:$T$58,Prices!$B48,0)</f>
        <v>2.9</v>
      </c>
      <c r="E62" s="23">
        <f>HLOOKUP(D$22,Prices!$C$8:$T$58,Prices!$B48,0)</f>
        <v>3.085</v>
      </c>
      <c r="F62" s="17">
        <f t="shared" si="2"/>
        <v>0.18500000000000005</v>
      </c>
      <c r="H62" s="17">
        <f>IF(ISERROR(HLOOKUP(G$22,Tolls!$D$7:$R$58,Tolls!$B48,0)),"Not Available",HLOOKUP(G$22,Tolls!$D$7:$R$58,Tolls!$B48,0))</f>
        <v>0.30019000000000001</v>
      </c>
      <c r="J62" s="17">
        <f t="shared" si="3"/>
        <v>-0.11518999999999996</v>
      </c>
    </row>
    <row r="63" spans="1:10" x14ac:dyDescent="0.2">
      <c r="A63" s="1">
        <f>Prices!A49</f>
        <v>36647</v>
      </c>
      <c r="C63" s="23">
        <f>HLOOKUP(B$22,Prices!$C$8:$T$58,Prices!$B49,0)</f>
        <v>2.94</v>
      </c>
      <c r="E63" s="23">
        <f>HLOOKUP(D$22,Prices!$C$8:$T$58,Prices!$B49,0)</f>
        <v>3.6777419354838714</v>
      </c>
      <c r="F63" s="17">
        <f t="shared" si="2"/>
        <v>0.73774193548387146</v>
      </c>
      <c r="H63" s="17">
        <f>IF(ISERROR(HLOOKUP(G$22,Tolls!$D$7:$R$58,Tolls!$B49,0)),"Not Available",HLOOKUP(G$22,Tolls!$D$7:$R$58,Tolls!$B49,0))</f>
        <v>0.30063400000000001</v>
      </c>
      <c r="J63" s="17">
        <f t="shared" si="3"/>
        <v>0.43710793548387145</v>
      </c>
    </row>
    <row r="64" spans="1:10" x14ac:dyDescent="0.2">
      <c r="A64" s="1">
        <f>Prices!A50</f>
        <v>36678</v>
      </c>
      <c r="C64" s="23">
        <f>HLOOKUP(B$22,Prices!$C$8:$T$58,Prices!$B50,0)</f>
        <v>3.88</v>
      </c>
      <c r="E64" s="23">
        <f>HLOOKUP(D$22,Prices!$C$8:$T$58,Prices!$B50,0)</f>
        <v>4.6659999999999995</v>
      </c>
      <c r="F64" s="17">
        <f t="shared" si="2"/>
        <v>0.78599999999999959</v>
      </c>
      <c r="H64" s="17">
        <f>IF(ISERROR(HLOOKUP(G$22,Tolls!$D$7:$R$58,Tolls!$B50,0)),"Not Available",HLOOKUP(G$22,Tolls!$D$7:$R$58,Tolls!$B50,0))</f>
        <v>0.31106800000000001</v>
      </c>
      <c r="J64" s="17">
        <f t="shared" si="3"/>
        <v>0.47493199999999958</v>
      </c>
    </row>
    <row r="65" spans="1:10" x14ac:dyDescent="0.2">
      <c r="A65" s="1">
        <f>Prices!A51</f>
        <v>36708</v>
      </c>
      <c r="C65" s="23">
        <f>HLOOKUP(B$22,Prices!$C$8:$T$58,Prices!$B51,0)</f>
        <v>4.5</v>
      </c>
      <c r="E65" s="23">
        <f>HLOOKUP(D$22,Prices!$C$8:$T$58,Prices!$B51,0)</f>
        <v>4.395161290322581</v>
      </c>
      <c r="F65" s="17">
        <f t="shared" si="2"/>
        <v>-0.10483870967741904</v>
      </c>
      <c r="H65" s="17">
        <f>IF(ISERROR(HLOOKUP(G$22,Tolls!$D$7:$R$58,Tolls!$B51,0)),"Not Available",HLOOKUP(G$22,Tolls!$D$7:$R$58,Tolls!$B51,0))</f>
        <v>0.31795000000000001</v>
      </c>
      <c r="J65" s="17">
        <f t="shared" si="3"/>
        <v>-0.42278870967741905</v>
      </c>
    </row>
    <row r="66" spans="1:10" x14ac:dyDescent="0.2">
      <c r="A66" s="1">
        <f>Prices!A52</f>
        <v>36739</v>
      </c>
      <c r="C66" s="23">
        <f>HLOOKUP(B$22,Prices!$C$8:$T$58,Prices!$B52,0)</f>
        <v>3.99</v>
      </c>
      <c r="E66" s="23">
        <f>HLOOKUP(D$22,Prices!$C$8:$T$58,Prices!$B52,0)</f>
        <v>4.8640322580645154</v>
      </c>
      <c r="F66" s="17">
        <f t="shared" si="2"/>
        <v>0.87403225806451523</v>
      </c>
      <c r="H66" s="17">
        <f>IF(ISERROR(HLOOKUP(G$22,Tolls!$D$7:$R$58,Tolls!$B52,0)),"Not Available",HLOOKUP(G$22,Tolls!$D$7:$R$58,Tolls!$B52,0))</f>
        <v>0.31228900000000004</v>
      </c>
      <c r="J66" s="17">
        <f t="shared" si="3"/>
        <v>0.56174325806451519</v>
      </c>
    </row>
    <row r="67" spans="1:10" x14ac:dyDescent="0.2">
      <c r="A67" s="1">
        <f>Prices!A53</f>
        <v>36770</v>
      </c>
      <c r="C67" s="23">
        <f>HLOOKUP(B$22,Prices!$C$8:$T$58,Prices!$B53,0)</f>
        <v>5.91</v>
      </c>
      <c r="E67" s="23">
        <f>HLOOKUP(D$22,Prices!$C$8:$T$58,Prices!$B53,0)</f>
        <v>5.916333333333335</v>
      </c>
      <c r="F67" s="17">
        <f t="shared" si="2"/>
        <v>6.3333333333348563E-3</v>
      </c>
      <c r="H67" s="17">
        <f>IF(ISERROR(HLOOKUP(G$22,Tolls!$D$7:$R$58,Tolls!$B53,0)),"Not Available",HLOOKUP(G$22,Tolls!$D$7:$R$58,Tolls!$B53,0))</f>
        <v>0.33360100000000004</v>
      </c>
      <c r="J67" s="17">
        <f t="shared" si="3"/>
        <v>-0.32726766666666518</v>
      </c>
    </row>
    <row r="68" spans="1:10" x14ac:dyDescent="0.2">
      <c r="A68" s="1">
        <f>Prices!A54</f>
        <v>36800</v>
      </c>
      <c r="C68" s="23">
        <f>HLOOKUP(B$22,Prices!$C$8:$T$58,Prices!$B54,0)</f>
        <v>5.31</v>
      </c>
      <c r="E68" s="23">
        <f>HLOOKUP(D$22,Prices!$C$8:$T$58,Prices!$B54,0)</f>
        <v>5.5932258064516134</v>
      </c>
      <c r="F68" s="17">
        <f t="shared" si="2"/>
        <v>0.28322580645161377</v>
      </c>
      <c r="H68" s="17">
        <f>IF(ISERROR(HLOOKUP(G$22,Tolls!$D$7:$R$58,Tolls!$B54,0)),"Not Available",HLOOKUP(G$22,Tolls!$D$7:$R$58,Tolls!$B54,0))</f>
        <v>0.32694100000000004</v>
      </c>
      <c r="J68" s="17">
        <f t="shared" si="3"/>
        <v>-4.3715193548386266E-2</v>
      </c>
    </row>
    <row r="69" spans="1:10" x14ac:dyDescent="0.2">
      <c r="A69" s="1">
        <f>Prices!A55</f>
        <v>36831</v>
      </c>
      <c r="C69" s="23">
        <f>HLOOKUP(B$22,Prices!$C$8:$T$58,Prices!$B55,0)</f>
        <v>5.0599999999999996</v>
      </c>
      <c r="E69" s="23">
        <f>HLOOKUP(D$22,Prices!$C$8:$T$58,Prices!$B55,0)</f>
        <v>9.7668333333333326</v>
      </c>
      <c r="F69" s="17">
        <f t="shared" si="2"/>
        <v>4.706833333333333</v>
      </c>
      <c r="H69" s="17">
        <f>IF(ISERROR(HLOOKUP(G$22,Tolls!$D$7:$R$58,Tolls!$B55,0)),"Not Available",HLOOKUP(G$22,Tolls!$D$7:$R$58,Tolls!$B55,0))</f>
        <v>0.32416600000000001</v>
      </c>
      <c r="J69" s="17">
        <f t="shared" si="3"/>
        <v>4.382667333333333</v>
      </c>
    </row>
    <row r="70" spans="1:10" x14ac:dyDescent="0.2">
      <c r="A70" s="1">
        <f>Prices!A56</f>
        <v>36861</v>
      </c>
      <c r="C70" s="23">
        <f>HLOOKUP(B$22,Prices!$C$8:$T$58,Prices!$B56,0)</f>
        <v>13.53</v>
      </c>
      <c r="E70" s="23">
        <f>HLOOKUP(D$22,Prices!$C$8:$T$58,Prices!$B56,0)</f>
        <v>20.994838709677417</v>
      </c>
      <c r="F70" s="17">
        <f t="shared" si="2"/>
        <v>7.4648387096774176</v>
      </c>
      <c r="H70" s="17">
        <f>IF(ISERROR(HLOOKUP(G$22,Tolls!$D$7:$R$58,Tolls!$B56,0)),"Not Available",HLOOKUP(G$22,Tolls!$D$7:$R$58,Tolls!$B56,0))</f>
        <v>0.41818300000000003</v>
      </c>
      <c r="J70" s="17">
        <f t="shared" si="3"/>
        <v>7.0466557096774176</v>
      </c>
    </row>
    <row r="71" spans="1:10" x14ac:dyDescent="0.2">
      <c r="A71" s="1">
        <f>Prices!A57</f>
        <v>36892</v>
      </c>
      <c r="C71" s="23">
        <f>HLOOKUP(B$22,Prices!$C$8:$T$58,Prices!$B57,0)</f>
        <v>14.17</v>
      </c>
      <c r="E71" s="23">
        <f>HLOOKUP(D$22,Prices!$C$8:$T$58,Prices!$B57,0)</f>
        <v>10.738870967741933</v>
      </c>
      <c r="F71" s="17">
        <f t="shared" si="2"/>
        <v>-3.4311290322580668</v>
      </c>
      <c r="H71" s="17">
        <f>IF(ISERROR(HLOOKUP(G$22,Tolls!$D$7:$R$58,Tolls!$B57,0)),"Not Available",HLOOKUP(G$22,Tolls!$D$7:$R$58,Tolls!$B57,0))</f>
        <v>0.42528700000000003</v>
      </c>
      <c r="J71" s="17">
        <f t="shared" si="3"/>
        <v>-3.8564160322580667</v>
      </c>
    </row>
    <row r="72" spans="1:10" x14ac:dyDescent="0.2">
      <c r="A72" s="1">
        <f>Prices!A58</f>
        <v>36923</v>
      </c>
      <c r="C72" s="23">
        <f>HLOOKUP(B$22,Prices!$C$8:$T$58,Prices!$B58,0)</f>
        <v>9.77</v>
      </c>
      <c r="E72" s="23">
        <f>HLOOKUP(D$22,Prices!$C$8:$T$58,Prices!$B58,0)</f>
        <v>11.225454545454543</v>
      </c>
      <c r="F72" s="17">
        <f t="shared" si="2"/>
        <v>1.4554545454545433</v>
      </c>
      <c r="H72" s="17">
        <f>IF(ISERROR(HLOOKUP(G$22,Tolls!$D$7:$R$58,Tolls!$B58,0)),"Not Available",HLOOKUP(G$22,Tolls!$D$7:$R$58,Tolls!$B58,0))</f>
        <v>0.37644700000000003</v>
      </c>
      <c r="J72" s="17">
        <f t="shared" si="3"/>
        <v>1.0790075454545434</v>
      </c>
    </row>
    <row r="73" spans="1:10" x14ac:dyDescent="0.2">
      <c r="A73" s="1"/>
    </row>
    <row r="74" spans="1:10" x14ac:dyDescent="0.2">
      <c r="A74" s="1"/>
    </row>
    <row r="75" spans="1:10" x14ac:dyDescent="0.2">
      <c r="A75" s="1"/>
    </row>
    <row r="76" spans="1:10" x14ac:dyDescent="0.2">
      <c r="A76" s="1"/>
    </row>
    <row r="77" spans="1:10" x14ac:dyDescent="0.2">
      <c r="A77" s="1"/>
    </row>
    <row r="78" spans="1:10" x14ac:dyDescent="0.2">
      <c r="A78" s="1"/>
    </row>
    <row r="79" spans="1:10" x14ac:dyDescent="0.2">
      <c r="A79" s="1"/>
    </row>
    <row r="80" spans="1:10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</sheetData>
  <phoneticPr fontId="0" type="noConversion"/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361" r:id="rId3" name="Drop Down 1">
              <controlPr defaultSize="0" autoLine="0" autoPict="0">
                <anchor moveWithCells="1">
                  <from>
                    <xdr:col>2</xdr:col>
                    <xdr:colOff>95250</xdr:colOff>
                    <xdr:row>20</xdr:row>
                    <xdr:rowOff>28575</xdr:rowOff>
                  </from>
                  <to>
                    <xdr:col>2</xdr:col>
                    <xdr:colOff>2209800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2" r:id="rId4" name="Drop Down 2">
              <controlPr defaultSize="0" autoLine="0" autoPict="0">
                <anchor moveWithCells="1">
                  <from>
                    <xdr:col>4</xdr:col>
                    <xdr:colOff>66675</xdr:colOff>
                    <xdr:row>20</xdr:row>
                    <xdr:rowOff>19050</xdr:rowOff>
                  </from>
                  <to>
                    <xdr:col>4</xdr:col>
                    <xdr:colOff>2219325</xdr:colOff>
                    <xdr:row>20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7"/>
  <sheetViews>
    <sheetView showGridLines="0" workbookViewId="0">
      <selection activeCell="H11" sqref="H11"/>
    </sheetView>
  </sheetViews>
  <sheetFormatPr defaultRowHeight="12.75" x14ac:dyDescent="0.2"/>
  <cols>
    <col min="2" max="2" width="6.83203125" hidden="1" customWidth="1"/>
    <col min="3" max="3" width="39.33203125" customWidth="1"/>
    <col min="4" max="4" width="6.83203125" hidden="1" customWidth="1"/>
    <col min="5" max="5" width="39.6640625" customWidth="1"/>
    <col min="6" max="6" width="23" customWidth="1"/>
    <col min="7" max="7" width="6.83203125" hidden="1" customWidth="1"/>
    <col min="8" max="8" width="13.5" customWidth="1"/>
    <col min="10" max="10" width="15" customWidth="1"/>
  </cols>
  <sheetData>
    <row r="1" spans="1:1" s="22" customFormat="1" ht="18" x14ac:dyDescent="0.25">
      <c r="A1" s="22" t="s">
        <v>25</v>
      </c>
    </row>
    <row r="20" spans="1:10" x14ac:dyDescent="0.2">
      <c r="C20" s="4" t="s">
        <v>11</v>
      </c>
      <c r="D20" s="4"/>
      <c r="E20" s="4" t="s">
        <v>12</v>
      </c>
      <c r="G20" s="4"/>
    </row>
    <row r="21" spans="1:10" ht="18.75" customHeight="1" x14ac:dyDescent="0.2">
      <c r="F21" s="3" t="str">
        <f>HLOOKUP(B22,Prices!$C$5:$N$6,2,0)&amp;"/"&amp;HLOOKUP(D22,Prices!$C$5:$N$6,2,0)&amp;" Spread"</f>
        <v>AECO/PG&amp;E Spread</v>
      </c>
      <c r="H21" s="4" t="str">
        <f>HLOOKUP(G22,Tolls!$D$7:$P$8,2,0)&amp;" Toll"</f>
        <v>PGT Toll</v>
      </c>
      <c r="J21" s="4" t="s">
        <v>24</v>
      </c>
    </row>
    <row r="22" spans="1:10" x14ac:dyDescent="0.2">
      <c r="B22" s="13">
        <v>10</v>
      </c>
      <c r="D22" s="13">
        <v>12</v>
      </c>
      <c r="G22" s="13">
        <f>B22*1000+D22</f>
        <v>10012</v>
      </c>
    </row>
    <row r="23" spans="1:10" x14ac:dyDescent="0.2">
      <c r="A23" s="1">
        <f>Prices!A9</f>
        <v>35431</v>
      </c>
      <c r="C23" s="23">
        <f>HLOOKUP(B$22,Prices!$C$8:$T$58,Prices!$B9,0)</f>
        <v>2.8358064516129025</v>
      </c>
      <c r="E23" s="23">
        <f>HLOOKUP(D$22,Prices!$C$8:$T$58,Prices!$B9,0)</f>
        <v>4.1749999999999998</v>
      </c>
      <c r="F23" s="17">
        <f t="shared" ref="F23:F54" si="0">E23-C23</f>
        <v>1.3391935483870974</v>
      </c>
      <c r="H23" s="17">
        <f>IF(ISERROR(HLOOKUP(G$22,Tolls!$D$7:$R$58,Tolls!$B9,0)),"Not Available",HLOOKUP(G$22,Tolls!$D$7:$R$58,Tolls!$B9,0))</f>
        <v>0.99328800000000006</v>
      </c>
      <c r="J23" s="17">
        <f t="shared" ref="J23:J54" si="1">F23-H23</f>
        <v>0.34590554838709731</v>
      </c>
    </row>
    <row r="24" spans="1:10" x14ac:dyDescent="0.2">
      <c r="A24" s="1">
        <f>Prices!A10</f>
        <v>35462</v>
      </c>
      <c r="C24" s="23">
        <f>HLOOKUP(B$22,Prices!$C$8:$T$58,Prices!$B10,0)</f>
        <v>1.8896428571428567</v>
      </c>
      <c r="E24" s="23">
        <f>HLOOKUP(D$22,Prices!$C$8:$T$58,Prices!$B10,0)</f>
        <v>2.8010574620909821</v>
      </c>
      <c r="F24" s="17">
        <f t="shared" si="0"/>
        <v>0.91141460494812532</v>
      </c>
      <c r="H24" s="17">
        <f>IF(ISERROR(HLOOKUP(G$22,Tolls!$D$7:$R$58,Tolls!$B10,0)),"Not Available",HLOOKUP(G$22,Tolls!$D$7:$R$58,Tolls!$B10,0))</f>
        <v>0.97575000000000012</v>
      </c>
      <c r="J24" s="17">
        <f t="shared" si="1"/>
        <v>-6.43353950518748E-2</v>
      </c>
    </row>
    <row r="25" spans="1:10" x14ac:dyDescent="0.2">
      <c r="A25" s="1">
        <f>Prices!A11</f>
        <v>35490</v>
      </c>
      <c r="C25" s="23">
        <f>HLOOKUP(B$22,Prices!$C$8:$T$58,Prices!$B11,0)</f>
        <v>1.4790322580645161</v>
      </c>
      <c r="E25" s="23">
        <f>HLOOKUP(D$22,Prices!$C$8:$T$58,Prices!$B11,0)</f>
        <v>1.6951351351351354</v>
      </c>
      <c r="F25" s="17">
        <f t="shared" si="0"/>
        <v>0.21610287707061926</v>
      </c>
      <c r="H25" s="17">
        <f>IF(ISERROR(HLOOKUP(G$22,Tolls!$D$7:$R$58,Tolls!$B11,0)),"Not Available",HLOOKUP(G$22,Tolls!$D$7:$R$58,Tolls!$B11,0))</f>
        <v>0.96276300000000004</v>
      </c>
      <c r="J25" s="17">
        <f t="shared" si="1"/>
        <v>-0.74666012292938078</v>
      </c>
    </row>
    <row r="26" spans="1:10" x14ac:dyDescent="0.2">
      <c r="A26" s="1">
        <f>Prices!A12</f>
        <v>35521</v>
      </c>
      <c r="C26" s="23">
        <f>HLOOKUP(B$22,Prices!$C$8:$T$58,Prices!$B12,0)</f>
        <v>1.7768333333333335</v>
      </c>
      <c r="E26" s="23">
        <f>HLOOKUP(D$22,Prices!$C$8:$T$58,Prices!$B12,0)</f>
        <v>2.1314212827988337</v>
      </c>
      <c r="F26" s="17">
        <f t="shared" si="0"/>
        <v>0.35458794946550021</v>
      </c>
      <c r="H26" s="17">
        <f>IF(ISERROR(HLOOKUP(G$22,Tolls!$D$7:$R$58,Tolls!$B12,0)),"Not Available",HLOOKUP(G$22,Tolls!$D$7:$R$58,Tolls!$B12,0))</f>
        <v>0.96431700000000009</v>
      </c>
      <c r="J26" s="17">
        <f t="shared" si="1"/>
        <v>-0.60972905053449988</v>
      </c>
    </row>
    <row r="27" spans="1:10" x14ac:dyDescent="0.2">
      <c r="A27" s="1">
        <f>Prices!A13</f>
        <v>35551</v>
      </c>
      <c r="C27" s="23">
        <f>HLOOKUP(B$22,Prices!$C$8:$T$58,Prices!$B13,0)</f>
        <v>1.7177419354838706</v>
      </c>
      <c r="E27" s="23">
        <f>HLOOKUP(D$22,Prices!$C$8:$T$58,Prices!$B13,0)</f>
        <v>2.1165408057083388</v>
      </c>
      <c r="F27" s="17">
        <f t="shared" si="0"/>
        <v>0.39879887022446825</v>
      </c>
      <c r="H27" s="17">
        <f>IF(ISERROR(HLOOKUP(G$22,Tolls!$D$7:$R$58,Tolls!$B13,0)),"Not Available",HLOOKUP(G$22,Tolls!$D$7:$R$58,Tolls!$B13,0))</f>
        <v>0.96753600000000006</v>
      </c>
      <c r="J27" s="17">
        <f t="shared" si="1"/>
        <v>-0.56873712977553181</v>
      </c>
    </row>
    <row r="28" spans="1:10" x14ac:dyDescent="0.2">
      <c r="A28" s="1">
        <f>Prices!A14</f>
        <v>35582</v>
      </c>
      <c r="C28" s="23">
        <f>HLOOKUP(B$22,Prices!$C$8:$T$58,Prices!$B14,0)</f>
        <v>1.5523333333333331</v>
      </c>
      <c r="E28" s="23">
        <f>HLOOKUP(D$22,Prices!$C$8:$T$58,Prices!$B14,0)</f>
        <v>2.2310123456790123</v>
      </c>
      <c r="F28" s="17">
        <f t="shared" si="0"/>
        <v>0.67867901234567918</v>
      </c>
      <c r="H28" s="17">
        <f>IF(ISERROR(HLOOKUP(G$22,Tolls!$D$7:$R$58,Tolls!$B14,0)),"Not Available",HLOOKUP(G$22,Tolls!$D$7:$R$58,Tolls!$B14,0))</f>
        <v>0.96709200000000006</v>
      </c>
      <c r="J28" s="17">
        <f t="shared" si="1"/>
        <v>-0.28841298765432088</v>
      </c>
    </row>
    <row r="29" spans="1:10" x14ac:dyDescent="0.2">
      <c r="A29" s="1">
        <f>Prices!A15</f>
        <v>35612</v>
      </c>
      <c r="C29" s="23">
        <f>HLOOKUP(B$22,Prices!$C$8:$T$58,Prices!$B15,0)</f>
        <v>1.5072580645161289</v>
      </c>
      <c r="E29" s="23">
        <f>HLOOKUP(D$22,Prices!$C$8:$T$58,Prices!$B15,0)</f>
        <v>2.0237718743411341</v>
      </c>
      <c r="F29" s="17">
        <f t="shared" si="0"/>
        <v>0.51651380982500528</v>
      </c>
      <c r="H29" s="17">
        <f>IF(ISERROR(HLOOKUP(G$22,Tolls!$D$7:$R$58,Tolls!$B15,0)),"Not Available",HLOOKUP(G$22,Tolls!$D$7:$R$58,Tolls!$B15,0))</f>
        <v>0.96531600000000006</v>
      </c>
      <c r="J29" s="17">
        <f t="shared" si="1"/>
        <v>-0.44880219017499479</v>
      </c>
    </row>
    <row r="30" spans="1:10" x14ac:dyDescent="0.2">
      <c r="A30" s="1">
        <f>Prices!A16</f>
        <v>35643</v>
      </c>
      <c r="C30" s="23">
        <f>HLOOKUP(B$22,Prices!$C$8:$T$58,Prices!$B16,0)</f>
        <v>1.4969354838709679</v>
      </c>
      <c r="E30" s="23">
        <f>HLOOKUP(D$22,Prices!$C$8:$T$58,Prices!$B16,0)</f>
        <v>2.105892738616753</v>
      </c>
      <c r="F30" s="17">
        <f t="shared" si="0"/>
        <v>0.6089572547457851</v>
      </c>
      <c r="H30" s="17">
        <f>IF(ISERROR(HLOOKUP(G$22,Tolls!$D$7:$R$58,Tolls!$B16,0)),"Not Available",HLOOKUP(G$22,Tolls!$D$7:$R$58,Tolls!$B16,0))</f>
        <v>0.96476100000000009</v>
      </c>
      <c r="J30" s="17">
        <f t="shared" si="1"/>
        <v>-0.35580374525421499</v>
      </c>
    </row>
    <row r="31" spans="1:10" x14ac:dyDescent="0.2">
      <c r="A31" s="1">
        <f>Prices!A17</f>
        <v>35674</v>
      </c>
      <c r="C31" s="23">
        <f>HLOOKUP(B$22,Prices!$C$8:$T$58,Prices!$B17,0)</f>
        <v>1.4648333333333332</v>
      </c>
      <c r="E31" s="23">
        <f>HLOOKUP(D$22,Prices!$C$8:$T$58,Prices!$B17,0)</f>
        <v>2.117657989228007</v>
      </c>
      <c r="F31" s="17">
        <f t="shared" si="0"/>
        <v>0.65282465589467376</v>
      </c>
      <c r="H31" s="17">
        <f>IF(ISERROR(HLOOKUP(G$22,Tolls!$D$7:$R$58,Tolls!$B17,0)),"Not Available",HLOOKUP(G$22,Tolls!$D$7:$R$58,Tolls!$B17,0))</f>
        <v>0.96720300000000003</v>
      </c>
      <c r="J31" s="17">
        <f t="shared" si="1"/>
        <v>-0.31437834410532628</v>
      </c>
    </row>
    <row r="32" spans="1:10" x14ac:dyDescent="0.2">
      <c r="A32" s="1">
        <f>Prices!A18</f>
        <v>35704</v>
      </c>
      <c r="C32" s="23">
        <f>HLOOKUP(B$22,Prices!$C$8:$T$58,Prices!$B18,0)</f>
        <v>1.7343548387096772</v>
      </c>
      <c r="E32" s="23">
        <f>HLOOKUP(D$22,Prices!$C$8:$T$58,Prices!$B18,0)</f>
        <v>3.2222963939654119</v>
      </c>
      <c r="F32" s="17">
        <f t="shared" si="0"/>
        <v>1.4879415552557347</v>
      </c>
      <c r="H32" s="17">
        <f>IF(ISERROR(HLOOKUP(G$22,Tolls!$D$7:$R$58,Tolls!$B18,0)),"Not Available",HLOOKUP(G$22,Tolls!$D$7:$R$58,Tolls!$B18,0))</f>
        <v>0.97341900000000003</v>
      </c>
      <c r="J32" s="17">
        <f t="shared" si="1"/>
        <v>0.51452255525573465</v>
      </c>
    </row>
    <row r="33" spans="1:10" x14ac:dyDescent="0.2">
      <c r="A33" s="1">
        <f>Prices!A19</f>
        <v>35735</v>
      </c>
      <c r="C33" s="23">
        <f>HLOOKUP(B$22,Prices!$C$8:$T$58,Prices!$B19,0)</f>
        <v>1.6788333333333327</v>
      </c>
      <c r="E33" s="23">
        <f>HLOOKUP(D$22,Prices!$C$8:$T$58,Prices!$B19,0)</f>
        <v>2.7850877192982448</v>
      </c>
      <c r="F33" s="17">
        <f t="shared" si="0"/>
        <v>1.1062543859649121</v>
      </c>
      <c r="H33" s="17">
        <f>IF(ISERROR(HLOOKUP(G$22,Tolls!$D$7:$R$58,Tolls!$B19,0)),"Not Available",HLOOKUP(G$22,Tolls!$D$7:$R$58,Tolls!$B19,0))</f>
        <v>0.98141100000000003</v>
      </c>
      <c r="J33" s="17">
        <f t="shared" si="1"/>
        <v>0.12484338596491207</v>
      </c>
    </row>
    <row r="34" spans="1:10" x14ac:dyDescent="0.2">
      <c r="A34" s="1">
        <f>Prices!A20</f>
        <v>35765</v>
      </c>
      <c r="C34" s="23">
        <f>HLOOKUP(B$22,Prices!$C$8:$T$58,Prices!$B20,0)</f>
        <v>1.3391935483870963</v>
      </c>
      <c r="E34" s="23">
        <f>HLOOKUP(D$22,Prices!$C$8:$T$58,Prices!$B20,0)</f>
        <v>2.2899596774193549</v>
      </c>
      <c r="F34" s="17">
        <f t="shared" si="0"/>
        <v>0.95076612903225866</v>
      </c>
      <c r="H34" s="17">
        <f>IF(ISERROR(HLOOKUP(G$22,Tolls!$D$7:$R$58,Tolls!$B20,0)),"Not Available",HLOOKUP(G$22,Tolls!$D$7:$R$58,Tolls!$B20,0))</f>
        <v>0.96920100000000009</v>
      </c>
      <c r="J34" s="17">
        <f t="shared" si="1"/>
        <v>-1.8434870967741435E-2</v>
      </c>
    </row>
    <row r="35" spans="1:10" x14ac:dyDescent="0.2">
      <c r="A35" s="1">
        <f>Prices!A21</f>
        <v>35796</v>
      </c>
      <c r="C35" s="23">
        <f>HLOOKUP(B$22,Prices!$C$8:$T$58,Prices!$B21,0)</f>
        <v>1.4580645161290322</v>
      </c>
      <c r="E35" s="23">
        <f>HLOOKUP(D$22,Prices!$C$8:$T$58,Prices!$B21,0)</f>
        <v>2.2888510638297874</v>
      </c>
      <c r="F35" s="17">
        <f t="shared" si="0"/>
        <v>0.83078654770075522</v>
      </c>
      <c r="H35" s="17">
        <f>IF(ISERROR(HLOOKUP(G$22,Tolls!$D$7:$R$58,Tolls!$B21,0)),"Not Available",HLOOKUP(G$22,Tolls!$D$7:$R$58,Tolls!$B21,0))</f>
        <v>0.97086600000000001</v>
      </c>
      <c r="J35" s="17">
        <f t="shared" si="1"/>
        <v>-0.14007945229924479</v>
      </c>
    </row>
    <row r="36" spans="1:10" x14ac:dyDescent="0.2">
      <c r="A36" s="1">
        <f>Prices!A22</f>
        <v>35827</v>
      </c>
      <c r="C36" s="23">
        <f>HLOOKUP(B$22,Prices!$C$8:$T$58,Prices!$B22,0)</f>
        <v>1.6378571428571429</v>
      </c>
      <c r="E36" s="23">
        <f>HLOOKUP(D$22,Prices!$C$8:$T$58,Prices!$B22,0)</f>
        <v>2.0755186097427489</v>
      </c>
      <c r="F36" s="17">
        <f t="shared" si="0"/>
        <v>0.43766146688560603</v>
      </c>
      <c r="H36" s="17">
        <f>IF(ISERROR(HLOOKUP(G$22,Tolls!$D$7:$R$58,Tolls!$B22,0)),"Not Available",HLOOKUP(G$22,Tolls!$D$7:$R$58,Tolls!$B22,0))</f>
        <v>0.96764700000000015</v>
      </c>
      <c r="J36" s="17">
        <f t="shared" si="1"/>
        <v>-0.52998553311439411</v>
      </c>
    </row>
    <row r="37" spans="1:10" x14ac:dyDescent="0.2">
      <c r="A37" s="1">
        <f>Prices!A23</f>
        <v>35855</v>
      </c>
      <c r="C37" s="23">
        <f>HLOOKUP(B$22,Prices!$C$8:$T$58,Prices!$B23,0)</f>
        <v>1.7538709677419351</v>
      </c>
      <c r="E37" s="23">
        <f>HLOOKUP(D$22,Prices!$C$8:$T$58,Prices!$B23,0)</f>
        <v>2.5052186878727638</v>
      </c>
      <c r="F37" s="17">
        <f t="shared" si="0"/>
        <v>0.75134772013082873</v>
      </c>
      <c r="H37" s="17">
        <f>IF(ISERROR(HLOOKUP(G$22,Tolls!$D$7:$R$58,Tolls!$B23,0)),"Not Available",HLOOKUP(G$22,Tolls!$D$7:$R$58,Tolls!$B23,0))</f>
        <v>0.96920100000000009</v>
      </c>
      <c r="J37" s="17">
        <f t="shared" si="1"/>
        <v>-0.21785327986917136</v>
      </c>
    </row>
    <row r="38" spans="1:10" x14ac:dyDescent="0.2">
      <c r="A38" s="1">
        <f>Prices!A24</f>
        <v>35886</v>
      </c>
      <c r="C38" s="23">
        <f>HLOOKUP(B$22,Prices!$C$8:$T$58,Prices!$B24,0)</f>
        <v>2.2163333333333335</v>
      </c>
      <c r="E38" s="23">
        <f>HLOOKUP(D$22,Prices!$C$8:$T$58,Prices!$B24,0)</f>
        <v>2.2616385135135135</v>
      </c>
      <c r="F38" s="17">
        <f t="shared" si="0"/>
        <v>4.5305180180180038E-2</v>
      </c>
      <c r="H38" s="17">
        <f>IF(ISERROR(HLOOKUP(G$22,Tolls!$D$7:$R$58,Tolls!$B24,0)),"Not Available",HLOOKUP(G$22,Tolls!$D$7:$R$58,Tolls!$B24,0))</f>
        <v>0.96986700000000003</v>
      </c>
      <c r="J38" s="17">
        <f t="shared" si="1"/>
        <v>-0.92456181981982</v>
      </c>
    </row>
    <row r="39" spans="1:10" x14ac:dyDescent="0.2">
      <c r="A39" s="1">
        <f>Prices!A25</f>
        <v>35916</v>
      </c>
      <c r="C39" s="23">
        <f>HLOOKUP(B$22,Prices!$C$8:$T$58,Prices!$B25,0)</f>
        <v>1.7604838709677417</v>
      </c>
      <c r="E39" s="23">
        <f>HLOOKUP(D$22,Prices!$C$8:$T$58,Prices!$B25,0)</f>
        <v>2.2549999999999999</v>
      </c>
      <c r="F39" s="17">
        <f t="shared" si="0"/>
        <v>0.49451612903225817</v>
      </c>
      <c r="H39" s="17">
        <f>IF(ISERROR(HLOOKUP(G$22,Tolls!$D$7:$R$58,Tolls!$B25,0)),"Not Available",HLOOKUP(G$22,Tolls!$D$7:$R$58,Tolls!$B25,0))</f>
        <v>0.97219800000000012</v>
      </c>
      <c r="J39" s="17">
        <f t="shared" si="1"/>
        <v>-0.47768187096774195</v>
      </c>
    </row>
    <row r="40" spans="1:10" x14ac:dyDescent="0.2">
      <c r="A40" s="1">
        <f>Prices!A26</f>
        <v>35947</v>
      </c>
      <c r="C40" s="23">
        <f>HLOOKUP(B$22,Prices!$C$8:$T$58,Prices!$B26,0)</f>
        <v>1.8073333333333339</v>
      </c>
      <c r="E40" s="23">
        <f>HLOOKUP(D$22,Prices!$C$8:$T$58,Prices!$B26,0)</f>
        <v>2.075333333333333</v>
      </c>
      <c r="F40" s="17">
        <f t="shared" si="0"/>
        <v>0.26799999999999913</v>
      </c>
      <c r="H40" s="17">
        <f>IF(ISERROR(HLOOKUP(G$22,Tolls!$D$7:$R$58,Tolls!$B26,0)),"Not Available",HLOOKUP(G$22,Tolls!$D$7:$R$58,Tolls!$B26,0))</f>
        <v>0.96664800000000006</v>
      </c>
      <c r="J40" s="17">
        <f t="shared" si="1"/>
        <v>-0.69864800000000093</v>
      </c>
    </row>
    <row r="41" spans="1:10" x14ac:dyDescent="0.2">
      <c r="A41" s="1">
        <f>Prices!A27</f>
        <v>35977</v>
      </c>
      <c r="C41" s="23">
        <f>HLOOKUP(B$22,Prices!$C$8:$T$58,Prices!$B27,0)</f>
        <v>1.9741935483870965</v>
      </c>
      <c r="E41" s="23">
        <f>HLOOKUP(D$22,Prices!$C$8:$T$58,Prices!$B27,0)</f>
        <v>2.4371666666666667</v>
      </c>
      <c r="F41" s="17">
        <f t="shared" si="0"/>
        <v>0.46297311827957022</v>
      </c>
      <c r="H41" s="17">
        <f>IF(ISERROR(HLOOKUP(G$22,Tolls!$D$7:$R$58,Tolls!$B27,0)),"Not Available",HLOOKUP(G$22,Tolls!$D$7:$R$58,Tolls!$B27,0))</f>
        <v>0.96809100000000003</v>
      </c>
      <c r="J41" s="17">
        <f t="shared" si="1"/>
        <v>-0.50511788172042982</v>
      </c>
    </row>
    <row r="42" spans="1:10" x14ac:dyDescent="0.2">
      <c r="A42" s="1">
        <f>Prices!A28</f>
        <v>36008</v>
      </c>
      <c r="C42" s="23">
        <f>HLOOKUP(B$22,Prices!$C$8:$T$58,Prices!$B28,0)</f>
        <v>1.7622580645161283</v>
      </c>
      <c r="E42" s="23">
        <f>HLOOKUP(D$22,Prices!$C$8:$T$58,Prices!$B28,0)</f>
        <v>2.3982258064516118</v>
      </c>
      <c r="F42" s="17">
        <f t="shared" si="0"/>
        <v>0.63596774193548344</v>
      </c>
      <c r="H42" s="17">
        <f>IF(ISERROR(HLOOKUP(G$22,Tolls!$D$7:$R$58,Tolls!$B28,0)),"Not Available",HLOOKUP(G$22,Tolls!$D$7:$R$58,Tolls!$B28,0))</f>
        <v>0.97064400000000006</v>
      </c>
      <c r="J42" s="17">
        <f t="shared" si="1"/>
        <v>-0.33467625806451662</v>
      </c>
    </row>
    <row r="43" spans="1:10" x14ac:dyDescent="0.2">
      <c r="A43" s="1">
        <f>Prices!A29</f>
        <v>36039</v>
      </c>
      <c r="C43" s="23">
        <f>HLOOKUP(B$22,Prices!$C$8:$T$58,Prices!$B29,0)</f>
        <v>2.0070000000000001</v>
      </c>
      <c r="E43" s="23">
        <f>HLOOKUP(D$22,Prices!$C$8:$T$58,Prices!$B29,0)</f>
        <v>2.3041379310344814</v>
      </c>
      <c r="F43" s="17">
        <f t="shared" si="0"/>
        <v>0.29713793103448127</v>
      </c>
      <c r="H43" s="17">
        <f>IF(ISERROR(HLOOKUP(G$22,Tolls!$D$7:$R$58,Tolls!$B29,0)),"Not Available",HLOOKUP(G$22,Tolls!$D$7:$R$58,Tolls!$B29,0))</f>
        <v>0.96775800000000012</v>
      </c>
      <c r="J43" s="17">
        <f t="shared" si="1"/>
        <v>-0.67062006896551885</v>
      </c>
    </row>
    <row r="44" spans="1:10" x14ac:dyDescent="0.2">
      <c r="A44" s="1">
        <f>Prices!A30</f>
        <v>36069</v>
      </c>
      <c r="C44" s="23">
        <f>HLOOKUP(B$22,Prices!$C$8:$T$58,Prices!$B30,0)</f>
        <v>2.3535483870967742</v>
      </c>
      <c r="E44" s="23">
        <f>HLOOKUP(D$22,Prices!$C$8:$T$58,Prices!$B30,0)</f>
        <v>2.3846774193548392</v>
      </c>
      <c r="F44" s="17">
        <f t="shared" si="0"/>
        <v>3.112903225806507E-2</v>
      </c>
      <c r="H44" s="17">
        <f>IF(ISERROR(HLOOKUP(G$22,Tolls!$D$7:$R$58,Tolls!$B30,0)),"Not Available",HLOOKUP(G$22,Tolls!$D$7:$R$58,Tolls!$B30,0))</f>
        <v>0.96798000000000006</v>
      </c>
      <c r="J44" s="17">
        <f t="shared" si="1"/>
        <v>-0.93685096774193499</v>
      </c>
    </row>
    <row r="45" spans="1:10" x14ac:dyDescent="0.2">
      <c r="A45" s="1">
        <f>Prices!A31</f>
        <v>36100</v>
      </c>
      <c r="C45" s="23">
        <f>HLOOKUP(B$22,Prices!$C$8:$T$58,Prices!$B31,0)</f>
        <v>2.5248333333333335</v>
      </c>
      <c r="E45" s="23">
        <f>HLOOKUP(D$22,Prices!$C$8:$T$58,Prices!$B31,0)</f>
        <v>2.5983928571428581</v>
      </c>
      <c r="F45" s="17">
        <f t="shared" si="0"/>
        <v>7.3559523809524574E-2</v>
      </c>
      <c r="H45" s="17">
        <f>IF(ISERROR(HLOOKUP(G$22,Tolls!$D$7:$R$58,Tolls!$B31,0)),"Not Available",HLOOKUP(G$22,Tolls!$D$7:$R$58,Tolls!$B31,0))</f>
        <v>0.97286400000000006</v>
      </c>
      <c r="J45" s="17">
        <f t="shared" si="1"/>
        <v>-0.89930447619047549</v>
      </c>
    </row>
    <row r="46" spans="1:10" x14ac:dyDescent="0.2">
      <c r="A46" s="1">
        <f>Prices!A32</f>
        <v>36130</v>
      </c>
      <c r="C46" s="23">
        <f>HLOOKUP(B$22,Prices!$C$8:$T$58,Prices!$B32,0)</f>
        <v>2.222258064516129</v>
      </c>
      <c r="E46" s="23">
        <f>HLOOKUP(D$22,Prices!$C$8:$T$58,Prices!$B32,0)</f>
        <v>2.5518965517241377</v>
      </c>
      <c r="F46" s="17">
        <f t="shared" si="0"/>
        <v>0.3296384872080087</v>
      </c>
      <c r="H46" s="17">
        <f>IF(ISERROR(HLOOKUP(G$22,Tolls!$D$7:$R$58,Tolls!$B32,0)),"Not Available",HLOOKUP(G$22,Tolls!$D$7:$R$58,Tolls!$B32,0))</f>
        <v>0.97197600000000006</v>
      </c>
      <c r="J46" s="17">
        <f t="shared" si="1"/>
        <v>-0.64233751279199136</v>
      </c>
    </row>
    <row r="47" spans="1:10" x14ac:dyDescent="0.2">
      <c r="A47" s="1">
        <f>Prices!A33</f>
        <v>36161</v>
      </c>
      <c r="C47" s="23">
        <f>HLOOKUP(B$22,Prices!$C$8:$T$58,Prices!$B33,0)</f>
        <v>2.3129032258064517</v>
      </c>
      <c r="E47" s="23">
        <f>HLOOKUP(D$22,Prices!$C$8:$T$58,Prices!$B33,0)</f>
        <v>2.0750000000000002</v>
      </c>
      <c r="F47" s="17">
        <f t="shared" si="0"/>
        <v>-0.23790322580645151</v>
      </c>
      <c r="H47" s="17">
        <f>IF(ISERROR(HLOOKUP(G$22,Tolls!$D$7:$R$58,Tolls!$B33,0)),"Not Available",HLOOKUP(G$22,Tolls!$D$7:$R$58,Tolls!$B33,0))</f>
        <v>0.97142100000000009</v>
      </c>
      <c r="J47" s="17">
        <f t="shared" si="1"/>
        <v>-1.2093242258064516</v>
      </c>
    </row>
    <row r="48" spans="1:10" x14ac:dyDescent="0.2">
      <c r="A48" s="1">
        <f>Prices!A34</f>
        <v>36192</v>
      </c>
      <c r="C48" s="23">
        <f>HLOOKUP(B$22,Prices!$C$8:$T$58,Prices!$B34,0)</f>
        <v>2.2437499999999999</v>
      </c>
      <c r="E48" s="23">
        <f>HLOOKUP(D$22,Prices!$C$8:$T$58,Prices!$B34,0)</f>
        <v>1.9471428571428575</v>
      </c>
      <c r="F48" s="17">
        <f t="shared" si="0"/>
        <v>-0.2966071428571424</v>
      </c>
      <c r="H48" s="17">
        <f>IF(ISERROR(HLOOKUP(G$22,Tolls!$D$7:$R$58,Tolls!$B34,0)),"Not Available",HLOOKUP(G$22,Tolls!$D$7:$R$58,Tolls!$B34,0))</f>
        <v>0.96742500000000009</v>
      </c>
      <c r="J48" s="17">
        <f t="shared" si="1"/>
        <v>-1.2640321428571424</v>
      </c>
    </row>
    <row r="49" spans="1:10" x14ac:dyDescent="0.2">
      <c r="A49" s="1">
        <f>Prices!A35</f>
        <v>36220</v>
      </c>
      <c r="C49" s="23">
        <f>HLOOKUP(B$22,Prices!$C$8:$T$58,Prices!$B35,0)</f>
        <v>2.2025806451612904</v>
      </c>
      <c r="E49" s="23">
        <f>HLOOKUP(D$22,Prices!$C$8:$T$58,Prices!$B35,0)</f>
        <v>1.92</v>
      </c>
      <c r="F49" s="17">
        <f t="shared" si="0"/>
        <v>-0.28258064516129044</v>
      </c>
      <c r="H49" s="17">
        <f>IF(ISERROR(HLOOKUP(G$22,Tolls!$D$7:$R$58,Tolls!$B35,0)),"Not Available",HLOOKUP(G$22,Tolls!$D$7:$R$58,Tolls!$B35,0))</f>
        <v>0.96598200000000012</v>
      </c>
      <c r="J49" s="17">
        <f t="shared" si="1"/>
        <v>-1.2485626451612906</v>
      </c>
    </row>
    <row r="50" spans="1:10" x14ac:dyDescent="0.2">
      <c r="A50" s="1">
        <f>Prices!A36</f>
        <v>36251</v>
      </c>
      <c r="C50" s="23">
        <f>HLOOKUP(B$22,Prices!$C$8:$T$58,Prices!$B36,0)</f>
        <v>2.5260000000000002</v>
      </c>
      <c r="E50" s="23">
        <f>HLOOKUP(D$22,Prices!$C$8:$T$58,Prices!$B36,0)</f>
        <v>2.2774999999999999</v>
      </c>
      <c r="F50" s="17">
        <f t="shared" si="0"/>
        <v>-0.24850000000000039</v>
      </c>
      <c r="H50" s="17">
        <f>IF(ISERROR(HLOOKUP(G$22,Tolls!$D$7:$R$58,Tolls!$B36,0)),"Not Available",HLOOKUP(G$22,Tolls!$D$7:$R$58,Tolls!$B36,0))</f>
        <v>0.96631500000000004</v>
      </c>
      <c r="J50" s="17">
        <f t="shared" si="1"/>
        <v>-1.2148150000000004</v>
      </c>
    </row>
    <row r="51" spans="1:10" x14ac:dyDescent="0.2">
      <c r="A51" s="1">
        <f>Prices!A37</f>
        <v>36281</v>
      </c>
      <c r="C51" s="23">
        <f>HLOOKUP(B$22,Prices!$C$8:$T$58,Prices!$B37,0)</f>
        <v>2.6993548387096782</v>
      </c>
      <c r="E51" s="23">
        <f>HLOOKUP(D$22,Prices!$C$8:$T$58,Prices!$B37,0)</f>
        <v>2.4109677419354831</v>
      </c>
      <c r="F51" s="17">
        <f t="shared" si="0"/>
        <v>-0.28838709677419505</v>
      </c>
      <c r="H51" s="17">
        <f>IF(ISERROR(HLOOKUP(G$22,Tolls!$D$7:$R$58,Tolls!$B37,0)),"Not Available",HLOOKUP(G$22,Tolls!$D$7:$R$58,Tolls!$B37,0))</f>
        <v>0.97153200000000006</v>
      </c>
      <c r="J51" s="17">
        <f t="shared" si="1"/>
        <v>-1.2599190967741951</v>
      </c>
    </row>
    <row r="52" spans="1:10" x14ac:dyDescent="0.2">
      <c r="A52" s="1">
        <f>Prices!A38</f>
        <v>36312</v>
      </c>
      <c r="C52" s="23">
        <f>HLOOKUP(B$22,Prices!$C$8:$T$58,Prices!$B38,0)</f>
        <v>2.7919999999999998</v>
      </c>
      <c r="E52" s="23">
        <f>HLOOKUP(D$22,Prices!$C$8:$T$58,Prices!$B38,0)</f>
        <v>2.4586666666666668</v>
      </c>
      <c r="F52" s="17">
        <f t="shared" si="0"/>
        <v>-0.33333333333333304</v>
      </c>
      <c r="H52" s="17">
        <f>IF(ISERROR(HLOOKUP(G$22,Tolls!$D$7:$R$58,Tolls!$B38,0)),"Not Available",HLOOKUP(G$22,Tolls!$D$7:$R$58,Tolls!$B38,0))</f>
        <v>0.97131000000000012</v>
      </c>
      <c r="J52" s="17">
        <f t="shared" si="1"/>
        <v>-1.3046433333333332</v>
      </c>
    </row>
    <row r="53" spans="1:10" x14ac:dyDescent="0.2">
      <c r="A53" s="1">
        <f>Prices!A39</f>
        <v>36342</v>
      </c>
      <c r="C53" s="23">
        <f>HLOOKUP(B$22,Prices!$C$8:$T$58,Prices!$B39,0)</f>
        <v>2.7812903225806451</v>
      </c>
      <c r="E53" s="23">
        <f>HLOOKUP(D$22,Prices!$C$8:$T$58,Prices!$B39,0)</f>
        <v>2.4770967741935483</v>
      </c>
      <c r="F53" s="17">
        <f t="shared" si="0"/>
        <v>-0.30419354838709678</v>
      </c>
      <c r="H53" s="17">
        <f>IF(ISERROR(HLOOKUP(G$22,Tolls!$D$7:$R$58,Tolls!$B39,0)),"Not Available",HLOOKUP(G$22,Tolls!$D$7:$R$58,Tolls!$B39,0))</f>
        <v>0.97253100000000003</v>
      </c>
      <c r="J53" s="17">
        <f t="shared" si="1"/>
        <v>-1.2767245483870968</v>
      </c>
    </row>
    <row r="54" spans="1:10" x14ac:dyDescent="0.2">
      <c r="A54" s="1">
        <f>Prices!A40</f>
        <v>36373</v>
      </c>
      <c r="C54" s="23">
        <f>HLOOKUP(B$22,Prices!$C$8:$T$58,Prices!$B40,0)</f>
        <v>3.250322580645161</v>
      </c>
      <c r="E54" s="23">
        <f>HLOOKUP(D$22,Prices!$C$8:$T$58,Prices!$B40,0)</f>
        <v>2.7438709677419348</v>
      </c>
      <c r="F54" s="17">
        <f t="shared" si="0"/>
        <v>-0.50645161290322616</v>
      </c>
      <c r="H54" s="17">
        <f>IF(ISERROR(HLOOKUP(G$22,Tolls!$D$7:$R$58,Tolls!$B40,0)),"Not Available",HLOOKUP(G$22,Tolls!$D$7:$R$58,Tolls!$B40,0))</f>
        <v>0.97330800000000006</v>
      </c>
      <c r="J54" s="17">
        <f t="shared" si="1"/>
        <v>-1.4797596129032262</v>
      </c>
    </row>
    <row r="55" spans="1:10" x14ac:dyDescent="0.2">
      <c r="A55" s="1">
        <f>Prices!A41</f>
        <v>36404</v>
      </c>
      <c r="C55" s="23">
        <f>HLOOKUP(B$22,Prices!$C$8:$T$58,Prices!$B41,0)</f>
        <v>3.1150000000000002</v>
      </c>
      <c r="E55" s="23">
        <f>HLOOKUP(D$22,Prices!$C$8:$T$58,Prices!$B41,0)</f>
        <v>2.7884999999999995</v>
      </c>
      <c r="F55" s="17">
        <f t="shared" ref="F55:F72" si="2">E55-C55</f>
        <v>-0.32650000000000068</v>
      </c>
      <c r="H55" s="17">
        <f>IF(ISERROR(HLOOKUP(G$22,Tolls!$D$7:$R$58,Tolls!$B41,0)),"Not Available",HLOOKUP(G$22,Tolls!$D$7:$R$58,Tolls!$B41,0))</f>
        <v>0.97730400000000006</v>
      </c>
      <c r="J55" s="17">
        <f t="shared" ref="J55:J72" si="3">F55-H55</f>
        <v>-1.3038040000000009</v>
      </c>
    </row>
    <row r="56" spans="1:10" x14ac:dyDescent="0.2">
      <c r="A56" s="1">
        <f>Prices!A42</f>
        <v>36434</v>
      </c>
      <c r="C56" s="23">
        <f>HLOOKUP(B$22,Prices!$C$8:$T$58,Prices!$B42,0)</f>
        <v>3.5780645161290319</v>
      </c>
      <c r="E56" s="23">
        <f>HLOOKUP(D$22,Prices!$C$8:$T$58,Prices!$B42,0)</f>
        <v>3.1562903225806451</v>
      </c>
      <c r="F56" s="17">
        <f t="shared" si="2"/>
        <v>-0.42177419354838674</v>
      </c>
      <c r="H56" s="17">
        <f>IF(ISERROR(HLOOKUP(G$22,Tolls!$D$7:$R$58,Tolls!$B42,0)),"Not Available",HLOOKUP(G$22,Tolls!$D$7:$R$58,Tolls!$B42,0))</f>
        <v>0.97630500000000009</v>
      </c>
      <c r="J56" s="17">
        <f t="shared" si="3"/>
        <v>-1.3980791935483867</v>
      </c>
    </row>
    <row r="57" spans="1:10" x14ac:dyDescent="0.2">
      <c r="A57" s="1">
        <f>Prices!A43</f>
        <v>36465</v>
      </c>
      <c r="C57" s="23">
        <f>HLOOKUP(B$22,Prices!$C$8:$T$58,Prices!$B43,0)</f>
        <v>2.8945000000000007</v>
      </c>
      <c r="E57" s="23">
        <f>HLOOKUP(D$22,Prices!$C$8:$T$58,Prices!$B43,0)</f>
        <v>2.6666666666666661</v>
      </c>
      <c r="F57" s="17">
        <f t="shared" si="2"/>
        <v>-0.22783333333333466</v>
      </c>
      <c r="H57" s="17">
        <f>IF(ISERROR(HLOOKUP(G$22,Tolls!$D$7:$R$58,Tolls!$B43,0)),"Not Available",HLOOKUP(G$22,Tolls!$D$7:$R$58,Tolls!$B43,0))</f>
        <v>0.98141100000000003</v>
      </c>
      <c r="J57" s="17">
        <f t="shared" si="3"/>
        <v>-1.2092443333333347</v>
      </c>
    </row>
    <row r="58" spans="1:10" x14ac:dyDescent="0.2">
      <c r="A58" s="1">
        <f>Prices!A44</f>
        <v>36495</v>
      </c>
      <c r="C58" s="23">
        <f>HLOOKUP(B$22,Prices!$C$8:$T$58,Prices!$B44,0)</f>
        <v>2.790322580645161</v>
      </c>
      <c r="E58" s="23">
        <f>HLOOKUP(D$22,Prices!$C$8:$T$58,Prices!$B44,0)</f>
        <v>2.5098387096774193</v>
      </c>
      <c r="F58" s="17">
        <f t="shared" si="2"/>
        <v>-0.28048387096774174</v>
      </c>
      <c r="H58" s="17">
        <f>IF(ISERROR(HLOOKUP(G$22,Tolls!$D$7:$R$58,Tolls!$B44,0)),"Not Available",HLOOKUP(G$22,Tolls!$D$7:$R$58,Tolls!$B44,0))</f>
        <v>0.97364100000000009</v>
      </c>
      <c r="J58" s="17">
        <f t="shared" si="3"/>
        <v>-1.2541248709677419</v>
      </c>
    </row>
    <row r="59" spans="1:10" x14ac:dyDescent="0.2">
      <c r="A59" s="1">
        <f>Prices!A45</f>
        <v>36526</v>
      </c>
      <c r="C59" s="23">
        <f>HLOOKUP(B$22,Prices!$C$8:$T$58,Prices!$B45,0)</f>
        <v>2.827096774193548</v>
      </c>
      <c r="E59" s="23">
        <f>HLOOKUP(D$22,Prices!$C$8:$T$58,Prices!$B45,0)</f>
        <v>2.4787096774193551</v>
      </c>
      <c r="F59" s="17">
        <f t="shared" si="2"/>
        <v>-0.34838709677419288</v>
      </c>
      <c r="H59" s="17">
        <f>IF(ISERROR(HLOOKUP(G$22,Tolls!$D$7:$R$58,Tolls!$B45,0)),"Not Available",HLOOKUP(G$22,Tolls!$D$7:$R$58,Tolls!$B45,0))</f>
        <v>0.97375200000000006</v>
      </c>
      <c r="J59" s="17">
        <f t="shared" si="3"/>
        <v>-1.3221390967741931</v>
      </c>
    </row>
    <row r="60" spans="1:10" x14ac:dyDescent="0.2">
      <c r="A60" s="1">
        <f>Prices!A46</f>
        <v>36557</v>
      </c>
      <c r="C60" s="23">
        <f>HLOOKUP(B$22,Prices!$C$8:$T$58,Prices!$B46,0)</f>
        <v>3.1018965517241388</v>
      </c>
      <c r="E60" s="23">
        <f>HLOOKUP(D$22,Prices!$C$8:$T$58,Prices!$B46,0)</f>
        <v>2.6960344827586225</v>
      </c>
      <c r="F60" s="17">
        <f t="shared" si="2"/>
        <v>-0.40586206896551635</v>
      </c>
      <c r="H60" s="17">
        <f>IF(ISERROR(HLOOKUP(G$22,Tolls!$D$7:$R$58,Tolls!$B46,0)),"Not Available",HLOOKUP(G$22,Tolls!$D$7:$R$58,Tolls!$B46,0))</f>
        <v>0.97563900000000015</v>
      </c>
      <c r="J60" s="17">
        <f t="shared" si="3"/>
        <v>-1.3815010689655165</v>
      </c>
    </row>
    <row r="61" spans="1:10" x14ac:dyDescent="0.2">
      <c r="A61" s="1">
        <f>Prices!A47</f>
        <v>36586</v>
      </c>
      <c r="C61" s="23">
        <f>HLOOKUP(B$22,Prices!$C$8:$T$58,Prices!$B47,0)</f>
        <v>3.521290322580644</v>
      </c>
      <c r="E61" s="23">
        <f>HLOOKUP(D$22,Prices!$C$8:$T$58,Prices!$B47,0)</f>
        <v>2.9649999999999999</v>
      </c>
      <c r="F61" s="17">
        <f t="shared" si="2"/>
        <v>-0.55629032258064415</v>
      </c>
      <c r="H61" s="17">
        <f>IF(ISERROR(HLOOKUP(G$22,Tolls!$D$7:$R$58,Tolls!$B47,0)),"Not Available",HLOOKUP(G$22,Tolls!$D$7:$R$58,Tolls!$B47,0))</f>
        <v>0.97508400000000006</v>
      </c>
      <c r="J61" s="17">
        <f t="shared" si="3"/>
        <v>-1.5313743225806442</v>
      </c>
    </row>
    <row r="62" spans="1:10" x14ac:dyDescent="0.2">
      <c r="A62" s="1">
        <f>Prices!A48</f>
        <v>36617</v>
      </c>
      <c r="C62" s="23">
        <f>HLOOKUP(B$22,Prices!$C$8:$T$58,Prices!$B48,0)</f>
        <v>3.7708333333333335</v>
      </c>
      <c r="E62" s="23">
        <f>HLOOKUP(D$22,Prices!$C$8:$T$58,Prices!$B48,0)</f>
        <v>3.085</v>
      </c>
      <c r="F62" s="17">
        <f t="shared" si="2"/>
        <v>-0.68583333333333352</v>
      </c>
      <c r="H62" s="17">
        <f>IF(ISERROR(HLOOKUP(G$22,Tolls!$D$7:$R$58,Tolls!$B48,0)),"Not Available",HLOOKUP(G$22,Tolls!$D$7:$R$58,Tolls!$B48,0))</f>
        <v>0.98019000000000012</v>
      </c>
      <c r="J62" s="17">
        <f t="shared" si="3"/>
        <v>-1.6660233333333336</v>
      </c>
    </row>
    <row r="63" spans="1:10" x14ac:dyDescent="0.2">
      <c r="A63" s="1">
        <f>Prices!A49</f>
        <v>36647</v>
      </c>
      <c r="C63" s="23">
        <f>HLOOKUP(B$22,Prices!$C$8:$T$58,Prices!$B49,0)</f>
        <v>4.3430645161290338</v>
      </c>
      <c r="E63" s="23">
        <f>HLOOKUP(D$22,Prices!$C$8:$T$58,Prices!$B49,0)</f>
        <v>3.6777419354838714</v>
      </c>
      <c r="F63" s="17">
        <f t="shared" si="2"/>
        <v>-0.66532258064516236</v>
      </c>
      <c r="H63" s="17">
        <f>IF(ISERROR(HLOOKUP(G$22,Tolls!$D$7:$R$58,Tolls!$B49,0)),"Not Available",HLOOKUP(G$22,Tolls!$D$7:$R$58,Tolls!$B49,0))</f>
        <v>0.98063400000000001</v>
      </c>
      <c r="J63" s="17">
        <f t="shared" si="3"/>
        <v>-1.6459565806451624</v>
      </c>
    </row>
    <row r="64" spans="1:10" x14ac:dyDescent="0.2">
      <c r="A64" s="1">
        <f>Prices!A50</f>
        <v>36678</v>
      </c>
      <c r="C64" s="23">
        <f>HLOOKUP(B$22,Prices!$C$8:$T$58,Prices!$B50,0)</f>
        <v>5.1076666666666659</v>
      </c>
      <c r="E64" s="23">
        <f>HLOOKUP(D$22,Prices!$C$8:$T$58,Prices!$B50,0)</f>
        <v>4.6659999999999995</v>
      </c>
      <c r="F64" s="17">
        <f t="shared" si="2"/>
        <v>-0.44166666666666643</v>
      </c>
      <c r="H64" s="17">
        <f>IF(ISERROR(HLOOKUP(G$22,Tolls!$D$7:$R$58,Tolls!$B50,0)),"Not Available",HLOOKUP(G$22,Tolls!$D$7:$R$58,Tolls!$B50,0))</f>
        <v>0.99106800000000006</v>
      </c>
      <c r="J64" s="17">
        <f t="shared" si="3"/>
        <v>-1.4327346666666665</v>
      </c>
    </row>
    <row r="65" spans="1:10" x14ac:dyDescent="0.2">
      <c r="A65" s="1">
        <f>Prices!A51</f>
        <v>36708</v>
      </c>
      <c r="C65" s="23">
        <f>HLOOKUP(B$22,Prices!$C$8:$T$58,Prices!$B51,0)</f>
        <v>4.535967741935484</v>
      </c>
      <c r="E65" s="23">
        <f>HLOOKUP(D$22,Prices!$C$8:$T$58,Prices!$B51,0)</f>
        <v>4.395161290322581</v>
      </c>
      <c r="F65" s="17">
        <f t="shared" si="2"/>
        <v>-0.14080645161290306</v>
      </c>
      <c r="H65" s="17">
        <f>IF(ISERROR(HLOOKUP(G$22,Tolls!$D$7:$R$58,Tolls!$B51,0)),"Not Available",HLOOKUP(G$22,Tolls!$D$7:$R$58,Tolls!$B51,0))</f>
        <v>0.99795000000000011</v>
      </c>
      <c r="J65" s="17">
        <f t="shared" si="3"/>
        <v>-1.1387564516129032</v>
      </c>
    </row>
    <row r="66" spans="1:10" x14ac:dyDescent="0.2">
      <c r="A66" s="1">
        <f>Prices!A52</f>
        <v>36739</v>
      </c>
      <c r="C66" s="23">
        <f>HLOOKUP(B$22,Prices!$C$8:$T$58,Prices!$B52,0)</f>
        <v>4.5043548387096788</v>
      </c>
      <c r="E66" s="23">
        <f>HLOOKUP(D$22,Prices!$C$8:$T$58,Prices!$B52,0)</f>
        <v>4.8640322580645154</v>
      </c>
      <c r="F66" s="17">
        <f t="shared" si="2"/>
        <v>0.35967741935483666</v>
      </c>
      <c r="H66" s="17">
        <f>IF(ISERROR(HLOOKUP(G$22,Tolls!$D$7:$R$58,Tolls!$B52,0)),"Not Available",HLOOKUP(G$22,Tolls!$D$7:$R$58,Tolls!$B52,0))</f>
        <v>0.99228900000000009</v>
      </c>
      <c r="J66" s="17">
        <f t="shared" si="3"/>
        <v>-0.63261158064516343</v>
      </c>
    </row>
    <row r="67" spans="1:10" x14ac:dyDescent="0.2">
      <c r="A67" s="1">
        <f>Prices!A53</f>
        <v>36770</v>
      </c>
      <c r="C67" s="23">
        <f>HLOOKUP(B$22,Prices!$C$8:$T$58,Prices!$B53,0)</f>
        <v>6.2013333333333351</v>
      </c>
      <c r="E67" s="23">
        <f>HLOOKUP(D$22,Prices!$C$8:$T$58,Prices!$B53,0)</f>
        <v>5.916333333333335</v>
      </c>
      <c r="F67" s="17">
        <f t="shared" si="2"/>
        <v>-0.28500000000000014</v>
      </c>
      <c r="H67" s="17">
        <f>IF(ISERROR(HLOOKUP(G$22,Tolls!$D$7:$R$58,Tolls!$B53,0)),"Not Available",HLOOKUP(G$22,Tolls!$D$7:$R$58,Tolls!$B53,0))</f>
        <v>1.013601</v>
      </c>
      <c r="J67" s="17">
        <f t="shared" si="3"/>
        <v>-1.2986010000000001</v>
      </c>
    </row>
    <row r="68" spans="1:10" x14ac:dyDescent="0.2">
      <c r="A68" s="1">
        <f>Prices!A54</f>
        <v>36800</v>
      </c>
      <c r="C68" s="23">
        <f>HLOOKUP(B$22,Prices!$C$8:$T$58,Prices!$B54,0)</f>
        <v>6.444193548387096</v>
      </c>
      <c r="E68" s="23">
        <f>HLOOKUP(D$22,Prices!$C$8:$T$58,Prices!$B54,0)</f>
        <v>5.5932258064516134</v>
      </c>
      <c r="F68" s="17">
        <f t="shared" si="2"/>
        <v>-0.85096774193548264</v>
      </c>
      <c r="H68" s="17">
        <f>IF(ISERROR(HLOOKUP(G$22,Tolls!$D$7:$R$58,Tolls!$B54,0)),"Not Available",HLOOKUP(G$22,Tolls!$D$7:$R$58,Tolls!$B54,0))</f>
        <v>1.0069410000000001</v>
      </c>
      <c r="J68" s="17">
        <f t="shared" si="3"/>
        <v>-1.8579087419354827</v>
      </c>
    </row>
    <row r="69" spans="1:10" x14ac:dyDescent="0.2">
      <c r="A69" s="1">
        <f>Prices!A55</f>
        <v>36831</v>
      </c>
      <c r="C69" s="23">
        <f>HLOOKUP(B$22,Prices!$C$8:$T$58,Prices!$B55,0)</f>
        <v>7.1614999999999993</v>
      </c>
      <c r="E69" s="23">
        <f>HLOOKUP(D$22,Prices!$C$8:$T$58,Prices!$B55,0)</f>
        <v>9.7668333333333326</v>
      </c>
      <c r="F69" s="17">
        <f t="shared" si="2"/>
        <v>2.6053333333333333</v>
      </c>
      <c r="H69" s="17">
        <f>IF(ISERROR(HLOOKUP(G$22,Tolls!$D$7:$R$58,Tolls!$B55,0)),"Not Available",HLOOKUP(G$22,Tolls!$D$7:$R$58,Tolls!$B55,0))</f>
        <v>1.0041660000000001</v>
      </c>
      <c r="J69" s="17">
        <f t="shared" si="3"/>
        <v>1.6011673333333332</v>
      </c>
    </row>
    <row r="70" spans="1:10" x14ac:dyDescent="0.2">
      <c r="A70" s="1">
        <f>Prices!A56</f>
        <v>36861</v>
      </c>
      <c r="C70" s="23">
        <f>HLOOKUP(B$22,Prices!$C$8:$T$58,Prices!$B56,0)</f>
        <v>11.717419354838707</v>
      </c>
      <c r="E70" s="23">
        <f>HLOOKUP(D$22,Prices!$C$8:$T$58,Prices!$B56,0)</f>
        <v>20.994838709677417</v>
      </c>
      <c r="F70" s="17">
        <f t="shared" si="2"/>
        <v>9.2774193548387096</v>
      </c>
      <c r="H70" s="17">
        <f>IF(ISERROR(HLOOKUP(G$22,Tolls!$D$7:$R$58,Tolls!$B56,0)),"Not Available",HLOOKUP(G$22,Tolls!$D$7:$R$58,Tolls!$B56,0))</f>
        <v>1.0981830000000001</v>
      </c>
      <c r="J70" s="17">
        <f t="shared" si="3"/>
        <v>8.179236354838709</v>
      </c>
    </row>
    <row r="71" spans="1:10" x14ac:dyDescent="0.2">
      <c r="A71" s="1">
        <f>Prices!A57</f>
        <v>36892</v>
      </c>
      <c r="C71" s="23">
        <f>HLOOKUP(B$22,Prices!$C$8:$T$58,Prices!$B57,0)</f>
        <v>10.727903225806452</v>
      </c>
      <c r="E71" s="23">
        <f>HLOOKUP(D$22,Prices!$C$8:$T$58,Prices!$B57,0)</f>
        <v>10.738870967741933</v>
      </c>
      <c r="F71" s="17">
        <f t="shared" si="2"/>
        <v>1.0967741935481001E-2</v>
      </c>
      <c r="H71" s="17">
        <f>IF(ISERROR(HLOOKUP(G$22,Tolls!$D$7:$R$58,Tolls!$B57,0)),"Not Available",HLOOKUP(G$22,Tolls!$D$7:$R$58,Tolls!$B57,0))</f>
        <v>1.1052870000000001</v>
      </c>
      <c r="J71" s="17">
        <f t="shared" si="3"/>
        <v>-1.0943192580645191</v>
      </c>
    </row>
    <row r="72" spans="1:10" x14ac:dyDescent="0.2">
      <c r="A72" s="1">
        <f>Prices!A58</f>
        <v>36923</v>
      </c>
      <c r="C72" s="23">
        <f>HLOOKUP(B$22,Prices!$C$8:$T$58,Prices!$B58,0)</f>
        <v>8.0018181818181802</v>
      </c>
      <c r="E72" s="23">
        <f>HLOOKUP(D$22,Prices!$C$8:$T$58,Prices!$B58,0)</f>
        <v>11.225454545454543</v>
      </c>
      <c r="F72" s="17">
        <f t="shared" si="2"/>
        <v>3.2236363636363627</v>
      </c>
      <c r="H72" s="17">
        <f>IF(ISERROR(HLOOKUP(G$22,Tolls!$D$7:$R$58,Tolls!$B58,0)),"Not Available",HLOOKUP(G$22,Tolls!$D$7:$R$58,Tolls!$B58,0))</f>
        <v>1.0564470000000001</v>
      </c>
      <c r="J72" s="17">
        <f t="shared" si="3"/>
        <v>2.1671893636363624</v>
      </c>
    </row>
    <row r="73" spans="1:10" x14ac:dyDescent="0.2">
      <c r="A73" s="1"/>
    </row>
    <row r="74" spans="1:10" x14ac:dyDescent="0.2">
      <c r="A74" s="1"/>
    </row>
    <row r="75" spans="1:10" x14ac:dyDescent="0.2">
      <c r="A75" s="1"/>
    </row>
    <row r="76" spans="1:10" x14ac:dyDescent="0.2">
      <c r="A76" s="1"/>
    </row>
    <row r="77" spans="1:10" x14ac:dyDescent="0.2">
      <c r="A77" s="1"/>
    </row>
    <row r="78" spans="1:10" x14ac:dyDescent="0.2">
      <c r="A78" s="1"/>
    </row>
    <row r="79" spans="1:10" x14ac:dyDescent="0.2">
      <c r="A79" s="1"/>
    </row>
    <row r="80" spans="1:10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</sheetData>
  <phoneticPr fontId="0" type="noConversion"/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09" r:id="rId3" name="Drop Down 1">
              <controlPr defaultSize="0" autoLine="0" autoPict="0">
                <anchor moveWithCells="1">
                  <from>
                    <xdr:col>2</xdr:col>
                    <xdr:colOff>95250</xdr:colOff>
                    <xdr:row>20</xdr:row>
                    <xdr:rowOff>28575</xdr:rowOff>
                  </from>
                  <to>
                    <xdr:col>2</xdr:col>
                    <xdr:colOff>2209800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0" r:id="rId4" name="Drop Down 2">
              <controlPr defaultSize="0" autoLine="0" autoPict="0">
                <anchor moveWithCells="1">
                  <from>
                    <xdr:col>4</xdr:col>
                    <xdr:colOff>66675</xdr:colOff>
                    <xdr:row>20</xdr:row>
                    <xdr:rowOff>19050</xdr:rowOff>
                  </from>
                  <to>
                    <xdr:col>4</xdr:col>
                    <xdr:colOff>2219325</xdr:colOff>
                    <xdr:row>20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Prices</vt:lpstr>
      <vt:lpstr>Tolls</vt:lpstr>
      <vt:lpstr>Kern - Opal to SoCal</vt:lpstr>
      <vt:lpstr>Kern - Opal to PG&amp;E</vt:lpstr>
      <vt:lpstr>TW - Perm to SoCal</vt:lpstr>
      <vt:lpstr>EPNG - Perm to SoCal</vt:lpstr>
      <vt:lpstr>EPNG - SJ to SoCal</vt:lpstr>
      <vt:lpstr>PGT - AECO to Malin</vt:lpstr>
      <vt:lpstr>PGT - Malin to PG&amp;E</vt:lpstr>
      <vt:lpstr>PGT - AECO to PG&amp;E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Tyrell</dc:creator>
  <cp:lastModifiedBy>Felienne</cp:lastModifiedBy>
  <dcterms:created xsi:type="dcterms:W3CDTF">2001-02-21T16:48:37Z</dcterms:created>
  <dcterms:modified xsi:type="dcterms:W3CDTF">2014-09-05T06:42:38Z</dcterms:modified>
</cp:coreProperties>
</file>