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870" yWindow="-15" windowWidth="6780" windowHeight="6525" tabRatio="601"/>
  </bookViews>
  <sheets>
    <sheet name="NNG" sheetId="1" r:id="rId1"/>
    <sheet name="TW" sheetId="2" r:id="rId2"/>
    <sheet name="Sheet3" sheetId="3" r:id="rId3"/>
  </sheets>
  <definedNames>
    <definedName name="_xlnm.Print_Area" localSheetId="0">NNG!$A$1:$Z$48</definedName>
    <definedName name="_xlnm.Print_Area" localSheetId="1">TW!$A$1:$Z$48</definedName>
  </definedNames>
  <calcPr calcId="152511"/>
</workbook>
</file>

<file path=xl/calcChain.xml><?xml version="1.0" encoding="utf-8"?>
<calcChain xmlns="http://schemas.openxmlformats.org/spreadsheetml/2006/main">
  <c r="E12" i="1" l="1"/>
  <c r="I12" i="1" s="1"/>
  <c r="I16" i="1" s="1"/>
  <c r="I25" i="1" s="1"/>
  <c r="K12" i="1"/>
  <c r="O12" i="1" s="1"/>
  <c r="O16" i="1" s="1"/>
  <c r="O25" i="1" s="1"/>
  <c r="M12" i="1"/>
  <c r="M16" i="1" s="1"/>
  <c r="M25" i="1" s="1"/>
  <c r="Q12" i="1"/>
  <c r="Q16" i="1" s="1"/>
  <c r="S12" i="1"/>
  <c r="S16" i="1" s="1"/>
  <c r="S25" i="1" s="1"/>
  <c r="Y12" i="1"/>
  <c r="I13" i="1"/>
  <c r="O13" i="1"/>
  <c r="W13" i="1"/>
  <c r="E14" i="1"/>
  <c r="I14" i="1"/>
  <c r="K14" i="1"/>
  <c r="O14" i="1" s="1"/>
  <c r="M14" i="1"/>
  <c r="Q14" i="1"/>
  <c r="S14" i="1"/>
  <c r="U14" i="1"/>
  <c r="W14" i="1" s="1"/>
  <c r="Y14" i="1"/>
  <c r="I15" i="1"/>
  <c r="K15" i="1"/>
  <c r="O15" i="1" s="1"/>
  <c r="M15" i="1"/>
  <c r="Q15" i="1"/>
  <c r="W15" i="1"/>
  <c r="Y15" i="1"/>
  <c r="E16" i="1"/>
  <c r="E25" i="1" s="1"/>
  <c r="G16" i="1"/>
  <c r="G25" i="1" s="1"/>
  <c r="U16" i="1"/>
  <c r="U25" i="1" s="1"/>
  <c r="I18" i="1"/>
  <c r="O18" i="1"/>
  <c r="U18" i="1"/>
  <c r="W18" i="1"/>
  <c r="Y18" i="1"/>
  <c r="I19" i="1"/>
  <c r="O19" i="1"/>
  <c r="S19" i="1"/>
  <c r="W19" i="1" s="1"/>
  <c r="Y19" i="1"/>
  <c r="I20" i="1"/>
  <c r="O20" i="1"/>
  <c r="S20" i="1"/>
  <c r="U20" i="1"/>
  <c r="W20" i="1"/>
  <c r="Y20" i="1"/>
  <c r="I21" i="1"/>
  <c r="K21" i="1"/>
  <c r="M21" i="1"/>
  <c r="O21" i="1"/>
  <c r="W21" i="1"/>
  <c r="Y21" i="1"/>
  <c r="G22" i="1"/>
  <c r="I22" i="1"/>
  <c r="O22" i="1"/>
  <c r="U22" i="1"/>
  <c r="W22" i="1" s="1"/>
  <c r="Y22" i="1"/>
  <c r="E23" i="1"/>
  <c r="I23" i="1"/>
  <c r="K23" i="1"/>
  <c r="Y23" i="1" s="1"/>
  <c r="O23" i="1"/>
  <c r="Q23" i="1"/>
  <c r="W23" i="1" s="1"/>
  <c r="S23" i="1"/>
  <c r="I28" i="1"/>
  <c r="O28" i="1"/>
  <c r="W28" i="1"/>
  <c r="E29" i="1"/>
  <c r="I29" i="1"/>
  <c r="K29" i="1"/>
  <c r="O29" i="1"/>
  <c r="Q29" i="1"/>
  <c r="Q36" i="1" s="1"/>
  <c r="W29" i="1"/>
  <c r="W36" i="1" s="1"/>
  <c r="I30" i="1"/>
  <c r="O30" i="1"/>
  <c r="W30" i="1"/>
  <c r="I31" i="1"/>
  <c r="O31" i="1"/>
  <c r="W31" i="1"/>
  <c r="I32" i="1"/>
  <c r="O32" i="1"/>
  <c r="W32" i="1"/>
  <c r="E33" i="1"/>
  <c r="I33" i="1" s="1"/>
  <c r="O33" i="1"/>
  <c r="S33" i="1"/>
  <c r="W33" i="1"/>
  <c r="I34" i="1"/>
  <c r="M34" i="1"/>
  <c r="O34" i="1" s="1"/>
  <c r="O36" i="1" s="1"/>
  <c r="W34" i="1"/>
  <c r="E36" i="1"/>
  <c r="G36" i="1"/>
  <c r="K36" i="1"/>
  <c r="S36" i="1"/>
  <c r="U36" i="1"/>
  <c r="A46" i="1"/>
  <c r="A47" i="1"/>
  <c r="E12" i="2"/>
  <c r="E16" i="2" s="1"/>
  <c r="E25" i="2" s="1"/>
  <c r="I12" i="2"/>
  <c r="I16" i="2" s="1"/>
  <c r="I25" i="2" s="1"/>
  <c r="K12" i="2"/>
  <c r="O12" i="2" s="1"/>
  <c r="O16" i="2" s="1"/>
  <c r="M12" i="2"/>
  <c r="Q12" i="2"/>
  <c r="Q16" i="2" s="1"/>
  <c r="S12" i="2"/>
  <c r="S16" i="2" s="1"/>
  <c r="S25" i="2" s="1"/>
  <c r="U12" i="2"/>
  <c r="U16" i="2" s="1"/>
  <c r="U25" i="2" s="1"/>
  <c r="W12" i="2"/>
  <c r="W16" i="2" s="1"/>
  <c r="Y12" i="2"/>
  <c r="I13" i="2"/>
  <c r="O13" i="2"/>
  <c r="W13" i="2"/>
  <c r="G14" i="2"/>
  <c r="I14" i="2"/>
  <c r="K14" i="2"/>
  <c r="O14" i="2"/>
  <c r="Q14" i="2"/>
  <c r="W14" i="2" s="1"/>
  <c r="U14" i="2"/>
  <c r="Y14" i="2"/>
  <c r="G15" i="2"/>
  <c r="I15" i="2"/>
  <c r="K15" i="2"/>
  <c r="M15" i="2"/>
  <c r="O15" i="2"/>
  <c r="W15" i="2"/>
  <c r="Y15" i="2"/>
  <c r="G16" i="2"/>
  <c r="K16" i="2"/>
  <c r="K25" i="2" s="1"/>
  <c r="M16" i="2"/>
  <c r="M25" i="2" s="1"/>
  <c r="I18" i="2"/>
  <c r="O18" i="2"/>
  <c r="U18" i="2"/>
  <c r="W18" i="2" s="1"/>
  <c r="Y18" i="2"/>
  <c r="I19" i="2"/>
  <c r="O19" i="2"/>
  <c r="W19" i="2"/>
  <c r="Y19" i="2"/>
  <c r="G20" i="2"/>
  <c r="I20" i="2"/>
  <c r="M20" i="2"/>
  <c r="O20" i="2" s="1"/>
  <c r="Q20" i="2"/>
  <c r="W20" i="2"/>
  <c r="Y20" i="2"/>
  <c r="I21" i="2"/>
  <c r="K21" i="2"/>
  <c r="O21" i="2" s="1"/>
  <c r="M21" i="2"/>
  <c r="W21" i="2"/>
  <c r="G22" i="2"/>
  <c r="I22" i="2"/>
  <c r="O22" i="2"/>
  <c r="W22" i="2"/>
  <c r="Y22" i="2"/>
  <c r="I23" i="2"/>
  <c r="M23" i="2"/>
  <c r="O23" i="2" s="1"/>
  <c r="Q23" i="2"/>
  <c r="W23" i="2"/>
  <c r="Y23" i="2"/>
  <c r="G25" i="2"/>
  <c r="I28" i="2"/>
  <c r="O28" i="2"/>
  <c r="W28" i="2"/>
  <c r="E29" i="2"/>
  <c r="E37" i="2" s="1"/>
  <c r="I29" i="2"/>
  <c r="O29" i="2"/>
  <c r="O37" i="2" s="1"/>
  <c r="W29" i="2"/>
  <c r="W37" i="2" s="1"/>
  <c r="I30" i="2"/>
  <c r="O30" i="2"/>
  <c r="W30" i="2"/>
  <c r="I31" i="2"/>
  <c r="O31" i="2"/>
  <c r="W31" i="2"/>
  <c r="I32" i="2"/>
  <c r="I37" i="2" s="1"/>
  <c r="O32" i="2"/>
  <c r="W32" i="2"/>
  <c r="I33" i="2"/>
  <c r="O33" i="2"/>
  <c r="W33" i="2"/>
  <c r="G34" i="2"/>
  <c r="I34" i="2"/>
  <c r="O34" i="2"/>
  <c r="W34" i="2"/>
  <c r="I35" i="2"/>
  <c r="O35" i="2"/>
  <c r="W35" i="2"/>
  <c r="G37" i="2"/>
  <c r="K37" i="2"/>
  <c r="M37" i="2"/>
  <c r="Q37" i="2"/>
  <c r="S37" i="2"/>
  <c r="U37" i="2"/>
  <c r="A46" i="2"/>
  <c r="A47" i="2"/>
  <c r="W25" i="2" l="1"/>
  <c r="O25" i="2"/>
  <c r="Q25" i="2"/>
  <c r="Y25" i="2" s="1"/>
  <c r="Y16" i="2"/>
  <c r="Q25" i="1"/>
  <c r="I36" i="1"/>
  <c r="W12" i="1"/>
  <c r="W16" i="1" s="1"/>
  <c r="W25" i="1" s="1"/>
  <c r="Y21" i="2"/>
  <c r="M36" i="1"/>
  <c r="K16" i="1"/>
  <c r="K25" i="1" s="1"/>
  <c r="Y25" i="1" l="1"/>
  <c r="Y16" i="1"/>
</calcChain>
</file>

<file path=xl/sharedStrings.xml><?xml version="1.0" encoding="utf-8"?>
<sst xmlns="http://schemas.openxmlformats.org/spreadsheetml/2006/main" count="143" uniqueCount="63">
  <si>
    <t>2001 - 2003 PLAN</t>
  </si>
  <si>
    <t>Department</t>
  </si>
  <si>
    <t>Gross</t>
  </si>
  <si>
    <t>O &amp; M</t>
  </si>
  <si>
    <t>Project</t>
  </si>
  <si>
    <t>Specific</t>
  </si>
  <si>
    <t>Capital</t>
  </si>
  <si>
    <t>Net</t>
  </si>
  <si>
    <t>2000 Plan</t>
  </si>
  <si>
    <t>Marketing</t>
  </si>
  <si>
    <t>Regulatory Affairs</t>
  </si>
  <si>
    <t>Market Services</t>
  </si>
  <si>
    <t>Operations</t>
  </si>
  <si>
    <t>Finance &amp; Accounting</t>
  </si>
  <si>
    <t>Information Technology</t>
  </si>
  <si>
    <t>Overhead</t>
  </si>
  <si>
    <t>2001 Plan</t>
  </si>
  <si>
    <t>( $ In Millions)</t>
  </si>
  <si>
    <t>Executive</t>
  </si>
  <si>
    <t>DIRECT  O &amp; M COSTS</t>
  </si>
  <si>
    <t>1999 Actuals</t>
  </si>
  <si>
    <t>NORTHERN NATURAL GAS COMPANY</t>
  </si>
  <si>
    <t>Business Services</t>
  </si>
  <si>
    <t>Rent - Omaha (Business Services)</t>
  </si>
  <si>
    <t>TRANSWESTERN PIPELINE COMPANY</t>
  </si>
  <si>
    <t>Total Direct</t>
  </si>
  <si>
    <t>G &amp; A Expense</t>
  </si>
  <si>
    <t>Total G&amp;A Expense</t>
  </si>
  <si>
    <t>Subtotal Commercial</t>
  </si>
  <si>
    <t xml:space="preserve">  PCB Testing - SoCal (OPS)</t>
  </si>
  <si>
    <t xml:space="preserve">  PCB Testing - PG&amp;E (OPS)</t>
  </si>
  <si>
    <t xml:space="preserve">  OI Amortization (F&amp;A)</t>
  </si>
  <si>
    <t xml:space="preserve">  Fuji Lease (F&amp;A)</t>
  </si>
  <si>
    <t xml:space="preserve">  Environmental Remediation  (OPS)</t>
  </si>
  <si>
    <t xml:space="preserve">  Variable Costs, Annual Incentive (F&amp;A)</t>
  </si>
  <si>
    <t xml:space="preserve">  Other (F&amp;A)</t>
  </si>
  <si>
    <t xml:space="preserve">  Beck Settlement (F&amp;A)</t>
  </si>
  <si>
    <t xml:space="preserve">  Remediation Costs (OPS)</t>
  </si>
  <si>
    <t xml:space="preserve">  Variable Pay, Annual Incentive (F&amp;A)</t>
  </si>
  <si>
    <t xml:space="preserve">  KN Reimbursement (OPS)</t>
  </si>
  <si>
    <t xml:space="preserve">  PROS Write-off (MKT)</t>
  </si>
  <si>
    <t>/1</t>
  </si>
  <si>
    <t>/2</t>
  </si>
  <si>
    <t>/3</t>
  </si>
  <si>
    <t>/4</t>
  </si>
  <si>
    <t>/1  restated to reflect capitalized revenue management expenses $.17MM</t>
  </si>
  <si>
    <t>/2  restated to reflect removal of Washington DC office $.054MM</t>
  </si>
  <si>
    <t>/1 restated to reflect capitalized revenue management expense $.265MM</t>
  </si>
  <si>
    <t xml:space="preserve">    Subtotal Commercial</t>
  </si>
  <si>
    <t>/5</t>
  </si>
  <si>
    <t>/5 Does not include Dan McCarty's o&amp;m</t>
  </si>
  <si>
    <t>/5  Does not include Dan McCarty's o&amp;m</t>
  </si>
  <si>
    <t>/3 restated to reflect $1MM to IT Systems and added $1.4MM overhaul overhead dollars</t>
  </si>
  <si>
    <t>/3 restated to reflect $.3MM to IT Systems and added $1.0MM overhaul overhead dollars</t>
  </si>
  <si>
    <t>/2  restated to reflect capitalized regulatory commission expense of $.240MM and removal of Washington DC Office $.086MM</t>
  </si>
  <si>
    <t>% O(U)</t>
  </si>
  <si>
    <t>/4  restated to reflect reorganization $6.7MM</t>
  </si>
  <si>
    <t>/4  restated to reflect reorganization, $2.7MM</t>
  </si>
  <si>
    <t>Revenue Management - Ph. I Amortization</t>
  </si>
  <si>
    <t>/6</t>
  </si>
  <si>
    <t>/6  Non-Cash (Cash included in Capital budget)</t>
  </si>
  <si>
    <t>Gross O&amp;M</t>
  </si>
  <si>
    <t>Rent, other  (Omaha)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</si>
</sst>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7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0" borderId="0" xfId="1" applyNumberFormat="1" applyFont="1" applyBorder="1"/>
    <xf numFmtId="0" fontId="0" fillId="0" borderId="0" xfId="0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1" xfId="1" applyNumberFormat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1" quotePrefix="1" applyNumberFormat="1" applyFont="1" applyAlignment="1">
      <alignment horizontal="left"/>
    </xf>
    <xf numFmtId="167" fontId="0" fillId="0" borderId="0" xfId="2" applyNumberFormat="1" applyFont="1"/>
    <xf numFmtId="167" fontId="0" fillId="0" borderId="1" xfId="2" applyNumberFormat="1" applyFont="1" applyBorder="1"/>
    <xf numFmtId="164" fontId="0" fillId="0" borderId="3" xfId="1" applyNumberFormat="1" applyFont="1" applyBorder="1"/>
    <xf numFmtId="167" fontId="0" fillId="0" borderId="3" xfId="2" applyNumberFormat="1" applyFont="1" applyBorder="1"/>
    <xf numFmtId="0" fontId="2" fillId="0" borderId="0" xfId="0" applyFont="1" applyBorder="1" applyAlignment="1">
      <alignment horizontal="center"/>
    </xf>
    <xf numFmtId="164" fontId="0" fillId="0" borderId="3" xfId="0" applyNumberFormat="1" applyBorder="1"/>
    <xf numFmtId="0" fontId="5" fillId="0" borderId="0" xfId="0" applyFont="1"/>
    <xf numFmtId="22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8"/>
  <sheetViews>
    <sheetView tabSelected="1" zoomScale="75"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A44" sqref="A44"/>
    </sheetView>
  </sheetViews>
  <sheetFormatPr defaultRowHeight="12.75" x14ac:dyDescent="0.2"/>
  <cols>
    <col min="1" max="1" width="12.28515625" bestFit="1" customWidth="1"/>
    <col min="3" max="3" width="12.42578125" customWidth="1"/>
    <col min="4" max="4" width="2.140625" customWidth="1"/>
    <col min="5" max="5" width="10.7109375" customWidth="1"/>
    <col min="6" max="6" width="2.140625" customWidth="1"/>
    <col min="7" max="7" width="10.7109375" customWidth="1"/>
    <col min="8" max="8" width="2.140625" customWidth="1"/>
    <col min="9" max="9" width="10.140625" customWidth="1"/>
    <col min="10" max="10" width="2.85546875" customWidth="1"/>
    <col min="12" max="12" width="3.85546875" customWidth="1"/>
    <col min="14" max="14" width="3.42578125" customWidth="1"/>
    <col min="16" max="16" width="4.7109375" customWidth="1"/>
    <col min="18" max="18" width="3.85546875" customWidth="1"/>
    <col min="20" max="20" width="1.5703125" customWidth="1"/>
    <col min="21" max="21" width="9.85546875" bestFit="1" customWidth="1"/>
    <col min="22" max="22" width="2.140625" customWidth="1"/>
    <col min="24" max="24" width="4.28515625" bestFit="1" customWidth="1"/>
    <col min="25" max="25" width="11.7109375" bestFit="1" customWidth="1"/>
    <col min="26" max="26" width="1.85546875" customWidth="1"/>
  </cols>
  <sheetData>
    <row r="1" spans="1:28" ht="15.75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8" ht="15.75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8" ht="15.75" x14ac:dyDescent="0.25">
      <c r="A3" s="8" t="s">
        <v>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8" ht="15.75" x14ac:dyDescent="0.25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8" x14ac:dyDescent="0.2">
      <c r="A6" s="1"/>
    </row>
    <row r="7" spans="1:28" x14ac:dyDescent="0.2">
      <c r="Q7" s="2" t="s">
        <v>16</v>
      </c>
      <c r="R7" s="2"/>
      <c r="S7" s="2"/>
      <c r="T7" s="2"/>
      <c r="U7" s="2"/>
      <c r="V7" s="2"/>
      <c r="W7" s="2"/>
    </row>
    <row r="8" spans="1:28" x14ac:dyDescent="0.2">
      <c r="S8" s="3" t="s">
        <v>4</v>
      </c>
    </row>
    <row r="9" spans="1:28" x14ac:dyDescent="0.2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8" x14ac:dyDescent="0.2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8" x14ac:dyDescent="0.2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  <c r="Z11" s="11"/>
      <c r="AA11" s="11"/>
      <c r="AB11" s="11"/>
    </row>
    <row r="12" spans="1:28" x14ac:dyDescent="0.2">
      <c r="A12" t="s">
        <v>9</v>
      </c>
      <c r="E12" s="5">
        <f>10.3+0.4-0.4</f>
        <v>10.3</v>
      </c>
      <c r="F12" s="5"/>
      <c r="G12" s="5">
        <v>0.5</v>
      </c>
      <c r="H12" s="5"/>
      <c r="I12" s="5">
        <f>+E12-G12</f>
        <v>9.8000000000000007</v>
      </c>
      <c r="K12" s="5">
        <f>10.663+0.08+0.265+0.009</f>
        <v>11.017000000000001</v>
      </c>
      <c r="L12" s="17" t="s">
        <v>41</v>
      </c>
      <c r="M12" s="5">
        <f>0.564+0.265</f>
        <v>0.82899999999999996</v>
      </c>
      <c r="N12" s="17" t="s">
        <v>41</v>
      </c>
      <c r="O12" s="5">
        <f>+K12-M12</f>
        <v>10.188000000000001</v>
      </c>
      <c r="P12" s="5"/>
      <c r="Q12" s="5">
        <f>10.569</f>
        <v>10.569000000000001</v>
      </c>
      <c r="R12" s="17" t="s">
        <v>49</v>
      </c>
      <c r="S12" s="5">
        <f>0.1</f>
        <v>0.1</v>
      </c>
      <c r="T12" s="5"/>
      <c r="U12" s="5">
        <v>0.7</v>
      </c>
      <c r="V12" s="5"/>
      <c r="W12" s="5">
        <f>+Q12-S12-U12</f>
        <v>9.7690000000000019</v>
      </c>
      <c r="Y12" s="18">
        <f>-448.4/11017</f>
        <v>-4.070073522737587E-2</v>
      </c>
    </row>
    <row r="13" spans="1:28" x14ac:dyDescent="0.2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0.91400000000000003</v>
      </c>
      <c r="R13" s="17"/>
      <c r="S13" s="5">
        <v>0</v>
      </c>
      <c r="T13" s="5"/>
      <c r="U13" s="5">
        <v>0</v>
      </c>
      <c r="V13" s="5"/>
      <c r="W13" s="5">
        <f>+Q13-S13-U13</f>
        <v>0.91400000000000003</v>
      </c>
      <c r="X13" s="17" t="s">
        <v>59</v>
      </c>
      <c r="Y13" s="18">
        <v>1</v>
      </c>
    </row>
    <row r="14" spans="1:28" x14ac:dyDescent="0.2">
      <c r="A14" t="s">
        <v>22</v>
      </c>
      <c r="E14" s="5">
        <f>4.1-2.1-0.9+0.4</f>
        <v>1.4999999999999996</v>
      </c>
      <c r="F14" s="5"/>
      <c r="G14" s="5">
        <v>0.2</v>
      </c>
      <c r="H14" s="5"/>
      <c r="I14" s="5">
        <f>+E14-G14</f>
        <v>1.2999999999999996</v>
      </c>
      <c r="K14" s="5">
        <f>4.91-2.1-0.9-0.1</f>
        <v>1.81</v>
      </c>
      <c r="L14" s="5"/>
      <c r="M14" s="5">
        <f>0.031</f>
        <v>3.1E-2</v>
      </c>
      <c r="N14" s="5"/>
      <c r="O14" s="5">
        <f>+K14-M14</f>
        <v>1.7790000000000001</v>
      </c>
      <c r="P14" s="5"/>
      <c r="Q14" s="5">
        <f>4.8-3.1-0.009</f>
        <v>1.6909999999999998</v>
      </c>
      <c r="R14" s="5"/>
      <c r="S14" s="5">
        <f>0</f>
        <v>0</v>
      </c>
      <c r="T14" s="5"/>
      <c r="U14" s="5">
        <f>0.5-0.5</f>
        <v>0</v>
      </c>
      <c r="V14" s="5"/>
      <c r="W14" s="5">
        <f>+Q14-S14-U14</f>
        <v>1.6909999999999998</v>
      </c>
      <c r="Y14" s="18">
        <f>-102.4/1810</f>
        <v>-5.6574585635359116E-2</v>
      </c>
    </row>
    <row r="15" spans="1:28" x14ac:dyDescent="0.2">
      <c r="A15" t="s">
        <v>10</v>
      </c>
      <c r="E15" s="6">
        <v>1.6</v>
      </c>
      <c r="F15" s="5"/>
      <c r="G15" s="6">
        <v>0.3</v>
      </c>
      <c r="H15" s="5"/>
      <c r="I15" s="6">
        <f>+E15-G15</f>
        <v>1.3</v>
      </c>
      <c r="K15" s="6">
        <f>1.805-0.086+0.24</f>
        <v>1.9589999999999999</v>
      </c>
      <c r="L15" s="17" t="s">
        <v>42</v>
      </c>
      <c r="M15" s="6">
        <f>0.387-0.025+0.24</f>
        <v>0.60199999999999998</v>
      </c>
      <c r="N15" s="17" t="s">
        <v>42</v>
      </c>
      <c r="O15" s="6">
        <f>+K15-M15</f>
        <v>1.3569999999999998</v>
      </c>
      <c r="P15" s="5"/>
      <c r="Q15" s="6">
        <f>1.812-0.009</f>
        <v>1.8030000000000002</v>
      </c>
      <c r="R15" s="5"/>
      <c r="S15" s="6">
        <v>0.20499999999999999</v>
      </c>
      <c r="T15" s="5"/>
      <c r="U15" s="6">
        <v>0.371</v>
      </c>
      <c r="V15" s="5"/>
      <c r="W15" s="6">
        <f>+Q15-S15-U15</f>
        <v>1.2270000000000001</v>
      </c>
      <c r="Y15" s="19">
        <f>-155.5/1959</f>
        <v>-7.937723328228688E-2</v>
      </c>
    </row>
    <row r="16" spans="1:28" x14ac:dyDescent="0.2">
      <c r="A16" t="s">
        <v>48</v>
      </c>
      <c r="E16" s="10">
        <f>SUM(E12:E15)</f>
        <v>13.4</v>
      </c>
      <c r="F16" s="5"/>
      <c r="G16" s="10">
        <f>SUM(G12:G15)</f>
        <v>1</v>
      </c>
      <c r="H16" s="5"/>
      <c r="I16" s="10">
        <f>SUM(I12:I15)</f>
        <v>12.4</v>
      </c>
      <c r="K16" s="10">
        <f>SUM(K12:K15)</f>
        <v>14.786000000000001</v>
      </c>
      <c r="L16" s="17"/>
      <c r="M16" s="10">
        <f>SUM(M12:M15)</f>
        <v>1.462</v>
      </c>
      <c r="N16" s="17"/>
      <c r="O16" s="10">
        <f>SUM(O12:O15)</f>
        <v>13.324</v>
      </c>
      <c r="P16" s="5"/>
      <c r="Q16" s="10">
        <f>SUM(Q12:Q15)</f>
        <v>14.977</v>
      </c>
      <c r="R16" s="5"/>
      <c r="S16" s="10">
        <f>SUM(S12:S15)</f>
        <v>0.30499999999999999</v>
      </c>
      <c r="T16" s="5"/>
      <c r="U16" s="10">
        <f>SUM(U12:U15)</f>
        <v>1.071</v>
      </c>
      <c r="V16" s="5"/>
      <c r="W16" s="10">
        <f>SUM(W12:W15)</f>
        <v>13.601000000000003</v>
      </c>
      <c r="Y16" s="18">
        <f t="shared" ref="Y16:Y25" si="0">(Q16-K16)/K16</f>
        <v>1.2917624780197411E-2</v>
      </c>
      <c r="AA16" s="18"/>
    </row>
    <row r="17" spans="1:25" x14ac:dyDescent="0.2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5" x14ac:dyDescent="0.2">
      <c r="A18" t="s">
        <v>11</v>
      </c>
      <c r="E18" s="5">
        <v>5.7</v>
      </c>
      <c r="F18" s="5"/>
      <c r="G18" s="5">
        <v>0.3</v>
      </c>
      <c r="H18" s="5"/>
      <c r="I18" s="5">
        <f t="shared" ref="I18:I23" si="1">+E18-G18</f>
        <v>5.4</v>
      </c>
      <c r="K18" s="5">
        <v>5.7</v>
      </c>
      <c r="L18" s="5"/>
      <c r="M18" s="5">
        <v>0.5</v>
      </c>
      <c r="N18" s="5"/>
      <c r="O18" s="5">
        <f t="shared" ref="O18:O23" si="2">+K18-M18</f>
        <v>5.2</v>
      </c>
      <c r="P18" s="5"/>
      <c r="Q18" s="5">
        <v>5.48</v>
      </c>
      <c r="R18" s="5"/>
      <c r="S18" s="5">
        <v>0.5</v>
      </c>
      <c r="T18" s="5"/>
      <c r="U18" s="5">
        <f>0</f>
        <v>0</v>
      </c>
      <c r="V18" s="5"/>
      <c r="W18" s="5">
        <f t="shared" ref="W18:W23" si="3">+Q18-S18-U18</f>
        <v>4.9800000000000004</v>
      </c>
      <c r="Y18" s="18">
        <f t="shared" si="0"/>
        <v>-3.8596491228070129E-2</v>
      </c>
    </row>
    <row r="19" spans="1:25" x14ac:dyDescent="0.2">
      <c r="A19" t="s">
        <v>13</v>
      </c>
      <c r="E19" s="5">
        <v>1.8</v>
      </c>
      <c r="F19" s="5"/>
      <c r="G19" s="5">
        <v>0.3</v>
      </c>
      <c r="H19" s="5"/>
      <c r="I19" s="5">
        <f t="shared" si="1"/>
        <v>1.5</v>
      </c>
      <c r="K19" s="5">
        <v>2</v>
      </c>
      <c r="L19" s="5"/>
      <c r="M19" s="5">
        <v>0.4</v>
      </c>
      <c r="N19" s="5"/>
      <c r="O19" s="5">
        <f t="shared" si="2"/>
        <v>1.6</v>
      </c>
      <c r="P19" s="5"/>
      <c r="Q19" s="5">
        <v>1.9</v>
      </c>
      <c r="R19" s="5"/>
      <c r="S19" s="5">
        <f>0</f>
        <v>0</v>
      </c>
      <c r="T19" s="5"/>
      <c r="U19" s="5">
        <v>0.4</v>
      </c>
      <c r="V19" s="5"/>
      <c r="W19" s="5">
        <f t="shared" si="3"/>
        <v>1.5</v>
      </c>
      <c r="Y19" s="18">
        <f t="shared" si="0"/>
        <v>-5.0000000000000044E-2</v>
      </c>
    </row>
    <row r="20" spans="1:25" x14ac:dyDescent="0.2">
      <c r="A20" t="s">
        <v>18</v>
      </c>
      <c r="E20" s="10">
        <v>0.4</v>
      </c>
      <c r="F20" s="5"/>
      <c r="G20" s="10">
        <v>0.1</v>
      </c>
      <c r="H20" s="5"/>
      <c r="I20" s="10">
        <f t="shared" si="1"/>
        <v>0.30000000000000004</v>
      </c>
      <c r="K20" s="10">
        <v>0.4</v>
      </c>
      <c r="L20" s="5"/>
      <c r="M20" s="10">
        <v>0.1</v>
      </c>
      <c r="N20" s="5"/>
      <c r="O20" s="10">
        <f t="shared" si="2"/>
        <v>0.30000000000000004</v>
      </c>
      <c r="P20" s="5"/>
      <c r="Q20" s="10">
        <v>0.1</v>
      </c>
      <c r="R20" s="5"/>
      <c r="S20" s="10">
        <f>0</f>
        <v>0</v>
      </c>
      <c r="T20" s="5"/>
      <c r="U20" s="10">
        <f>0</f>
        <v>0</v>
      </c>
      <c r="V20" s="5"/>
      <c r="W20" s="10">
        <f t="shared" si="3"/>
        <v>0.1</v>
      </c>
      <c r="Y20" s="18">
        <f t="shared" si="0"/>
        <v>-0.75000000000000011</v>
      </c>
    </row>
    <row r="21" spans="1:25" x14ac:dyDescent="0.2">
      <c r="A21" t="s">
        <v>12</v>
      </c>
      <c r="E21" s="5">
        <v>106.1</v>
      </c>
      <c r="F21" s="5"/>
      <c r="G21" s="5">
        <v>13</v>
      </c>
      <c r="H21" s="5"/>
      <c r="I21" s="5">
        <f t="shared" si="1"/>
        <v>93.1</v>
      </c>
      <c r="J21" s="5"/>
      <c r="K21" s="5">
        <f>102.269+1.3+0.142-0.99</f>
        <v>102.721</v>
      </c>
      <c r="L21" s="17" t="s">
        <v>43</v>
      </c>
      <c r="M21" s="5">
        <f>12.391+1.3+0.142-0.253</f>
        <v>13.58</v>
      </c>
      <c r="N21" s="17" t="s">
        <v>43</v>
      </c>
      <c r="O21" s="5">
        <f t="shared" si="2"/>
        <v>89.141000000000005</v>
      </c>
      <c r="P21" s="5"/>
      <c r="Q21" s="5">
        <v>99.043000000000006</v>
      </c>
      <c r="R21" s="17"/>
      <c r="S21" s="5">
        <v>5.5110000000000001</v>
      </c>
      <c r="T21" s="5"/>
      <c r="U21" s="5">
        <v>5.0640000000000001</v>
      </c>
      <c r="V21" s="5"/>
      <c r="W21" s="5">
        <f t="shared" si="3"/>
        <v>88.468000000000018</v>
      </c>
      <c r="X21" s="5"/>
      <c r="Y21" s="18">
        <f t="shared" si="0"/>
        <v>-3.5805726190360265E-2</v>
      </c>
    </row>
    <row r="22" spans="1:25" x14ac:dyDescent="0.2">
      <c r="A22" t="s">
        <v>14</v>
      </c>
      <c r="E22" s="5">
        <v>5.4</v>
      </c>
      <c r="F22" s="5"/>
      <c r="G22" s="5">
        <f>0</f>
        <v>0</v>
      </c>
      <c r="H22" s="5"/>
      <c r="I22" s="5">
        <f t="shared" si="1"/>
        <v>5.4</v>
      </c>
      <c r="J22" s="5"/>
      <c r="K22" s="5">
        <v>12.8</v>
      </c>
      <c r="L22" s="17" t="s">
        <v>44</v>
      </c>
      <c r="M22" s="5">
        <v>1.282</v>
      </c>
      <c r="N22" s="17" t="s">
        <v>44</v>
      </c>
      <c r="O22" s="5">
        <f t="shared" si="2"/>
        <v>11.518000000000001</v>
      </c>
      <c r="P22" s="5"/>
      <c r="Q22" s="5">
        <v>13</v>
      </c>
      <c r="R22" s="17"/>
      <c r="S22" s="5">
        <v>0.35</v>
      </c>
      <c r="T22" s="5"/>
      <c r="U22" s="5">
        <f>0</f>
        <v>0</v>
      </c>
      <c r="V22" s="5"/>
      <c r="W22" s="5">
        <f t="shared" si="3"/>
        <v>12.65</v>
      </c>
      <c r="X22" s="5"/>
      <c r="Y22" s="18">
        <f t="shared" si="0"/>
        <v>1.5624999999999944E-2</v>
      </c>
    </row>
    <row r="23" spans="1:25" x14ac:dyDescent="0.2">
      <c r="A23" t="s">
        <v>23</v>
      </c>
      <c r="E23" s="5">
        <f>2.1+0.9</f>
        <v>3</v>
      </c>
      <c r="F23" s="5"/>
      <c r="G23" s="5">
        <v>0.5</v>
      </c>
      <c r="H23" s="5"/>
      <c r="I23" s="5">
        <f t="shared" si="1"/>
        <v>2.5</v>
      </c>
      <c r="J23" s="5"/>
      <c r="K23" s="5">
        <f>3.104</f>
        <v>3.1040000000000001</v>
      </c>
      <c r="L23" s="5"/>
      <c r="M23" s="5">
        <v>0.55300000000000005</v>
      </c>
      <c r="N23" s="5"/>
      <c r="O23" s="5">
        <f t="shared" si="2"/>
        <v>2.5510000000000002</v>
      </c>
      <c r="P23" s="5"/>
      <c r="Q23" s="5">
        <f>3.1</f>
        <v>3.1</v>
      </c>
      <c r="R23" s="5"/>
      <c r="S23" s="5">
        <f>0.553-0.553</f>
        <v>0</v>
      </c>
      <c r="T23" s="5"/>
      <c r="U23" s="5">
        <v>0.55300000000000005</v>
      </c>
      <c r="V23" s="5"/>
      <c r="W23" s="5">
        <f t="shared" si="3"/>
        <v>2.5470000000000002</v>
      </c>
      <c r="X23" s="5"/>
      <c r="Y23" s="18">
        <f t="shared" si="0"/>
        <v>-1.288659793814434E-3</v>
      </c>
    </row>
    <row r="24" spans="1:25" x14ac:dyDescent="0.2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8"/>
    </row>
    <row r="25" spans="1:25" ht="13.5" thickBot="1" x14ac:dyDescent="0.25">
      <c r="A25" t="s">
        <v>25</v>
      </c>
      <c r="E25" s="20">
        <f>SUM(E16:E23)</f>
        <v>135.79999999999998</v>
      </c>
      <c r="F25" s="5"/>
      <c r="G25" s="20">
        <f>SUM(G16:G23)</f>
        <v>15.2</v>
      </c>
      <c r="H25" s="5"/>
      <c r="I25" s="20">
        <f>SUM(I16:I23)</f>
        <v>120.6</v>
      </c>
      <c r="J25" s="5"/>
      <c r="K25" s="20">
        <f>SUM(K16:K23)</f>
        <v>141.51100000000002</v>
      </c>
      <c r="L25" s="5"/>
      <c r="M25" s="20">
        <f>SUM(M16:M23)</f>
        <v>17.877000000000002</v>
      </c>
      <c r="N25" s="5"/>
      <c r="O25" s="20">
        <f>SUM(O16:O23)</f>
        <v>123.63400000000001</v>
      </c>
      <c r="P25" s="5"/>
      <c r="Q25" s="20">
        <f>SUM(Q16:Q23)</f>
        <v>137.6</v>
      </c>
      <c r="R25" s="5"/>
      <c r="S25" s="20">
        <f>SUM(S16:S23)</f>
        <v>6.6659999999999995</v>
      </c>
      <c r="T25" s="5"/>
      <c r="U25" s="20">
        <f>SUM(U16:U23)</f>
        <v>7.0880000000000001</v>
      </c>
      <c r="V25" s="5"/>
      <c r="W25" s="20">
        <f>SUM(W16:W23)</f>
        <v>123.84600000000003</v>
      </c>
      <c r="X25" s="5"/>
      <c r="Y25" s="21">
        <f t="shared" si="0"/>
        <v>-2.7637427479136105E-2</v>
      </c>
    </row>
    <row r="26" spans="1:25" ht="25.5" customHeight="1" thickTop="1" x14ac:dyDescent="0.2"/>
    <row r="27" spans="1:25" x14ac:dyDescent="0.2">
      <c r="A27" s="1" t="s">
        <v>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5" x14ac:dyDescent="0.2">
      <c r="A28" s="12" t="s">
        <v>31</v>
      </c>
      <c r="E28" s="5">
        <v>0.6</v>
      </c>
      <c r="F28" s="5"/>
      <c r="G28" s="5"/>
      <c r="H28" s="5"/>
      <c r="I28" s="5">
        <f>E28-G28</f>
        <v>0.6</v>
      </c>
      <c r="J28" s="5"/>
      <c r="K28" s="5">
        <v>0.6</v>
      </c>
      <c r="L28" s="5"/>
      <c r="M28" s="5"/>
      <c r="N28" s="5"/>
      <c r="O28" s="5">
        <f>K28-M28</f>
        <v>0.6</v>
      </c>
      <c r="P28" s="5"/>
      <c r="Q28" s="5">
        <v>0.3</v>
      </c>
      <c r="R28" s="5"/>
      <c r="S28" s="5"/>
      <c r="T28" s="5"/>
      <c r="U28" s="5"/>
      <c r="V28" s="5"/>
      <c r="W28" s="5">
        <f>Q28-S28-U28</f>
        <v>0.3</v>
      </c>
      <c r="X28" s="5"/>
    </row>
    <row r="29" spans="1:25" x14ac:dyDescent="0.2">
      <c r="A29" s="12" t="s">
        <v>39</v>
      </c>
      <c r="E29" s="5">
        <f>-0.4</f>
        <v>-0.4</v>
      </c>
      <c r="F29" s="5"/>
      <c r="G29" s="5"/>
      <c r="H29" s="5"/>
      <c r="I29" s="5">
        <f t="shared" ref="I29:I34" si="4">E29-G29</f>
        <v>-0.4</v>
      </c>
      <c r="J29" s="5"/>
      <c r="K29" s="5">
        <f>-0.4</f>
        <v>-0.4</v>
      </c>
      <c r="L29" s="5"/>
      <c r="M29" s="5"/>
      <c r="N29" s="5"/>
      <c r="O29" s="5">
        <f t="shared" ref="O29:O34" si="5">K29-M29</f>
        <v>-0.4</v>
      </c>
      <c r="P29" s="5"/>
      <c r="Q29" s="5">
        <f>-0.4</f>
        <v>-0.4</v>
      </c>
      <c r="R29" s="5"/>
      <c r="S29" s="5"/>
      <c r="T29" s="5"/>
      <c r="U29" s="5"/>
      <c r="V29" s="5"/>
      <c r="W29" s="5">
        <f t="shared" ref="W29:W34" si="6">Q29-S29-U29</f>
        <v>-0.4</v>
      </c>
      <c r="X29" s="5"/>
    </row>
    <row r="30" spans="1:25" x14ac:dyDescent="0.2">
      <c r="A30" s="12" t="s">
        <v>36</v>
      </c>
      <c r="E30" s="5">
        <v>0.8</v>
      </c>
      <c r="F30" s="5"/>
      <c r="G30" s="5"/>
      <c r="H30" s="5"/>
      <c r="I30" s="5">
        <f t="shared" si="4"/>
        <v>0.8</v>
      </c>
      <c r="J30" s="5"/>
      <c r="K30" s="5"/>
      <c r="L30" s="5"/>
      <c r="M30" s="5"/>
      <c r="N30" s="5"/>
      <c r="O30" s="5">
        <f t="shared" si="5"/>
        <v>0</v>
      </c>
      <c r="P30" s="5"/>
      <c r="Q30" s="5"/>
      <c r="R30" s="5"/>
      <c r="S30" s="5"/>
      <c r="T30" s="5"/>
      <c r="U30" s="5"/>
      <c r="V30" s="5"/>
      <c r="W30" s="5">
        <f t="shared" si="6"/>
        <v>0</v>
      </c>
      <c r="X30" s="5"/>
    </row>
    <row r="31" spans="1:25" x14ac:dyDescent="0.2">
      <c r="A31" s="13" t="s">
        <v>40</v>
      </c>
      <c r="E31" s="5">
        <v>0.3</v>
      </c>
      <c r="F31" s="5"/>
      <c r="G31" s="5"/>
      <c r="H31" s="5"/>
      <c r="I31" s="5">
        <f t="shared" si="4"/>
        <v>0.3</v>
      </c>
      <c r="J31" s="5"/>
      <c r="K31" s="5"/>
      <c r="L31" s="5"/>
      <c r="M31" s="5"/>
      <c r="N31" s="5"/>
      <c r="O31" s="5">
        <f t="shared" si="5"/>
        <v>0</v>
      </c>
      <c r="P31" s="5"/>
      <c r="Q31" s="5"/>
      <c r="R31" s="5"/>
      <c r="S31" s="5"/>
      <c r="T31" s="5"/>
      <c r="U31" s="5"/>
      <c r="V31" s="5"/>
      <c r="W31" s="5">
        <f t="shared" si="6"/>
        <v>0</v>
      </c>
      <c r="X31" s="5"/>
    </row>
    <row r="32" spans="1:25" x14ac:dyDescent="0.2">
      <c r="A32" s="12" t="s">
        <v>37</v>
      </c>
      <c r="E32" s="5">
        <v>0.2</v>
      </c>
      <c r="F32" s="5"/>
      <c r="G32" s="5"/>
      <c r="H32" s="5"/>
      <c r="I32" s="5">
        <f t="shared" si="4"/>
        <v>0.2</v>
      </c>
      <c r="J32" s="5"/>
      <c r="K32" s="5"/>
      <c r="L32" s="5"/>
      <c r="M32" s="5"/>
      <c r="N32" s="5"/>
      <c r="O32" s="5">
        <f t="shared" si="5"/>
        <v>0</v>
      </c>
      <c r="P32" s="5"/>
      <c r="Q32" s="5">
        <v>0.4</v>
      </c>
      <c r="R32" s="5"/>
      <c r="S32" s="5"/>
      <c r="T32" s="5"/>
      <c r="U32" s="5"/>
      <c r="V32" s="5"/>
      <c r="W32" s="5">
        <f t="shared" si="6"/>
        <v>0.4</v>
      </c>
      <c r="X32" s="5"/>
    </row>
    <row r="33" spans="1:24" x14ac:dyDescent="0.2">
      <c r="A33" s="12" t="s">
        <v>38</v>
      </c>
      <c r="E33" s="5">
        <f>3.1+0.1</f>
        <v>3.2</v>
      </c>
      <c r="F33" s="5"/>
      <c r="G33" s="5">
        <v>0.5</v>
      </c>
      <c r="H33" s="5"/>
      <c r="I33" s="5">
        <f t="shared" si="4"/>
        <v>2.7</v>
      </c>
      <c r="J33" s="5"/>
      <c r="K33" s="5">
        <v>4.9000000000000004</v>
      </c>
      <c r="L33" s="5"/>
      <c r="M33" s="5">
        <v>1</v>
      </c>
      <c r="N33" s="5"/>
      <c r="O33" s="5">
        <f t="shared" si="5"/>
        <v>3.9000000000000004</v>
      </c>
      <c r="P33" s="5"/>
      <c r="Q33" s="5">
        <v>5.3</v>
      </c>
      <c r="R33" s="5"/>
      <c r="S33" s="5">
        <f>0</f>
        <v>0</v>
      </c>
      <c r="T33" s="5"/>
      <c r="U33" s="5">
        <v>1</v>
      </c>
      <c r="V33" s="5"/>
      <c r="W33" s="5">
        <f t="shared" si="6"/>
        <v>4.3</v>
      </c>
      <c r="X33" s="5"/>
    </row>
    <row r="34" spans="1:24" x14ac:dyDescent="0.2">
      <c r="A34" s="12" t="s">
        <v>35</v>
      </c>
      <c r="E34" s="6">
        <v>0.3</v>
      </c>
      <c r="F34" s="5"/>
      <c r="G34" s="6"/>
      <c r="H34" s="5"/>
      <c r="I34" s="6">
        <f t="shared" si="4"/>
        <v>0.3</v>
      </c>
      <c r="J34" s="5"/>
      <c r="K34" s="6">
        <v>0.1</v>
      </c>
      <c r="L34" s="5"/>
      <c r="M34" s="6">
        <f>0</f>
        <v>0</v>
      </c>
      <c r="N34" s="5"/>
      <c r="O34" s="6">
        <f t="shared" si="5"/>
        <v>0.1</v>
      </c>
      <c r="P34" s="5"/>
      <c r="Q34" s="6">
        <v>0.2</v>
      </c>
      <c r="R34" s="5"/>
      <c r="S34" s="6"/>
      <c r="T34" s="5"/>
      <c r="U34" s="6"/>
      <c r="V34" s="5"/>
      <c r="W34" s="6">
        <f t="shared" si="6"/>
        <v>0.2</v>
      </c>
      <c r="X34" s="5"/>
    </row>
    <row r="35" spans="1:24" x14ac:dyDescent="0.2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5" thickBot="1" x14ac:dyDescent="0.25">
      <c r="A36" t="s">
        <v>27</v>
      </c>
      <c r="E36" s="7">
        <f>SUM(E28:E34)</f>
        <v>5</v>
      </c>
      <c r="F36" s="5"/>
      <c r="G36" s="7">
        <f>SUM(G28:G34)</f>
        <v>0.5</v>
      </c>
      <c r="H36" s="5"/>
      <c r="I36" s="7">
        <f>SUM(I28:I34)</f>
        <v>4.5</v>
      </c>
      <c r="J36" s="5"/>
      <c r="K36" s="7">
        <f>SUM(K28:K34)</f>
        <v>5.2</v>
      </c>
      <c r="L36" s="5"/>
      <c r="M36" s="7">
        <f>SUM(M28:M34)</f>
        <v>1</v>
      </c>
      <c r="N36" s="5"/>
      <c r="O36" s="7">
        <f>SUM(O28:O34)</f>
        <v>4.2</v>
      </c>
      <c r="P36" s="5"/>
      <c r="Q36" s="7">
        <f>SUM(Q28:Q34)</f>
        <v>5.8</v>
      </c>
      <c r="R36" s="5"/>
      <c r="S36" s="7">
        <f>SUM(S28:S34)</f>
        <v>0</v>
      </c>
      <c r="T36" s="5"/>
      <c r="U36" s="7">
        <f>SUM(U28:U34)</f>
        <v>1</v>
      </c>
      <c r="V36" s="5"/>
      <c r="W36" s="7">
        <f>SUM(W28:W34)</f>
        <v>4.8</v>
      </c>
      <c r="X36" s="5"/>
    </row>
    <row r="37" spans="1:24" ht="13.5" thickTop="1" x14ac:dyDescent="0.2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75" x14ac:dyDescent="0.25">
      <c r="A38" s="1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">
      <c r="A39" s="16" t="s">
        <v>47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">
      <c r="A40" s="16" t="s">
        <v>54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">
      <c r="A41" s="16" t="s">
        <v>52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">
      <c r="A42" s="16" t="s">
        <v>56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">
      <c r="A43" s="16" t="s">
        <v>50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24" t="str">
        <f ca="1">CELL("filename")</f>
        <v>C:\Users\Felienne\Enron\EnronSpreadsheets\[kimberly_watson__20597__NNG_TWO&amp;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25">
        <f ca="1">NOW()</f>
        <v>41886.491995949073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5:24" x14ac:dyDescent="0.2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5:24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5:24" x14ac:dyDescent="0.2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5:24" x14ac:dyDescent="0.2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5:24" x14ac:dyDescent="0.2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5:24" x14ac:dyDescent="0.2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5:24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5:24" x14ac:dyDescent="0.2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5:24" x14ac:dyDescent="0.2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5:24" x14ac:dyDescent="0.2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5:24" x14ac:dyDescent="0.2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5:24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5:24" x14ac:dyDescent="0.2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5:24" x14ac:dyDescent="0.2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5:24" x14ac:dyDescent="0.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5:24" x14ac:dyDescent="0.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5:24" x14ac:dyDescent="0.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5:24" x14ac:dyDescent="0.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5:24" x14ac:dyDescent="0.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5:24" x14ac:dyDescent="0.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5:24" x14ac:dyDescent="0.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5:24" x14ac:dyDescent="0.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5:24" x14ac:dyDescent="0.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5:24" x14ac:dyDescent="0.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5:24" x14ac:dyDescent="0.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5:24" x14ac:dyDescent="0.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5:24" x14ac:dyDescent="0.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5:24" x14ac:dyDescent="0.2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5:24" x14ac:dyDescent="0.2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5:24" x14ac:dyDescent="0.2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5:24" x14ac:dyDescent="0.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5:24" x14ac:dyDescent="0.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5:24" x14ac:dyDescent="0.2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5:24" x14ac:dyDescent="0.2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5:24" x14ac:dyDescent="0.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5:24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5:24" x14ac:dyDescent="0.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5:24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5:24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5:24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5:24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5:24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5:24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5:24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5:24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5:24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5:24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5:24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5:24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5:24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5:24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5:24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5:24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5:24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5:24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5:24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5:24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5:24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5:24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5:24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</sheetData>
  <printOptions horizontalCentered="1"/>
  <pageMargins left="0.32" right="0.33" top="0.5" bottom="0.51" header="0.68" footer="0.5"/>
  <pageSetup scale="7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zoomScale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13" sqref="A13"/>
    </sheetView>
  </sheetViews>
  <sheetFormatPr defaultRowHeight="12.75" x14ac:dyDescent="0.2"/>
  <cols>
    <col min="1" max="1" width="12.28515625" bestFit="1" customWidth="1"/>
    <col min="3" max="3" width="11.140625" customWidth="1"/>
    <col min="4" max="4" width="3" customWidth="1"/>
    <col min="5" max="5" width="10.7109375" customWidth="1"/>
    <col min="6" max="6" width="2.140625" customWidth="1"/>
    <col min="7" max="7" width="10.7109375" customWidth="1"/>
    <col min="8" max="8" width="2.140625" customWidth="1"/>
    <col min="9" max="9" width="10.140625" customWidth="1"/>
    <col min="10" max="10" width="2.85546875" customWidth="1"/>
    <col min="12" max="12" width="3.5703125" customWidth="1"/>
    <col min="14" max="14" width="4" customWidth="1"/>
    <col min="16" max="16" width="4.7109375" customWidth="1"/>
    <col min="18" max="18" width="3.28515625" customWidth="1"/>
    <col min="20" max="20" width="1.5703125" customWidth="1"/>
    <col min="21" max="21" width="9.85546875" customWidth="1"/>
    <col min="22" max="22" width="2.140625" customWidth="1"/>
    <col min="24" max="24" width="4.28515625" bestFit="1" customWidth="1"/>
    <col min="25" max="25" width="10.7109375" customWidth="1"/>
    <col min="26" max="26" width="2.140625" customWidth="1"/>
  </cols>
  <sheetData>
    <row r="1" spans="1:27" ht="15.75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7" ht="15.75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7" ht="15.75" x14ac:dyDescent="0.25">
      <c r="A3" s="8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7" ht="15.75" x14ac:dyDescent="0.25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7" x14ac:dyDescent="0.2">
      <c r="A6" s="1"/>
    </row>
    <row r="7" spans="1:27" x14ac:dyDescent="0.2">
      <c r="Q7" s="2" t="s">
        <v>16</v>
      </c>
      <c r="R7" s="2"/>
      <c r="S7" s="2"/>
      <c r="T7" s="2"/>
      <c r="U7" s="2"/>
      <c r="V7" s="2"/>
      <c r="W7" s="2"/>
    </row>
    <row r="8" spans="1:27" x14ac:dyDescent="0.2">
      <c r="S8" s="3" t="s">
        <v>4</v>
      </c>
    </row>
    <row r="9" spans="1:27" x14ac:dyDescent="0.2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7" x14ac:dyDescent="0.2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7" x14ac:dyDescent="0.2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</row>
    <row r="12" spans="1:27" x14ac:dyDescent="0.2">
      <c r="A12" t="s">
        <v>9</v>
      </c>
      <c r="E12" s="5">
        <f>1.3+0.8</f>
        <v>2.1</v>
      </c>
      <c r="F12" s="5"/>
      <c r="G12" s="5">
        <v>0.2</v>
      </c>
      <c r="H12" s="5"/>
      <c r="I12" s="5">
        <f>+E12-G12</f>
        <v>1.9000000000000001</v>
      </c>
      <c r="K12" s="5">
        <f>1.1+1.2+0.17+0.042</f>
        <v>2.5119999999999996</v>
      </c>
      <c r="L12" s="17" t="s">
        <v>41</v>
      </c>
      <c r="M12" s="5">
        <f>0.2+0.17</f>
        <v>0.37</v>
      </c>
      <c r="N12" s="17" t="s">
        <v>41</v>
      </c>
      <c r="O12" s="5">
        <f>+K12-M12</f>
        <v>2.1419999999999995</v>
      </c>
      <c r="P12" s="5"/>
      <c r="Q12" s="5">
        <f>0.907+1.239-0.006</f>
        <v>2.14</v>
      </c>
      <c r="R12" s="17" t="s">
        <v>49</v>
      </c>
      <c r="S12" s="5">
        <f>0.025</f>
        <v>2.5000000000000001E-2</v>
      </c>
      <c r="T12" s="5"/>
      <c r="U12" s="5">
        <f>0.191+0.005</f>
        <v>0.19600000000000001</v>
      </c>
      <c r="V12" s="5"/>
      <c r="W12" s="5">
        <f>+Q12-S12-U12</f>
        <v>1.9190000000000003</v>
      </c>
      <c r="Y12" s="18">
        <f>-371.2/2512</f>
        <v>-0.14777070063694267</v>
      </c>
    </row>
    <row r="13" spans="1:27" x14ac:dyDescent="0.2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0.22900000000000001</v>
      </c>
      <c r="R13" s="17"/>
      <c r="S13" s="5">
        <v>0</v>
      </c>
      <c r="T13" s="5"/>
      <c r="U13" s="5">
        <v>0</v>
      </c>
      <c r="V13" s="5"/>
      <c r="W13" s="5">
        <f>+Q13-S13-U13</f>
        <v>0.22900000000000001</v>
      </c>
      <c r="X13" s="17" t="s">
        <v>59</v>
      </c>
      <c r="Y13" s="18">
        <v>1</v>
      </c>
    </row>
    <row r="14" spans="1:27" x14ac:dyDescent="0.2">
      <c r="A14" t="s">
        <v>22</v>
      </c>
      <c r="E14" s="5">
        <v>0.4</v>
      </c>
      <c r="F14" s="5"/>
      <c r="G14" s="5">
        <f>0</f>
        <v>0</v>
      </c>
      <c r="H14" s="5"/>
      <c r="I14" s="5">
        <f>+E14-G14</f>
        <v>0.4</v>
      </c>
      <c r="K14" s="5">
        <f>0.461-0.169</f>
        <v>0.29200000000000004</v>
      </c>
      <c r="L14" s="5"/>
      <c r="M14" s="5">
        <v>0.04</v>
      </c>
      <c r="N14" s="5"/>
      <c r="O14" s="5">
        <f>+K14-M14</f>
        <v>0.25200000000000006</v>
      </c>
      <c r="P14" s="5"/>
      <c r="Q14" s="5">
        <f>0.263</f>
        <v>0.26300000000000001</v>
      </c>
      <c r="R14" s="5"/>
      <c r="S14" s="5">
        <v>0</v>
      </c>
      <c r="T14" s="5"/>
      <c r="U14" s="5">
        <f>0</f>
        <v>0</v>
      </c>
      <c r="V14" s="5"/>
      <c r="W14" s="5">
        <f>+Q14-S14-U14</f>
        <v>0.26300000000000001</v>
      </c>
      <c r="Y14" s="18">
        <f>-28.4/292</f>
        <v>-9.7260273972602729E-2</v>
      </c>
    </row>
    <row r="15" spans="1:27" x14ac:dyDescent="0.2">
      <c r="A15" t="s">
        <v>10</v>
      </c>
      <c r="E15" s="6">
        <v>0.2</v>
      </c>
      <c r="F15" s="5"/>
      <c r="G15" s="6">
        <f>0</f>
        <v>0</v>
      </c>
      <c r="H15" s="5"/>
      <c r="I15" s="6">
        <f>+E15-G15</f>
        <v>0.2</v>
      </c>
      <c r="K15" s="15">
        <f>0.318-0.055</f>
        <v>0.26300000000000001</v>
      </c>
      <c r="L15" s="17" t="s">
        <v>42</v>
      </c>
      <c r="M15" s="6">
        <f>0.068-0.016</f>
        <v>5.2000000000000005E-2</v>
      </c>
      <c r="N15" s="17" t="s">
        <v>42</v>
      </c>
      <c r="O15" s="6">
        <f>+K15-M15</f>
        <v>0.21100000000000002</v>
      </c>
      <c r="P15" s="5"/>
      <c r="Q15" s="6">
        <v>0.27500000000000002</v>
      </c>
      <c r="R15" s="5"/>
      <c r="S15" s="6">
        <v>0</v>
      </c>
      <c r="T15" s="5"/>
      <c r="U15" s="6">
        <v>5.5E-2</v>
      </c>
      <c r="V15" s="5"/>
      <c r="W15" s="6">
        <f>+Q15-S15-U15</f>
        <v>0.22000000000000003</v>
      </c>
      <c r="Y15" s="19">
        <f>11.9/263.2</f>
        <v>4.5212765957446811E-2</v>
      </c>
    </row>
    <row r="16" spans="1:27" x14ac:dyDescent="0.2">
      <c r="B16" s="12" t="s">
        <v>28</v>
      </c>
      <c r="E16" s="5">
        <f>SUM(E12:E15)</f>
        <v>2.7</v>
      </c>
      <c r="F16" s="5"/>
      <c r="G16" s="5">
        <f>SUM(G12:G15)</f>
        <v>0.2</v>
      </c>
      <c r="H16" s="5"/>
      <c r="I16" s="5">
        <f>SUM(I12:I15)</f>
        <v>2.5000000000000004</v>
      </c>
      <c r="K16" s="5">
        <f>SUM(K12:K15)</f>
        <v>3.0669999999999993</v>
      </c>
      <c r="L16" s="5"/>
      <c r="M16" s="5">
        <f>SUM(M12:M15)</f>
        <v>0.46199999999999997</v>
      </c>
      <c r="N16" s="5"/>
      <c r="O16" s="5">
        <f>SUM(O12:O15)</f>
        <v>2.6049999999999995</v>
      </c>
      <c r="P16" s="5"/>
      <c r="Q16" s="5">
        <f>SUM(Q12:Q15)</f>
        <v>2.907</v>
      </c>
      <c r="R16" s="5"/>
      <c r="S16" s="5">
        <f>SUM(S12:S15)</f>
        <v>2.5000000000000001E-2</v>
      </c>
      <c r="T16" s="5"/>
      <c r="U16" s="5">
        <f>SUM(U12:U15)</f>
        <v>0.251</v>
      </c>
      <c r="V16" s="5"/>
      <c r="W16" s="5">
        <f>SUM(W12:W15)</f>
        <v>2.6310000000000002</v>
      </c>
      <c r="Y16" s="18">
        <f t="shared" ref="Y16:Y25" si="0">(Q16-K16)/K16</f>
        <v>-5.216824258232778E-2</v>
      </c>
      <c r="AA16" s="18"/>
    </row>
    <row r="17" spans="1:27" x14ac:dyDescent="0.2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Y17" s="18"/>
      <c r="AA17" s="18"/>
    </row>
    <row r="18" spans="1:27" x14ac:dyDescent="0.2">
      <c r="A18" t="s">
        <v>11</v>
      </c>
      <c r="E18" s="5">
        <v>1.5</v>
      </c>
      <c r="F18" s="5"/>
      <c r="G18" s="5">
        <v>0.2</v>
      </c>
      <c r="H18" s="5"/>
      <c r="I18" s="5">
        <f t="shared" ref="I18:I23" si="1">+E18-G18</f>
        <v>1.3</v>
      </c>
      <c r="K18" s="5">
        <v>1.8</v>
      </c>
      <c r="L18" s="5"/>
      <c r="M18" s="5">
        <v>0.1</v>
      </c>
      <c r="N18" s="5"/>
      <c r="O18" s="5">
        <f t="shared" ref="O18:O23" si="2">+K18-M18</f>
        <v>1.7</v>
      </c>
      <c r="P18" s="5"/>
      <c r="Q18" s="5">
        <v>1.581</v>
      </c>
      <c r="R18" s="5"/>
      <c r="S18" s="5">
        <v>7.4999999999999997E-2</v>
      </c>
      <c r="T18" s="5"/>
      <c r="U18" s="5">
        <f>0</f>
        <v>0</v>
      </c>
      <c r="V18" s="5"/>
      <c r="W18" s="5">
        <f>+Q18-S18-U18</f>
        <v>1.506</v>
      </c>
      <c r="Y18" s="18">
        <f t="shared" si="0"/>
        <v>-0.12166666666666671</v>
      </c>
    </row>
    <row r="19" spans="1:27" x14ac:dyDescent="0.2">
      <c r="A19" t="s">
        <v>13</v>
      </c>
      <c r="E19" s="5">
        <v>0.6</v>
      </c>
      <c r="F19" s="5"/>
      <c r="G19" s="5">
        <v>0.2</v>
      </c>
      <c r="H19" s="5"/>
      <c r="I19" s="5">
        <f t="shared" si="1"/>
        <v>0.39999999999999997</v>
      </c>
      <c r="K19" s="5">
        <v>0.7</v>
      </c>
      <c r="L19" s="5"/>
      <c r="M19" s="5">
        <v>0.2</v>
      </c>
      <c r="N19" s="5"/>
      <c r="O19" s="5">
        <f t="shared" si="2"/>
        <v>0.49999999999999994</v>
      </c>
      <c r="P19" s="5"/>
      <c r="Q19" s="5">
        <v>0.67700000000000005</v>
      </c>
      <c r="R19" s="5"/>
      <c r="S19" s="5">
        <v>0</v>
      </c>
      <c r="T19" s="5"/>
      <c r="U19" s="5">
        <v>0.192</v>
      </c>
      <c r="V19" s="5"/>
      <c r="W19" s="5">
        <f>+Q19-S19-U19</f>
        <v>0.48500000000000004</v>
      </c>
      <c r="Y19" s="18">
        <f t="shared" si="0"/>
        <v>-3.2857142857142731E-2</v>
      </c>
    </row>
    <row r="20" spans="1:27" x14ac:dyDescent="0.2">
      <c r="A20" t="s">
        <v>18</v>
      </c>
      <c r="E20" s="10">
        <v>0.1</v>
      </c>
      <c r="F20" s="5"/>
      <c r="G20" s="10">
        <f>0</f>
        <v>0</v>
      </c>
      <c r="H20" s="5"/>
      <c r="I20" s="10">
        <f t="shared" si="1"/>
        <v>0.1</v>
      </c>
      <c r="K20" s="10">
        <v>0.1</v>
      </c>
      <c r="L20" s="5"/>
      <c r="M20" s="10">
        <f>0</f>
        <v>0</v>
      </c>
      <c r="N20" s="5"/>
      <c r="O20" s="10">
        <f t="shared" si="2"/>
        <v>0.1</v>
      </c>
      <c r="P20" s="5"/>
      <c r="Q20" s="10">
        <f>0</f>
        <v>0</v>
      </c>
      <c r="R20" s="5"/>
      <c r="S20" s="10">
        <v>0</v>
      </c>
      <c r="T20" s="5"/>
      <c r="U20" s="10">
        <v>0</v>
      </c>
      <c r="V20" s="5"/>
      <c r="W20" s="10">
        <f>+S20-U20</f>
        <v>0</v>
      </c>
      <c r="Y20" s="18">
        <f t="shared" si="0"/>
        <v>-1</v>
      </c>
    </row>
    <row r="21" spans="1:27" x14ac:dyDescent="0.2">
      <c r="A21" t="s">
        <v>12</v>
      </c>
      <c r="E21" s="5">
        <v>23.3</v>
      </c>
      <c r="F21" s="5"/>
      <c r="G21" s="5">
        <v>2.4</v>
      </c>
      <c r="H21" s="5"/>
      <c r="I21" s="5">
        <f t="shared" si="1"/>
        <v>20.900000000000002</v>
      </c>
      <c r="K21" s="5">
        <f>23.196+1+0.033-0.301</f>
        <v>23.928000000000004</v>
      </c>
      <c r="L21" s="17" t="s">
        <v>43</v>
      </c>
      <c r="M21" s="5">
        <f>2.112+1+0.033-0.098</f>
        <v>3.0470000000000002</v>
      </c>
      <c r="N21" s="17" t="s">
        <v>43</v>
      </c>
      <c r="O21" s="5">
        <f t="shared" si="2"/>
        <v>20.881000000000004</v>
      </c>
      <c r="P21" s="5"/>
      <c r="Q21" s="5">
        <v>24.757000000000001</v>
      </c>
      <c r="R21" s="5"/>
      <c r="S21" s="5">
        <v>1.1140000000000001</v>
      </c>
      <c r="T21" s="5"/>
      <c r="U21" s="5">
        <v>1.536</v>
      </c>
      <c r="V21" s="5"/>
      <c r="W21" s="5">
        <f>+Q21-S21-U21</f>
        <v>22.106999999999999</v>
      </c>
      <c r="Y21" s="18">
        <f t="shared" si="0"/>
        <v>3.4645603477097831E-2</v>
      </c>
    </row>
    <row r="22" spans="1:27" x14ac:dyDescent="0.2">
      <c r="A22" t="s">
        <v>14</v>
      </c>
      <c r="E22" s="10">
        <v>1.1000000000000001</v>
      </c>
      <c r="F22" s="5"/>
      <c r="G22" s="10">
        <f>0</f>
        <v>0</v>
      </c>
      <c r="H22" s="5"/>
      <c r="I22" s="10">
        <f t="shared" si="1"/>
        <v>1.1000000000000001</v>
      </c>
      <c r="K22" s="10">
        <v>4.0279999999999996</v>
      </c>
      <c r="L22" s="17" t="s">
        <v>44</v>
      </c>
      <c r="M22" s="10">
        <v>0.45500000000000002</v>
      </c>
      <c r="N22" s="17" t="s">
        <v>44</v>
      </c>
      <c r="O22" s="10">
        <f t="shared" si="2"/>
        <v>3.5729999999999995</v>
      </c>
      <c r="P22" s="5"/>
      <c r="Q22" s="10">
        <v>3.5990000000000002</v>
      </c>
      <c r="R22" s="5"/>
      <c r="S22" s="10">
        <v>7.2999999999999995E-2</v>
      </c>
      <c r="T22" s="5"/>
      <c r="U22" s="10">
        <v>0</v>
      </c>
      <c r="V22" s="5"/>
      <c r="W22" s="10">
        <f>+Q22-S22-U22</f>
        <v>3.5260000000000002</v>
      </c>
      <c r="Y22" s="18">
        <f t="shared" si="0"/>
        <v>-0.10650446871896709</v>
      </c>
    </row>
    <row r="23" spans="1:27" x14ac:dyDescent="0.2">
      <c r="A23" t="s">
        <v>62</v>
      </c>
      <c r="E23" s="10">
        <v>0</v>
      </c>
      <c r="F23" s="5"/>
      <c r="G23" s="10">
        <v>0</v>
      </c>
      <c r="H23" s="5"/>
      <c r="I23" s="10">
        <f t="shared" si="1"/>
        <v>0</v>
      </c>
      <c r="K23" s="10">
        <v>0.16900000000000001</v>
      </c>
      <c r="L23" s="5"/>
      <c r="M23" s="10">
        <f>0</f>
        <v>0</v>
      </c>
      <c r="N23" s="5"/>
      <c r="O23" s="10">
        <f t="shared" si="2"/>
        <v>0.16900000000000001</v>
      </c>
      <c r="P23" s="5"/>
      <c r="Q23" s="10">
        <f>0.169</f>
        <v>0.16900000000000001</v>
      </c>
      <c r="R23" s="5"/>
      <c r="S23" s="10">
        <v>0</v>
      </c>
      <c r="T23" s="5"/>
      <c r="U23" s="10">
        <v>0</v>
      </c>
      <c r="V23" s="5"/>
      <c r="W23" s="10">
        <f>+Q23-S23-U23</f>
        <v>0.16900000000000001</v>
      </c>
      <c r="Y23" s="18">
        <f t="shared" si="0"/>
        <v>0</v>
      </c>
    </row>
    <row r="24" spans="1:27" x14ac:dyDescent="0.2">
      <c r="Y24" s="18"/>
    </row>
    <row r="25" spans="1:27" ht="13.5" thickBot="1" x14ac:dyDescent="0.25">
      <c r="A25" t="s">
        <v>25</v>
      </c>
      <c r="E25" s="23">
        <f>SUM(E16:E23)</f>
        <v>29.3</v>
      </c>
      <c r="G25" s="23">
        <f>SUM(G16:G23)</f>
        <v>3</v>
      </c>
      <c r="I25" s="23">
        <f>SUM(I16:I23)</f>
        <v>26.300000000000004</v>
      </c>
      <c r="K25" s="23">
        <f>SUM(K16:K23)</f>
        <v>33.792000000000002</v>
      </c>
      <c r="M25" s="23">
        <f>SUM(M16:M23)</f>
        <v>4.2640000000000002</v>
      </c>
      <c r="O25" s="23">
        <f>SUM(O16:O23)</f>
        <v>29.528000000000002</v>
      </c>
      <c r="Q25" s="23">
        <f>SUM(Q16:Q23)</f>
        <v>33.69</v>
      </c>
      <c r="S25" s="23">
        <f>SUM(S16:S23)</f>
        <v>1.2870000000000001</v>
      </c>
      <c r="U25" s="23">
        <f>SUM(U16:U23)</f>
        <v>1.9790000000000001</v>
      </c>
      <c r="W25" s="23">
        <f>SUM(W16:W23)</f>
        <v>30.423999999999999</v>
      </c>
      <c r="Y25" s="21">
        <f t="shared" si="0"/>
        <v>-3.0184659090910235E-3</v>
      </c>
    </row>
    <row r="26" spans="1:27" ht="29.25" customHeight="1" thickTop="1" x14ac:dyDescent="0.2"/>
    <row r="27" spans="1:27" x14ac:dyDescent="0.2">
      <c r="A27" s="1" t="s">
        <v>26</v>
      </c>
    </row>
    <row r="28" spans="1:27" x14ac:dyDescent="0.2">
      <c r="A28" s="12" t="s">
        <v>29</v>
      </c>
      <c r="E28" s="5">
        <v>0.4</v>
      </c>
      <c r="F28" s="5"/>
      <c r="G28" s="5"/>
      <c r="H28" s="5"/>
      <c r="I28" s="5">
        <f>E28-G28</f>
        <v>0.4</v>
      </c>
      <c r="J28" s="5"/>
      <c r="K28" s="5">
        <v>0.4</v>
      </c>
      <c r="L28" s="5"/>
      <c r="M28" s="5"/>
      <c r="N28" s="5"/>
      <c r="O28" s="5">
        <f>K28-M28</f>
        <v>0.4</v>
      </c>
      <c r="P28" s="5"/>
      <c r="Q28" s="5">
        <v>0.5</v>
      </c>
      <c r="R28" s="5"/>
      <c r="S28" s="5"/>
      <c r="T28" s="5"/>
      <c r="U28" s="5"/>
      <c r="V28" s="5"/>
      <c r="W28" s="5">
        <f>Q28-S28-U28</f>
        <v>0.5</v>
      </c>
      <c r="X28" s="5"/>
      <c r="Y28" s="5"/>
    </row>
    <row r="29" spans="1:27" x14ac:dyDescent="0.2">
      <c r="A29" s="12" t="s">
        <v>30</v>
      </c>
      <c r="E29" s="5">
        <f>0</f>
        <v>0</v>
      </c>
      <c r="F29" s="5"/>
      <c r="G29" s="5"/>
      <c r="H29" s="5"/>
      <c r="I29" s="5">
        <f t="shared" ref="I29:I35" si="3">E29-G29</f>
        <v>0</v>
      </c>
      <c r="J29" s="5"/>
      <c r="K29" s="5"/>
      <c r="L29" s="5"/>
      <c r="M29" s="5"/>
      <c r="N29" s="5"/>
      <c r="O29" s="5">
        <f t="shared" ref="O29:O35" si="4">K29-M29</f>
        <v>0</v>
      </c>
      <c r="P29" s="5"/>
      <c r="Q29" s="5">
        <v>1</v>
      </c>
      <c r="R29" s="5"/>
      <c r="S29" s="5"/>
      <c r="T29" s="5"/>
      <c r="U29" s="5"/>
      <c r="V29" s="5"/>
      <c r="W29" s="5">
        <f t="shared" ref="W29:W35" si="5">Q29-S29-U29</f>
        <v>1</v>
      </c>
      <c r="X29" s="5"/>
      <c r="Y29" s="5"/>
    </row>
    <row r="30" spans="1:27" x14ac:dyDescent="0.2">
      <c r="A30" s="12" t="s">
        <v>31</v>
      </c>
      <c r="E30" s="5">
        <v>0.1</v>
      </c>
      <c r="F30" s="5"/>
      <c r="G30" s="5"/>
      <c r="H30" s="5"/>
      <c r="I30" s="5">
        <f t="shared" si="3"/>
        <v>0.1</v>
      </c>
      <c r="J30" s="5"/>
      <c r="K30" s="5">
        <v>0.1</v>
      </c>
      <c r="L30" s="5"/>
      <c r="M30" s="5"/>
      <c r="N30" s="5"/>
      <c r="O30" s="5">
        <f t="shared" si="4"/>
        <v>0.1</v>
      </c>
      <c r="P30" s="5"/>
      <c r="Q30" s="5">
        <v>0.1</v>
      </c>
      <c r="R30" s="5"/>
      <c r="S30" s="5"/>
      <c r="T30" s="5"/>
      <c r="U30" s="5"/>
      <c r="V30" s="5"/>
      <c r="W30" s="5">
        <f t="shared" si="5"/>
        <v>0.1</v>
      </c>
      <c r="X30" s="5"/>
      <c r="Y30" s="5"/>
    </row>
    <row r="31" spans="1:27" x14ac:dyDescent="0.2">
      <c r="A31" s="12" t="s">
        <v>32</v>
      </c>
      <c r="E31" s="5">
        <v>1.6</v>
      </c>
      <c r="F31" s="5"/>
      <c r="G31" s="5"/>
      <c r="H31" s="5"/>
      <c r="I31" s="5">
        <f t="shared" si="3"/>
        <v>1.6</v>
      </c>
      <c r="J31" s="5"/>
      <c r="K31" s="5">
        <v>1.6</v>
      </c>
      <c r="L31" s="5"/>
      <c r="M31" s="5"/>
      <c r="N31" s="5"/>
      <c r="O31" s="5">
        <f t="shared" si="4"/>
        <v>1.6</v>
      </c>
      <c r="P31" s="5"/>
      <c r="Q31" s="5">
        <v>0.8</v>
      </c>
      <c r="R31" s="5"/>
      <c r="S31" s="5"/>
      <c r="T31" s="5"/>
      <c r="U31" s="5"/>
      <c r="V31" s="5"/>
      <c r="W31" s="5">
        <f t="shared" si="5"/>
        <v>0.8</v>
      </c>
      <c r="X31" s="5"/>
      <c r="Y31" s="5"/>
    </row>
    <row r="32" spans="1:27" x14ac:dyDescent="0.2">
      <c r="A32" s="12" t="s">
        <v>33</v>
      </c>
      <c r="E32" s="5">
        <v>0.2</v>
      </c>
      <c r="F32" s="5"/>
      <c r="G32" s="5"/>
      <c r="H32" s="5"/>
      <c r="I32" s="5">
        <f t="shared" si="3"/>
        <v>0.2</v>
      </c>
      <c r="J32" s="5"/>
      <c r="K32" s="5">
        <v>0.5</v>
      </c>
      <c r="L32" s="5"/>
      <c r="M32" s="5"/>
      <c r="N32" s="5"/>
      <c r="O32" s="5">
        <f t="shared" si="4"/>
        <v>0.5</v>
      </c>
      <c r="P32" s="5"/>
      <c r="Q32" s="5">
        <v>1.9</v>
      </c>
      <c r="R32" s="5"/>
      <c r="S32" s="5"/>
      <c r="T32" s="5"/>
      <c r="U32" s="5"/>
      <c r="V32" s="5"/>
      <c r="W32" s="5">
        <f t="shared" si="5"/>
        <v>1.9</v>
      </c>
      <c r="X32" s="5"/>
      <c r="Y32" s="5"/>
    </row>
    <row r="33" spans="1:25" x14ac:dyDescent="0.2">
      <c r="A33" s="12" t="s">
        <v>34</v>
      </c>
      <c r="E33" s="5">
        <v>0.7</v>
      </c>
      <c r="F33" s="5"/>
      <c r="G33" s="5">
        <v>0.1</v>
      </c>
      <c r="H33" s="5"/>
      <c r="I33" s="5">
        <f t="shared" si="3"/>
        <v>0.6</v>
      </c>
      <c r="J33" s="5"/>
      <c r="K33" s="5">
        <v>0.9</v>
      </c>
      <c r="L33" s="5"/>
      <c r="M33" s="5">
        <v>0.2</v>
      </c>
      <c r="N33" s="5"/>
      <c r="O33" s="5">
        <f t="shared" si="4"/>
        <v>0.7</v>
      </c>
      <c r="P33" s="5"/>
      <c r="Q33" s="5">
        <v>1.0760000000000001</v>
      </c>
      <c r="R33" s="5"/>
      <c r="S33" s="5"/>
      <c r="T33" s="5"/>
      <c r="U33" s="5">
        <v>0.19400000000000001</v>
      </c>
      <c r="V33" s="5"/>
      <c r="W33" s="5">
        <f t="shared" si="5"/>
        <v>0.88200000000000012</v>
      </c>
      <c r="X33" s="5"/>
      <c r="Y33" s="5"/>
    </row>
    <row r="34" spans="1:25" x14ac:dyDescent="0.2">
      <c r="A34" s="13" t="s">
        <v>40</v>
      </c>
      <c r="E34" s="5">
        <v>0.2</v>
      </c>
      <c r="F34" s="5"/>
      <c r="G34" s="5">
        <f>0</f>
        <v>0</v>
      </c>
      <c r="H34" s="5"/>
      <c r="I34" s="5">
        <f t="shared" si="3"/>
        <v>0.2</v>
      </c>
      <c r="J34" s="5"/>
      <c r="K34" s="5"/>
      <c r="L34" s="5"/>
      <c r="M34" s="5"/>
      <c r="N34" s="5"/>
      <c r="O34" s="5">
        <f t="shared" si="4"/>
        <v>0</v>
      </c>
      <c r="P34" s="5"/>
      <c r="Q34" s="5"/>
      <c r="R34" s="5"/>
      <c r="S34" s="5"/>
      <c r="T34" s="5"/>
      <c r="U34" s="5"/>
      <c r="V34" s="5"/>
      <c r="W34" s="5">
        <f t="shared" si="5"/>
        <v>0</v>
      </c>
      <c r="X34" s="5"/>
      <c r="Y34" s="5"/>
    </row>
    <row r="35" spans="1:25" x14ac:dyDescent="0.2">
      <c r="A35" s="12" t="s">
        <v>35</v>
      </c>
      <c r="E35" s="6">
        <v>0.1</v>
      </c>
      <c r="F35" s="5"/>
      <c r="G35" s="6"/>
      <c r="H35" s="5"/>
      <c r="I35" s="6">
        <f t="shared" si="3"/>
        <v>0.1</v>
      </c>
      <c r="J35" s="5"/>
      <c r="K35" s="6">
        <v>0.1</v>
      </c>
      <c r="L35" s="5"/>
      <c r="M35" s="6"/>
      <c r="N35" s="5"/>
      <c r="O35" s="6">
        <f t="shared" si="4"/>
        <v>0.1</v>
      </c>
      <c r="P35" s="5"/>
      <c r="Q35" s="6">
        <v>0.1</v>
      </c>
      <c r="R35" s="5"/>
      <c r="S35" s="6"/>
      <c r="T35" s="5"/>
      <c r="U35" s="6"/>
      <c r="V35" s="5"/>
      <c r="W35" s="6">
        <f t="shared" si="5"/>
        <v>0.1</v>
      </c>
      <c r="X35" s="5"/>
      <c r="Y35" s="5"/>
    </row>
    <row r="36" spans="1:25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 thickBot="1" x14ac:dyDescent="0.25">
      <c r="A37" t="s">
        <v>27</v>
      </c>
      <c r="E37" s="7">
        <f>SUM(E28:E36)</f>
        <v>3.3000000000000003</v>
      </c>
      <c r="F37" s="5"/>
      <c r="G37" s="7">
        <f>SUM(G28:G36)</f>
        <v>0.1</v>
      </c>
      <c r="H37" s="5"/>
      <c r="I37" s="7">
        <f>SUM(I28:I36)</f>
        <v>3.2000000000000006</v>
      </c>
      <c r="J37" s="5"/>
      <c r="K37" s="7">
        <f>SUM(K28:K36)</f>
        <v>3.6</v>
      </c>
      <c r="L37" s="5"/>
      <c r="M37" s="7">
        <f>SUM(M28:M36)</f>
        <v>0.2</v>
      </c>
      <c r="N37" s="5"/>
      <c r="O37" s="7">
        <f>SUM(O28:O36)</f>
        <v>3.4</v>
      </c>
      <c r="P37" s="5"/>
      <c r="Q37" s="7">
        <f>SUM(Q28:Q36)</f>
        <v>5.4760000000000009</v>
      </c>
      <c r="R37" s="5"/>
      <c r="S37" s="7">
        <f>SUM(S28:S36)</f>
        <v>0</v>
      </c>
      <c r="T37" s="5"/>
      <c r="U37" s="7">
        <f>SUM(U28:U36)</f>
        <v>0.19400000000000001</v>
      </c>
      <c r="V37" s="5"/>
      <c r="W37" s="7">
        <f>SUM(W28:W36)</f>
        <v>5.282</v>
      </c>
      <c r="X37" s="5"/>
      <c r="Y37" s="5"/>
    </row>
    <row r="38" spans="1:25" ht="13.5" thickTop="1" x14ac:dyDescent="0.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">
      <c r="A39" s="16" t="s">
        <v>45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">
      <c r="A40" s="16" t="s">
        <v>46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">
      <c r="A41" s="16" t="s">
        <v>53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">
      <c r="A42" s="16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">
      <c r="A43" s="16" t="s">
        <v>51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">
      <c r="A46" s="24" t="str">
        <f ca="1">CELL("filename")</f>
        <v>C:\Users\Felienne\Enron\EnronSpreadsheets\[kimberly_watson__20597__NNG_TWO&amp;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">
      <c r="A47" s="25">
        <f ca="1">NOW()</f>
        <v>41886.491995949073</v>
      </c>
    </row>
  </sheetData>
  <printOptions horizontalCentered="1"/>
  <pageMargins left="0.5" right="0.5" top="0.5" bottom="0.5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NNG</vt:lpstr>
      <vt:lpstr>TW</vt:lpstr>
      <vt:lpstr>Sheet3</vt:lpstr>
      <vt:lpstr>NNG!Print_Area</vt:lpstr>
      <vt:lpstr>TW!Print_Area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2000-09-01T17:15:26Z</cp:lastPrinted>
  <dcterms:created xsi:type="dcterms:W3CDTF">2000-08-09T20:21:24Z</dcterms:created>
  <dcterms:modified xsi:type="dcterms:W3CDTF">2014-09-04T09:48:28Z</dcterms:modified>
</cp:coreProperties>
</file>