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7050" activeTab="4"/>
  </bookViews>
  <sheets>
    <sheet name="Turbine" sheetId="8" r:id="rId1"/>
    <sheet name="Gen Engines" sheetId="11" r:id="rId2"/>
    <sheet name="Netting" sheetId="6" r:id="rId3"/>
    <sheet name="Alternative" sheetId="9" r:id="rId4"/>
    <sheet name="Example" sheetId="12" r:id="rId5"/>
    <sheet name="Summary" sheetId="5" r:id="rId6"/>
  </sheets>
  <definedNames>
    <definedName name="_xlnm.Print_Area" localSheetId="3">Alternative!$A$1:$J$30</definedName>
    <definedName name="_xlnm.Print_Area" localSheetId="4">Example!$A$1:$L$54</definedName>
    <definedName name="_xlnm.Print_Area" localSheetId="1">'Gen Engines'!$A$1:$L$39</definedName>
    <definedName name="_xlnm.Print_Area" localSheetId="2">Netting!$A$1:$H$64</definedName>
    <definedName name="_xlnm.Print_Area" localSheetId="0">Turbine!$A$1:$K$67</definedName>
  </definedNames>
  <calcPr calcId="152511"/>
</workbook>
</file>

<file path=xl/calcChain.xml><?xml version="1.0" encoding="utf-8"?>
<calcChain xmlns="http://schemas.openxmlformats.org/spreadsheetml/2006/main">
  <c r="B25" i="9" l="1"/>
  <c r="C25" i="9"/>
  <c r="D25" i="9"/>
  <c r="E25" i="9"/>
  <c r="E26" i="9" s="1"/>
  <c r="F25" i="9"/>
  <c r="F26" i="9" s="1"/>
  <c r="B26" i="9"/>
  <c r="C26" i="9"/>
  <c r="E29" i="9"/>
  <c r="F29" i="9"/>
  <c r="A34" i="12"/>
  <c r="A37" i="12"/>
  <c r="B16" i="11"/>
  <c r="B18" i="11" s="1"/>
  <c r="B35" i="11"/>
  <c r="D19" i="5" s="1"/>
  <c r="B36" i="11"/>
  <c r="C36" i="11" s="1"/>
  <c r="B37" i="11"/>
  <c r="C37" i="11"/>
  <c r="B38" i="11"/>
  <c r="C38" i="11"/>
  <c r="E50" i="6" s="1"/>
  <c r="F12" i="6"/>
  <c r="F13" i="6"/>
  <c r="F14" i="6"/>
  <c r="F15" i="6"/>
  <c r="C44" i="6" s="1"/>
  <c r="C37" i="6"/>
  <c r="B41" i="6" s="1"/>
  <c r="D37" i="6"/>
  <c r="E41" i="6" s="1"/>
  <c r="E46" i="6" s="1"/>
  <c r="E54" i="6" s="1"/>
  <c r="E37" i="6"/>
  <c r="E42" i="6" s="1"/>
  <c r="F37" i="6"/>
  <c r="E44" i="6" s="1"/>
  <c r="G37" i="6"/>
  <c r="D41" i="6"/>
  <c r="B42" i="6"/>
  <c r="E43" i="6"/>
  <c r="D50" i="6"/>
  <c r="F19" i="5"/>
  <c r="H19" i="5"/>
  <c r="I19" i="5"/>
  <c r="J19" i="5"/>
  <c r="E26" i="5"/>
  <c r="G26" i="5"/>
  <c r="I26" i="5"/>
  <c r="K26" i="5"/>
  <c r="M26" i="5"/>
  <c r="E27" i="5"/>
  <c r="G27" i="5"/>
  <c r="M29" i="5"/>
  <c r="M30" i="5"/>
  <c r="I32" i="5"/>
  <c r="D33" i="5"/>
  <c r="F33" i="5"/>
  <c r="H33" i="5"/>
  <c r="J33" i="5"/>
  <c r="L33" i="5"/>
  <c r="B19" i="8"/>
  <c r="B23" i="8" s="1"/>
  <c r="B21" i="8"/>
  <c r="B24" i="8"/>
  <c r="B25" i="8"/>
  <c r="D30" i="8"/>
  <c r="D41" i="8" s="1"/>
  <c r="F30" i="8"/>
  <c r="H30" i="8"/>
  <c r="D31" i="8"/>
  <c r="F31" i="8"/>
  <c r="H31" i="8"/>
  <c r="D32" i="8"/>
  <c r="F32" i="8"/>
  <c r="F41" i="8" s="1"/>
  <c r="C53" i="8" s="1"/>
  <c r="C63" i="8" s="1"/>
  <c r="H32" i="8"/>
  <c r="H41" i="8" s="1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D38" i="8"/>
  <c r="F38" i="8"/>
  <c r="H38" i="8"/>
  <c r="D39" i="8"/>
  <c r="F39" i="8"/>
  <c r="H39" i="8"/>
  <c r="D40" i="8"/>
  <c r="F40" i="8"/>
  <c r="H40" i="8"/>
  <c r="C41" i="8"/>
  <c r="E41" i="8"/>
  <c r="G41" i="8"/>
  <c r="D42" i="8"/>
  <c r="E42" i="8"/>
  <c r="F42" i="8" s="1"/>
  <c r="G42" i="8"/>
  <c r="H42" i="8"/>
  <c r="B52" i="8"/>
  <c r="B53" i="8"/>
  <c r="B63" i="8" s="1"/>
  <c r="B54" i="8"/>
  <c r="B64" i="8" s="1"/>
  <c r="B55" i="8"/>
  <c r="C55" i="8"/>
  <c r="B56" i="8"/>
  <c r="C56" i="8"/>
  <c r="C66" i="8" s="1"/>
  <c r="B57" i="8"/>
  <c r="B67" i="8" s="1"/>
  <c r="A50" i="12" s="1"/>
  <c r="C57" i="8"/>
  <c r="C67" i="8" s="1"/>
  <c r="A53" i="12" s="1"/>
  <c r="B62" i="8"/>
  <c r="D18" i="5" s="1"/>
  <c r="B65" i="8"/>
  <c r="J18" i="5" s="1"/>
  <c r="J20" i="5" s="1"/>
  <c r="C65" i="8"/>
  <c r="K18" i="5" s="1"/>
  <c r="B66" i="8"/>
  <c r="L18" i="5" s="1"/>
  <c r="G18" i="5" l="1"/>
  <c r="A22" i="12"/>
  <c r="C49" i="6"/>
  <c r="D20" i="5"/>
  <c r="A20" i="12"/>
  <c r="F18" i="5"/>
  <c r="F20" i="5" s="1"/>
  <c r="C54" i="8"/>
  <c r="C64" i="8" s="1"/>
  <c r="B39" i="11"/>
  <c r="B19" i="11"/>
  <c r="M18" i="5"/>
  <c r="F49" i="6"/>
  <c r="A45" i="12"/>
  <c r="K27" i="5"/>
  <c r="E27" i="9"/>
  <c r="K28" i="5" s="1"/>
  <c r="K20" i="5"/>
  <c r="C50" i="6"/>
  <c r="G19" i="5"/>
  <c r="G32" i="5" s="1"/>
  <c r="M27" i="5"/>
  <c r="F30" i="9"/>
  <c r="F27" i="9"/>
  <c r="M28" i="5" s="1"/>
  <c r="C52" i="8"/>
  <c r="C62" i="8" s="1"/>
  <c r="A27" i="12"/>
  <c r="H18" i="5"/>
  <c r="H20" i="5" s="1"/>
  <c r="B44" i="6"/>
  <c r="D42" i="6"/>
  <c r="D26" i="9"/>
  <c r="D43" i="6"/>
  <c r="F41" i="6"/>
  <c r="F43" i="6"/>
  <c r="C42" i="6"/>
  <c r="C35" i="11"/>
  <c r="A42" i="12"/>
  <c r="A13" i="12"/>
  <c r="K19" i="5"/>
  <c r="K32" i="5" s="1"/>
  <c r="F44" i="6"/>
  <c r="C43" i="6"/>
  <c r="C27" i="9"/>
  <c r="G28" i="5" s="1"/>
  <c r="B43" i="6"/>
  <c r="B46" i="6" s="1"/>
  <c r="B54" i="6" s="1"/>
  <c r="B27" i="9"/>
  <c r="E28" i="5" s="1"/>
  <c r="E49" i="6"/>
  <c r="E51" i="6" s="1"/>
  <c r="E57" i="6" s="1"/>
  <c r="D44" i="6"/>
  <c r="F42" i="6"/>
  <c r="C41" i="6"/>
  <c r="E33" i="5" l="1"/>
  <c r="E19" i="5"/>
  <c r="E32" i="5" s="1"/>
  <c r="B50" i="6"/>
  <c r="E30" i="9"/>
  <c r="A29" i="12"/>
  <c r="D49" i="6"/>
  <c r="D51" i="6" s="1"/>
  <c r="D57" i="6" s="1"/>
  <c r="I18" i="5"/>
  <c r="I20" i="5" s="1"/>
  <c r="C51" i="6"/>
  <c r="B49" i="6"/>
  <c r="E18" i="5"/>
  <c r="E20" i="5" s="1"/>
  <c r="A15" i="12"/>
  <c r="F46" i="6"/>
  <c r="F54" i="6" s="1"/>
  <c r="L19" i="5"/>
  <c r="L20" i="5" s="1"/>
  <c r="C39" i="11"/>
  <c r="B30" i="9"/>
  <c r="D27" i="9"/>
  <c r="I27" i="5"/>
  <c r="K33" i="5"/>
  <c r="C30" i="9"/>
  <c r="G33" i="5"/>
  <c r="C46" i="6"/>
  <c r="C54" i="6" s="1"/>
  <c r="D46" i="6"/>
  <c r="D54" i="6" s="1"/>
  <c r="G20" i="5"/>
  <c r="F50" i="6" l="1"/>
  <c r="F51" i="6" s="1"/>
  <c r="F57" i="6" s="1"/>
  <c r="M19" i="5"/>
  <c r="B51" i="6"/>
  <c r="B57" i="6" s="1"/>
  <c r="I28" i="5"/>
  <c r="I33" i="5" s="1"/>
  <c r="D30" i="9"/>
  <c r="C57" i="6"/>
  <c r="M32" i="5" l="1"/>
  <c r="M33" i="5" s="1"/>
  <c r="M20" i="5"/>
</calcChain>
</file>

<file path=xl/sharedStrings.xml><?xml version="1.0" encoding="utf-8"?>
<sst xmlns="http://schemas.openxmlformats.org/spreadsheetml/2006/main" count="371" uniqueCount="180">
  <si>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</si>
  <si>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</si>
  <si>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</si>
  <si>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</si>
  <si>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</si>
  <si>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</si>
  <si>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</si>
  <si>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</si>
  <si>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</si>
  <si>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</si>
  <si>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</si>
  <si>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</si>
  <si>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</si>
  <si>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</si>
  <si>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</si>
  <si>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</si>
  <si>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</si>
  <si>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</si>
  <si>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</si>
  <si>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</si>
  <si>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</si>
  <si>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</si>
  <si>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</si>
  <si>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</si>
  <si>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</si>
  <si>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</si>
  <si>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</si>
  <si>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</si>
  <si>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</si>
  <si>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</si>
  <si>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</si>
  <si>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</si>
  <si>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</si>
  <si>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ALTERNATIVE OPERATING SCENARIO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</si>
  <si>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</si>
  <si>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</si>
  <si>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</si>
  <si>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</si>
  <si>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</si>
  <si>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</si>
  <si>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</si>
  <si>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</si>
  <si>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</si>
  <si>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</si>
  <si>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</si>
  <si>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</si>
  <si>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</si>
  <si>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</si>
  <si>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</si>
  <si>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</si>
  <si>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</si>
  <si>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</si>
  <si>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</si>
  <si>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</si>
  <si>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</si>
  <si>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</si>
  <si>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</si>
  <si>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</si>
  <si>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</si>
  <si>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</si>
  <si>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</si>
  <si>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</si>
  <si>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</si>
  <si>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</si>
  <si>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</si>
  <si>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</si>
  <si>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</si>
  <si>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</si>
  <si>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</si>
  <si>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</si>
  <si>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</si>
  <si>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</si>
  <si>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</si>
  <si>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</si>
  <si>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</si>
  <si>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</si>
  <si>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</si>
  <si>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</si>
  <si>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</si>
  <si>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 xml:space="preserve">     and 64% load 20% of  the time.</t>
  </si>
  <si>
    <t>KINGMAN COMPRESSOR STATION</t>
  </si>
  <si>
    <t>Waukesha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</si>
  <si>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</si>
  <si>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</si>
  <si>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</si>
  <si>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</si>
  <si>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</si>
  <si>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</si>
  <si>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</si>
  <si>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</si>
  <si>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</si>
  <si>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</si>
  <si>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</si>
  <si>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Table 4</t>
  </si>
  <si>
    <t>SUMMARY OF STATION EMISSIONS</t>
  </si>
  <si>
    <t>PRIMARY OPERATING SCENARIO</t>
  </si>
  <si>
    <t>Source ID</t>
  </si>
  <si>
    <t>P1</t>
  </si>
  <si>
    <t>P2</t>
  </si>
  <si>
    <t>P3</t>
  </si>
  <si>
    <t>P4</t>
  </si>
  <si>
    <t>P5</t>
  </si>
  <si>
    <t>Source Name</t>
  </si>
  <si>
    <t>Compressor Turbine</t>
  </si>
  <si>
    <t>Compressor Engine 1</t>
  </si>
  <si>
    <t>Compressor Engine 2</t>
  </si>
  <si>
    <t>Compressor Engine 3</t>
  </si>
  <si>
    <t>Generator Engine 1</t>
  </si>
  <si>
    <t>Generator Engine 2</t>
  </si>
  <si>
    <t>P7</t>
  </si>
  <si>
    <t>P8</t>
  </si>
  <si>
    <t>lb/hr</t>
  </si>
  <si>
    <t>tpy</t>
  </si>
  <si>
    <t>Gen Rate hp:</t>
  </si>
  <si>
    <t>Comp Rated hp:</t>
  </si>
  <si>
    <t>GENERATOR ENGINE INFORMATION</t>
  </si>
  <si>
    <t>Gen Eng 1</t>
  </si>
  <si>
    <t>Table 5</t>
  </si>
  <si>
    <t>(Max Heat Rate/HHV)</t>
  </si>
  <si>
    <t>(Avg Heat Rate/HHV)</t>
  </si>
  <si>
    <t>(Avg Fuel x 8760)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</si>
  <si>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</si>
  <si>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</si>
  <si>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</si>
  <si>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</si>
  <si>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>EXAMPLE EMISSION CALCULATIONS</t>
  </si>
  <si>
    <t>GE LM2500 TURBINE</t>
  </si>
  <si>
    <t>Maximum Hourly (lb/hr)</t>
  </si>
  <si>
    <t>Annual (ton per year)</t>
  </si>
  <si>
    <t>lb/hr =</t>
  </si>
  <si>
    <t>tpy =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</si>
  <si>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</si>
  <si>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NOx Emissions</t>
  </si>
  <si>
    <t>CO Emissions</t>
  </si>
  <si>
    <t>VOC Emissions</t>
  </si>
  <si>
    <t>Particulate Emissions</t>
  </si>
  <si>
    <t>Formaldehyde Emissions</t>
  </si>
  <si>
    <t>385.80 MMBtu/hr x 7.1E-4 lb/MMBtu</t>
  </si>
  <si>
    <t>Table 6</t>
  </si>
  <si>
    <r>
      <t>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</t>
    </r>
  </si>
  <si>
    <t>Diesel</t>
  </si>
  <si>
    <t>hp @100% Load</t>
  </si>
  <si>
    <t>Caterpillar 3406B</t>
  </si>
  <si>
    <t>Fuel Flow Rate:</t>
  </si>
  <si>
    <t>gal/hr</t>
  </si>
  <si>
    <t>Diesel Heat:</t>
  </si>
  <si>
    <t>Btu/lb</t>
  </si>
  <si>
    <t>lb/hr @s.g. 0.87</t>
  </si>
  <si>
    <t>Emission Factors</t>
  </si>
  <si>
    <t>Units</t>
  </si>
  <si>
    <t>Source</t>
  </si>
  <si>
    <t>Mfr</t>
  </si>
  <si>
    <t>AP-42</t>
  </si>
  <si>
    <t>Proposed Generator Engine  Emissions</t>
  </si>
  <si>
    <t>Operating Schedule:</t>
  </si>
  <si>
    <t>hours/yr</t>
  </si>
  <si>
    <t>Rate</t>
  </si>
  <si>
    <r>
      <t>1. Turbine PM and SO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emission factors from AP-42 (04/00).</t>
    </r>
  </si>
  <si>
    <t>4. Contemporaneous decreases are from permanent shutdown of Units 101, 102, 103, 121 and 122.</t>
  </si>
  <si>
    <t>2. Proposed NOx, CO, and VOC emissions based on 80/20 split.  Turbine will operate at 100% load 80% of the time</t>
  </si>
  <si>
    <t>3. Contemporaneous increases are from proposed turbine and generator engine.</t>
  </si>
  <si>
    <t xml:space="preserve">Diesel Generator Engine </t>
  </si>
  <si>
    <t>Diesel Generator Engine</t>
  </si>
  <si>
    <t>@base load 80% of time, 64% load 20% of time; assume 10% NMHC.</t>
  </si>
  <si>
    <t>Rated Power:</t>
  </si>
  <si>
    <t>Proposed Turbine Emissions with 15% Safety Factor</t>
  </si>
  <si>
    <r>
      <t>maximum hourly emission rate at 64% load at 0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F x 1.15</t>
    </r>
  </si>
  <si>
    <t>(80% x annual avg emission rate) + (20% x annual emission rate based on maximum hourly) x 1.15</t>
  </si>
  <si>
    <t>((0.8 x 109.06) + (0.2 x 121.76)) x 1.15</t>
  </si>
  <si>
    <t>((0.8 x 66.58) + (0.2 x 74.02)) x 1.15</t>
  </si>
  <si>
    <r>
      <t>maximum hourly emission rate at 64% load at 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10% NMHC x 1.15</t>
    </r>
  </si>
  <si>
    <t>((80% x annual avg emission rate) + (20% x annual emission rate based on maximum hourly)) x 10% NMHC x 1.15</t>
  </si>
  <si>
    <t>((0.8 x 22.34) + (0.2 x 25.84)) x 0.1 x 1.15</t>
  </si>
  <si>
    <r>
      <t>maximum heat rate at 50% load at 95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1.15</t>
    </r>
  </si>
  <si>
    <t>385.80 MMBtu/hr x 6.6E-3 lb/MMBtu x 1.15</t>
  </si>
  <si>
    <r>
      <t>avg heat rate at base load at 60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8760 hrs/yr x 1 ton/2000 lbs x 1.15</t>
    </r>
  </si>
  <si>
    <t>211.15 MMBtu/hr x 6.6E-3 lb/MMBtu x 8760 / 2000 x 1.15</t>
  </si>
  <si>
    <t>385.80 MMBtu/hr x 3.4E-3 lb/MMBtu x 1.15</t>
  </si>
  <si>
    <t>211.15 MMBtu/hr x 3.4E-3 lb/MMBtu x 8760 / 2000 x 1.15</t>
  </si>
  <si>
    <t>211.15 MMBtu/hr x 7.1E-4 lb/MMBtu x 8760 / 2000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</si>
</sst>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2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0" fontId="4" fillId="0" borderId="5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0" fillId="0" borderId="7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/>
    <xf numFmtId="1" fontId="4" fillId="0" borderId="0" xfId="0" applyNumberFormat="1" applyFont="1"/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38" zoomScale="75" workbookViewId="0">
      <selection activeCell="C62" sqref="C62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" bestFit="1" customWidth="1"/>
    <col min="11" max="11" width="10.85546875" bestFit="1" customWidth="1"/>
  </cols>
  <sheetData>
    <row r="1" spans="1:15" ht="23.25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3.25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3.25" x14ac:dyDescent="0.35">
      <c r="A3" s="34" t="s">
        <v>80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8" x14ac:dyDescent="0.25">
      <c r="A5" s="59" t="s">
        <v>53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36"/>
      <c r="M5" s="36"/>
      <c r="N5" s="36"/>
      <c r="O5" s="36"/>
    </row>
    <row r="6" spans="1:15" ht="18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36"/>
      <c r="M6" s="36"/>
      <c r="N6" s="36"/>
      <c r="O6" s="36"/>
    </row>
    <row r="7" spans="1:15" ht="20.25" x14ac:dyDescent="0.3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10" spans="1:15" ht="18" x14ac:dyDescent="0.25">
      <c r="A10" s="1" t="s">
        <v>3</v>
      </c>
      <c r="B10" s="1" t="s">
        <v>67</v>
      </c>
      <c r="C10" s="1"/>
      <c r="D10" s="1"/>
      <c r="E10" s="1"/>
      <c r="F10" s="26"/>
      <c r="G10" s="26"/>
      <c r="H10" s="26"/>
      <c r="I10" s="26"/>
      <c r="J10" s="1"/>
      <c r="K10" s="1"/>
      <c r="L10" s="1"/>
      <c r="M10" s="1"/>
    </row>
    <row r="11" spans="1:15" ht="18" x14ac:dyDescent="0.25">
      <c r="A11" s="1" t="s">
        <v>4</v>
      </c>
      <c r="B11" s="1" t="s">
        <v>5</v>
      </c>
      <c r="C11" s="1"/>
      <c r="D11" s="1"/>
      <c r="E11" s="1"/>
      <c r="F11" s="26"/>
      <c r="G11" s="26"/>
      <c r="H11" s="26"/>
      <c r="I11" s="26"/>
      <c r="J11" s="1"/>
      <c r="K11" s="1"/>
      <c r="L11" s="1"/>
      <c r="M11" s="1"/>
    </row>
    <row r="12" spans="1:15" ht="18" x14ac:dyDescent="0.25">
      <c r="A12" s="1" t="s">
        <v>88</v>
      </c>
      <c r="B12" s="1">
        <v>1020</v>
      </c>
      <c r="C12" s="1" t="s">
        <v>87</v>
      </c>
      <c r="D12" s="1"/>
      <c r="E12" s="1"/>
      <c r="F12" s="26"/>
      <c r="G12" s="26"/>
      <c r="H12" s="26"/>
      <c r="I12" s="26"/>
      <c r="J12" s="1"/>
      <c r="K12" s="1"/>
      <c r="L12" s="1"/>
      <c r="M12" s="1"/>
    </row>
    <row r="13" spans="1:15" ht="18" x14ac:dyDescent="0.25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  <c r="M13" s="1"/>
    </row>
    <row r="14" spans="1:15" ht="19.5" x14ac:dyDescent="0.35">
      <c r="A14" s="1" t="s">
        <v>7</v>
      </c>
      <c r="B14" s="16">
        <v>4</v>
      </c>
      <c r="C14" s="1" t="s">
        <v>82</v>
      </c>
      <c r="D14" s="1"/>
      <c r="E14" s="1"/>
      <c r="F14" s="26"/>
      <c r="G14" s="26"/>
      <c r="H14" s="26"/>
      <c r="I14" s="26"/>
      <c r="J14" s="1"/>
      <c r="K14" s="1"/>
      <c r="L14" s="1"/>
      <c r="M14" s="1"/>
    </row>
    <row r="15" spans="1:15" ht="19.5" x14ac:dyDescent="0.35">
      <c r="A15" s="1" t="s">
        <v>8</v>
      </c>
      <c r="B15" s="16">
        <v>4</v>
      </c>
      <c r="C15" s="1" t="s">
        <v>82</v>
      </c>
      <c r="D15" s="1"/>
      <c r="E15" s="1"/>
      <c r="F15" s="26"/>
      <c r="G15" s="26"/>
      <c r="H15" s="26"/>
      <c r="I15" s="26"/>
      <c r="J15" s="1"/>
      <c r="K15" s="1"/>
      <c r="L15" s="1"/>
      <c r="M15" s="1"/>
    </row>
    <row r="16" spans="1:15" ht="18.75" x14ac:dyDescent="0.25">
      <c r="A16" s="1" t="s">
        <v>9</v>
      </c>
      <c r="B16" s="1">
        <v>40916</v>
      </c>
      <c r="C16" s="1" t="s">
        <v>83</v>
      </c>
      <c r="D16" s="1"/>
      <c r="E16" s="1"/>
      <c r="F16" s="26"/>
      <c r="G16" s="26"/>
      <c r="H16" s="26"/>
      <c r="I16" s="26"/>
      <c r="J16" s="1"/>
      <c r="K16" s="1"/>
      <c r="L16" s="1"/>
      <c r="M16" s="1"/>
    </row>
    <row r="17" spans="1:13" ht="18.75" x14ac:dyDescent="0.25">
      <c r="A17" s="1"/>
      <c r="B17" s="1">
        <v>33526</v>
      </c>
      <c r="C17" s="1" t="s">
        <v>84</v>
      </c>
      <c r="D17" s="1"/>
      <c r="E17" s="1"/>
      <c r="F17" s="26"/>
      <c r="G17" s="26"/>
      <c r="H17" s="26"/>
      <c r="I17" s="26"/>
      <c r="J17" s="1"/>
      <c r="K17" s="1"/>
      <c r="L17" s="1"/>
      <c r="M17" s="1"/>
    </row>
    <row r="18" spans="1:13" ht="18.75" x14ac:dyDescent="0.25">
      <c r="A18" s="1" t="s">
        <v>73</v>
      </c>
      <c r="B18" s="1">
        <v>9429</v>
      </c>
      <c r="C18" s="1" t="s">
        <v>131</v>
      </c>
      <c r="D18" s="1"/>
      <c r="E18" s="1"/>
      <c r="F18" s="26"/>
      <c r="G18" s="26"/>
      <c r="H18" s="26"/>
      <c r="I18" s="26"/>
      <c r="J18" s="1"/>
      <c r="K18" s="1"/>
      <c r="L18" s="1"/>
      <c r="M18" s="1"/>
    </row>
    <row r="19" spans="1:13" ht="18.75" x14ac:dyDescent="0.25">
      <c r="A19" s="1"/>
      <c r="B19" s="15">
        <f>+B16*B18/1000000</f>
        <v>385.796964</v>
      </c>
      <c r="C19" s="1" t="s">
        <v>25</v>
      </c>
      <c r="D19" s="1" t="s">
        <v>121</v>
      </c>
      <c r="E19" s="1"/>
      <c r="F19" s="26"/>
      <c r="G19" s="26"/>
      <c r="H19" s="26"/>
      <c r="I19" s="26"/>
      <c r="J19" s="1"/>
      <c r="K19" s="1"/>
      <c r="L19" s="1"/>
      <c r="M19" s="1"/>
    </row>
    <row r="20" spans="1:13" ht="18.75" x14ac:dyDescent="0.25">
      <c r="A20" s="1" t="s">
        <v>74</v>
      </c>
      <c r="B20" s="15">
        <v>6298</v>
      </c>
      <c r="C20" s="1" t="s">
        <v>85</v>
      </c>
      <c r="D20" s="1"/>
      <c r="E20" s="1"/>
      <c r="F20" s="26"/>
      <c r="G20" s="26"/>
      <c r="H20" s="26"/>
      <c r="I20" s="26"/>
      <c r="J20" s="1"/>
      <c r="K20" s="1"/>
      <c r="L20" s="1"/>
      <c r="M20" s="1"/>
    </row>
    <row r="21" spans="1:13" ht="18.75" x14ac:dyDescent="0.25">
      <c r="A21" s="1"/>
      <c r="B21" s="15">
        <f>+B20*B17/1000000</f>
        <v>211.146748</v>
      </c>
      <c r="C21" s="1" t="s">
        <v>25</v>
      </c>
      <c r="D21" s="1" t="s">
        <v>122</v>
      </c>
      <c r="E21" s="1"/>
      <c r="F21" s="26"/>
      <c r="G21" s="26"/>
      <c r="H21" s="26"/>
      <c r="I21" s="26"/>
      <c r="J21" s="1"/>
      <c r="K21" s="1"/>
      <c r="L21" s="1"/>
      <c r="M21" s="1"/>
    </row>
    <row r="22" spans="1:13" ht="18" x14ac:dyDescent="0.25">
      <c r="A22" s="1" t="s">
        <v>11</v>
      </c>
      <c r="B22" s="1">
        <v>6100</v>
      </c>
      <c r="C22" s="1" t="s">
        <v>12</v>
      </c>
      <c r="D22" s="1"/>
      <c r="E22" s="1"/>
      <c r="F22" s="26"/>
      <c r="G22" s="26"/>
      <c r="H22" s="26"/>
      <c r="I22" s="26"/>
      <c r="J22" s="1"/>
      <c r="K22" s="1"/>
      <c r="L22" s="1"/>
      <c r="M22" s="1"/>
    </row>
    <row r="23" spans="1:13" ht="18" x14ac:dyDescent="0.25">
      <c r="A23" s="1" t="s">
        <v>86</v>
      </c>
      <c r="B23" s="15">
        <f>+B19/B12</f>
        <v>0.37823231764705884</v>
      </c>
      <c r="C23" s="1" t="s">
        <v>89</v>
      </c>
      <c r="D23" s="1" t="s">
        <v>118</v>
      </c>
      <c r="E23" s="1"/>
      <c r="F23" s="26"/>
      <c r="G23" s="26"/>
      <c r="H23" s="26"/>
      <c r="I23" s="26"/>
      <c r="J23" s="1"/>
      <c r="K23" s="1"/>
      <c r="L23" s="1"/>
      <c r="M23" s="1"/>
    </row>
    <row r="24" spans="1:13" ht="18" x14ac:dyDescent="0.25">
      <c r="A24" s="1" t="s">
        <v>90</v>
      </c>
      <c r="B24" s="15">
        <f>+B21/B12</f>
        <v>0.20700661568627451</v>
      </c>
      <c r="C24" s="1" t="s">
        <v>89</v>
      </c>
      <c r="D24" s="1" t="s">
        <v>119</v>
      </c>
      <c r="E24" s="1"/>
      <c r="F24" s="26"/>
      <c r="G24" s="26"/>
      <c r="H24" s="26"/>
      <c r="I24" s="26"/>
      <c r="J24" s="1"/>
      <c r="K24" s="1"/>
      <c r="L24" s="1"/>
      <c r="M24" s="1"/>
    </row>
    <row r="25" spans="1:13" ht="18" x14ac:dyDescent="0.25">
      <c r="A25" s="1" t="s">
        <v>91</v>
      </c>
      <c r="B25" s="15">
        <f>+B24*8760</f>
        <v>1813.3779534117648</v>
      </c>
      <c r="C25" s="1" t="s">
        <v>92</v>
      </c>
      <c r="D25" s="1" t="s">
        <v>120</v>
      </c>
      <c r="E25" s="1"/>
      <c r="F25" s="26"/>
      <c r="G25" s="26"/>
      <c r="H25" s="26"/>
      <c r="I25" s="26"/>
      <c r="J25" s="1"/>
      <c r="K25" s="1"/>
      <c r="L25" s="1"/>
      <c r="M25" s="1"/>
    </row>
    <row r="26" spans="1:13" ht="18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1"/>
      <c r="K26" s="1"/>
      <c r="L26" s="1"/>
      <c r="M26" s="1"/>
    </row>
    <row r="27" spans="1:13" ht="18" x14ac:dyDescent="0.25">
      <c r="A27" s="26" t="s">
        <v>37</v>
      </c>
      <c r="B27" s="26"/>
      <c r="C27" s="26"/>
      <c r="D27" s="26"/>
      <c r="E27" s="26"/>
      <c r="F27" s="26"/>
      <c r="G27" s="26"/>
      <c r="H27" s="26"/>
      <c r="I27" s="26"/>
      <c r="J27" s="1"/>
      <c r="K27" s="1"/>
      <c r="L27" s="1"/>
      <c r="M27" s="1"/>
    </row>
    <row r="28" spans="1:13" ht="19.5" x14ac:dyDescent="0.35">
      <c r="A28" s="50" t="s">
        <v>68</v>
      </c>
      <c r="B28" s="12" t="s">
        <v>34</v>
      </c>
      <c r="C28" s="60" t="s">
        <v>123</v>
      </c>
      <c r="D28" s="61"/>
      <c r="E28" s="60" t="s">
        <v>18</v>
      </c>
      <c r="F28" s="62"/>
      <c r="G28" s="61" t="s">
        <v>70</v>
      </c>
      <c r="H28" s="62"/>
      <c r="I28" s="26"/>
      <c r="J28" s="1"/>
      <c r="K28" s="1"/>
      <c r="L28" s="1"/>
      <c r="M28" s="1"/>
    </row>
    <row r="29" spans="1:13" ht="18.75" x14ac:dyDescent="0.25">
      <c r="A29" s="18" t="s">
        <v>71</v>
      </c>
      <c r="B29" s="14" t="s">
        <v>72</v>
      </c>
      <c r="C29" s="3" t="s">
        <v>60</v>
      </c>
      <c r="D29" s="41" t="s">
        <v>36</v>
      </c>
      <c r="E29" s="41" t="s">
        <v>60</v>
      </c>
      <c r="F29" s="41" t="s">
        <v>36</v>
      </c>
      <c r="G29" s="41" t="s">
        <v>60</v>
      </c>
      <c r="H29" s="41" t="s">
        <v>36</v>
      </c>
      <c r="I29" s="26"/>
    </row>
    <row r="30" spans="1:13" ht="18" x14ac:dyDescent="0.25">
      <c r="A30" s="41">
        <v>0</v>
      </c>
      <c r="B30" s="41" t="s">
        <v>69</v>
      </c>
      <c r="C30" s="43">
        <v>24.6</v>
      </c>
      <c r="D30" s="43">
        <f>+C30*8760/2000</f>
        <v>107.748</v>
      </c>
      <c r="E30" s="43">
        <v>15</v>
      </c>
      <c r="F30" s="43">
        <f>+E30*8760/2000</f>
        <v>65.7</v>
      </c>
      <c r="G30" s="37">
        <v>5.0999999999999996</v>
      </c>
      <c r="H30" s="43">
        <f t="shared" ref="H30:H40" si="0">+G30*8760/2000</f>
        <v>22.338000000000001</v>
      </c>
      <c r="I30" s="26"/>
    </row>
    <row r="31" spans="1:13" ht="18" x14ac:dyDescent="0.25">
      <c r="A31" s="41">
        <v>0</v>
      </c>
      <c r="B31" s="41">
        <v>64</v>
      </c>
      <c r="C31" s="43">
        <v>27.8</v>
      </c>
      <c r="D31" s="43">
        <f t="shared" ref="D31:F40" si="1">+C31*8760/2000</f>
        <v>121.764</v>
      </c>
      <c r="E31" s="43">
        <v>16.899999999999999</v>
      </c>
      <c r="F31" s="43">
        <f t="shared" si="1"/>
        <v>74.022000000000006</v>
      </c>
      <c r="G31" s="37">
        <v>5.9</v>
      </c>
      <c r="H31" s="43">
        <f t="shared" si="0"/>
        <v>25.841999999999999</v>
      </c>
      <c r="I31" s="26"/>
    </row>
    <row r="32" spans="1:13" ht="18" x14ac:dyDescent="0.25">
      <c r="A32" s="41">
        <v>0</v>
      </c>
      <c r="B32" s="41">
        <v>50</v>
      </c>
      <c r="C32" s="43">
        <v>25.2</v>
      </c>
      <c r="D32" s="43">
        <f t="shared" si="1"/>
        <v>110.376</v>
      </c>
      <c r="E32" s="43">
        <v>15.3</v>
      </c>
      <c r="F32" s="43">
        <f t="shared" si="1"/>
        <v>67.013999999999996</v>
      </c>
      <c r="G32" s="37">
        <v>5.4</v>
      </c>
      <c r="H32" s="43">
        <f t="shared" si="0"/>
        <v>23.652000000000001</v>
      </c>
      <c r="I32" s="26"/>
    </row>
    <row r="33" spans="1:13" ht="18" x14ac:dyDescent="0.25">
      <c r="A33" s="41">
        <v>12.8</v>
      </c>
      <c r="B33" s="41" t="s">
        <v>69</v>
      </c>
      <c r="C33" s="43">
        <v>24.9</v>
      </c>
      <c r="D33" s="43">
        <f t="shared" si="1"/>
        <v>109.062</v>
      </c>
      <c r="E33" s="43">
        <v>15.2</v>
      </c>
      <c r="F33" s="43">
        <f t="shared" si="1"/>
        <v>66.575999999999993</v>
      </c>
      <c r="G33" s="37">
        <v>5.0999999999999996</v>
      </c>
      <c r="H33" s="43">
        <f t="shared" si="0"/>
        <v>22.338000000000001</v>
      </c>
      <c r="I33" s="26"/>
    </row>
    <row r="34" spans="1:13" ht="18" x14ac:dyDescent="0.25">
      <c r="A34" s="41">
        <v>12.8</v>
      </c>
      <c r="B34" s="41">
        <v>50</v>
      </c>
      <c r="C34" s="43">
        <v>24.7</v>
      </c>
      <c r="D34" s="43">
        <f t="shared" si="1"/>
        <v>108.18600000000001</v>
      </c>
      <c r="E34" s="43">
        <v>15</v>
      </c>
      <c r="F34" s="43">
        <f t="shared" si="1"/>
        <v>65.7</v>
      </c>
      <c r="G34" s="37">
        <v>5.3</v>
      </c>
      <c r="H34" s="43">
        <f t="shared" si="0"/>
        <v>23.213999999999999</v>
      </c>
      <c r="I34" s="26"/>
    </row>
    <row r="35" spans="1:13" ht="18" x14ac:dyDescent="0.25">
      <c r="A35" s="41">
        <v>40</v>
      </c>
      <c r="B35" s="41" t="s">
        <v>69</v>
      </c>
      <c r="C35" s="43">
        <v>22.8</v>
      </c>
      <c r="D35" s="43">
        <f t="shared" si="1"/>
        <v>99.864000000000004</v>
      </c>
      <c r="E35" s="43">
        <v>13.8</v>
      </c>
      <c r="F35" s="43">
        <f t="shared" si="1"/>
        <v>60.444000000000003</v>
      </c>
      <c r="G35" s="37">
        <v>4.7</v>
      </c>
      <c r="H35" s="43">
        <f t="shared" si="0"/>
        <v>20.585999999999999</v>
      </c>
      <c r="I35" s="26"/>
    </row>
    <row r="36" spans="1:13" ht="18" x14ac:dyDescent="0.25">
      <c r="A36" s="41">
        <v>40</v>
      </c>
      <c r="B36" s="41">
        <v>50</v>
      </c>
      <c r="C36" s="43">
        <v>22.5</v>
      </c>
      <c r="D36" s="43">
        <f t="shared" si="1"/>
        <v>98.55</v>
      </c>
      <c r="E36" s="43">
        <v>13.7</v>
      </c>
      <c r="F36" s="43">
        <f t="shared" si="1"/>
        <v>60.006</v>
      </c>
      <c r="G36" s="37">
        <v>4.8</v>
      </c>
      <c r="H36" s="43">
        <f t="shared" si="0"/>
        <v>21.024000000000001</v>
      </c>
      <c r="I36" s="26"/>
    </row>
    <row r="37" spans="1:13" ht="18" x14ac:dyDescent="0.25">
      <c r="A37" s="41">
        <v>60</v>
      </c>
      <c r="B37" s="41" t="s">
        <v>69</v>
      </c>
      <c r="C37" s="43">
        <v>21.2</v>
      </c>
      <c r="D37" s="43">
        <f t="shared" si="1"/>
        <v>92.855999999999995</v>
      </c>
      <c r="E37" s="43">
        <v>12.9</v>
      </c>
      <c r="F37" s="43">
        <f t="shared" si="1"/>
        <v>56.502000000000002</v>
      </c>
      <c r="G37" s="37">
        <v>4.4000000000000004</v>
      </c>
      <c r="H37" s="43">
        <f t="shared" si="0"/>
        <v>19.271999999999998</v>
      </c>
      <c r="I37" s="26"/>
    </row>
    <row r="38" spans="1:13" ht="18" x14ac:dyDescent="0.25">
      <c r="A38" s="41">
        <v>60</v>
      </c>
      <c r="B38" s="41">
        <v>50</v>
      </c>
      <c r="C38" s="43">
        <v>14.5</v>
      </c>
      <c r="D38" s="43">
        <f t="shared" si="1"/>
        <v>63.51</v>
      </c>
      <c r="E38" s="43">
        <v>8.8000000000000007</v>
      </c>
      <c r="F38" s="43">
        <f t="shared" si="1"/>
        <v>38.543999999999997</v>
      </c>
      <c r="G38" s="37">
        <v>3</v>
      </c>
      <c r="H38" s="43">
        <f t="shared" si="0"/>
        <v>13.14</v>
      </c>
      <c r="I38" s="26"/>
    </row>
    <row r="39" spans="1:13" ht="18" x14ac:dyDescent="0.25">
      <c r="A39" s="41">
        <v>95</v>
      </c>
      <c r="B39" s="41" t="s">
        <v>69</v>
      </c>
      <c r="C39" s="43">
        <v>18.5</v>
      </c>
      <c r="D39" s="43">
        <f t="shared" si="1"/>
        <v>81.03</v>
      </c>
      <c r="E39" s="43">
        <v>11.3</v>
      </c>
      <c r="F39" s="43">
        <f t="shared" si="1"/>
        <v>49.494</v>
      </c>
      <c r="G39" s="37">
        <v>3.8</v>
      </c>
      <c r="H39" s="43">
        <f t="shared" si="0"/>
        <v>16.643999999999998</v>
      </c>
      <c r="I39" s="26"/>
    </row>
    <row r="40" spans="1:13" ht="18.75" thickBot="1" x14ac:dyDescent="0.3">
      <c r="A40" s="44">
        <v>95</v>
      </c>
      <c r="B40" s="44">
        <v>50</v>
      </c>
      <c r="C40" s="52">
        <v>13.1</v>
      </c>
      <c r="D40" s="52">
        <f t="shared" si="1"/>
        <v>57.378</v>
      </c>
      <c r="E40" s="52">
        <v>8</v>
      </c>
      <c r="F40" s="52">
        <f t="shared" si="1"/>
        <v>35.04</v>
      </c>
      <c r="G40" s="51">
        <v>2.7</v>
      </c>
      <c r="H40" s="52">
        <f t="shared" si="0"/>
        <v>11.826000000000001</v>
      </c>
      <c r="I40" s="26"/>
    </row>
    <row r="41" spans="1:13" ht="18.75" thickTop="1" x14ac:dyDescent="0.25">
      <c r="A41" s="22"/>
      <c r="B41" s="22" t="s">
        <v>77</v>
      </c>
      <c r="C41" s="21">
        <f t="shared" ref="C41:H41" si="2">MAX(C30:C40)</f>
        <v>27.8</v>
      </c>
      <c r="D41" s="21">
        <f t="shared" si="2"/>
        <v>121.764</v>
      </c>
      <c r="E41" s="21">
        <f t="shared" si="2"/>
        <v>16.899999999999999</v>
      </c>
      <c r="F41" s="21">
        <f t="shared" si="2"/>
        <v>74.022000000000006</v>
      </c>
      <c r="G41" s="21">
        <f t="shared" si="2"/>
        <v>5.9</v>
      </c>
      <c r="H41" s="21">
        <f t="shared" si="2"/>
        <v>25.841999999999999</v>
      </c>
      <c r="I41" s="26"/>
    </row>
    <row r="42" spans="1:13" ht="18" x14ac:dyDescent="0.25">
      <c r="A42" s="6"/>
      <c r="B42" s="37" t="s">
        <v>78</v>
      </c>
      <c r="C42" s="43">
        <v>24.9</v>
      </c>
      <c r="D42" s="43">
        <f>+C42*4.38</f>
        <v>109.062</v>
      </c>
      <c r="E42" s="43">
        <f>+E33</f>
        <v>15.2</v>
      </c>
      <c r="F42" s="43">
        <f>+E42*4.38</f>
        <v>66.575999999999993</v>
      </c>
      <c r="G42" s="43">
        <f>+G33</f>
        <v>5.0999999999999996</v>
      </c>
      <c r="H42" s="43">
        <f>+G42*4.38</f>
        <v>22.337999999999997</v>
      </c>
      <c r="I42" s="26"/>
    </row>
    <row r="43" spans="1:13" ht="18" x14ac:dyDescent="0.25">
      <c r="G43" s="26"/>
      <c r="H43" s="26"/>
      <c r="I43" s="26"/>
    </row>
    <row r="44" spans="1:13" ht="15" x14ac:dyDescent="0.2">
      <c r="A44" s="4" t="s">
        <v>40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37" t="s">
        <v>38</v>
      </c>
      <c r="B45" s="38">
        <v>6.6E-3</v>
      </c>
      <c r="C45" s="37" t="s">
        <v>20</v>
      </c>
      <c r="D45" s="4"/>
      <c r="E45" s="1"/>
      <c r="F45" s="1"/>
      <c r="G45" s="1"/>
      <c r="H45" s="1"/>
      <c r="I45" s="1"/>
      <c r="J45" s="1"/>
      <c r="K45" s="1"/>
      <c r="L45" s="1"/>
      <c r="M45" s="1"/>
    </row>
    <row r="46" spans="1:13" ht="19.5" x14ac:dyDescent="0.35">
      <c r="A46" s="37" t="s">
        <v>124</v>
      </c>
      <c r="B46" s="38">
        <v>3.3999999999999998E-3</v>
      </c>
      <c r="C46" s="37" t="s">
        <v>20</v>
      </c>
      <c r="D46" s="4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">
      <c r="A47" s="37" t="s">
        <v>54</v>
      </c>
      <c r="B47" s="38">
        <v>7.1000000000000002E-4</v>
      </c>
      <c r="C47" s="37" t="s">
        <v>20</v>
      </c>
      <c r="D47" s="4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7" t="s">
        <v>56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">
      <c r="A50" s="10"/>
      <c r="B50" s="12" t="s">
        <v>59</v>
      </c>
      <c r="C50" s="12" t="s">
        <v>55</v>
      </c>
      <c r="D50" s="1"/>
    </row>
    <row r="51" spans="1:13" ht="15" x14ac:dyDescent="0.2">
      <c r="A51" s="6" t="s">
        <v>57</v>
      </c>
      <c r="B51" s="14" t="s">
        <v>60</v>
      </c>
      <c r="C51" s="14" t="s">
        <v>36</v>
      </c>
      <c r="D51" s="1"/>
    </row>
    <row r="52" spans="1:13" ht="15" x14ac:dyDescent="0.2">
      <c r="A52" s="37" t="s">
        <v>58</v>
      </c>
      <c r="B52" s="43">
        <f>+C41</f>
        <v>27.8</v>
      </c>
      <c r="C52" s="43">
        <f>+(D42*0.8)+(D41*0.2)</f>
        <v>111.6024</v>
      </c>
      <c r="D52" s="53" t="s">
        <v>75</v>
      </c>
    </row>
    <row r="53" spans="1:13" ht="15" x14ac:dyDescent="0.2">
      <c r="A53" s="37" t="s">
        <v>18</v>
      </c>
      <c r="B53" s="43">
        <f>+E41</f>
        <v>16.899999999999999</v>
      </c>
      <c r="C53" s="43">
        <f>+(F41*0.2)+(F42*0.8)</f>
        <v>68.065200000000004</v>
      </c>
      <c r="D53" s="53" t="s">
        <v>75</v>
      </c>
    </row>
    <row r="54" spans="1:13" ht="15" x14ac:dyDescent="0.2">
      <c r="A54" s="37" t="s">
        <v>19</v>
      </c>
      <c r="B54" s="43">
        <f>+G41*0.1</f>
        <v>0.59000000000000008</v>
      </c>
      <c r="C54" s="43">
        <f>+((0.8*H42)+(0.2*H41))*0.1</f>
        <v>2.3038800000000004</v>
      </c>
      <c r="D54" s="53" t="s">
        <v>163</v>
      </c>
    </row>
    <row r="55" spans="1:13" ht="15" x14ac:dyDescent="0.2">
      <c r="A55" s="37" t="s">
        <v>38</v>
      </c>
      <c r="B55" s="43">
        <f>+B45*$B$19</f>
        <v>2.5462599624000002</v>
      </c>
      <c r="C55" s="43">
        <f>+B45*B21*8760/2000</f>
        <v>6.1038301911839996</v>
      </c>
      <c r="D55" s="53" t="s">
        <v>76</v>
      </c>
    </row>
    <row r="56" spans="1:13" ht="19.5" x14ac:dyDescent="0.35">
      <c r="A56" s="37" t="s">
        <v>124</v>
      </c>
      <c r="B56" s="43">
        <f>+B46*$B$19</f>
        <v>1.3117096775999999</v>
      </c>
      <c r="C56" s="43">
        <f>+B46*B21*8760/2000</f>
        <v>3.1443973712159994</v>
      </c>
      <c r="D56" s="53" t="s">
        <v>76</v>
      </c>
    </row>
    <row r="57" spans="1:13" ht="15" x14ac:dyDescent="0.2">
      <c r="A57" s="37" t="s">
        <v>54</v>
      </c>
      <c r="B57" s="43">
        <f>+B47*B19</f>
        <v>0.27391584444</v>
      </c>
      <c r="C57" s="43">
        <f>+B47*B21*8760/2000</f>
        <v>0.6566241569304001</v>
      </c>
      <c r="D57" s="53" t="s">
        <v>76</v>
      </c>
    </row>
    <row r="59" spans="1:13" ht="15.75" x14ac:dyDescent="0.25">
      <c r="A59" s="17" t="s">
        <v>165</v>
      </c>
    </row>
    <row r="60" spans="1:13" ht="15" x14ac:dyDescent="0.2">
      <c r="A60" s="10"/>
      <c r="B60" s="12" t="s">
        <v>59</v>
      </c>
      <c r="C60" s="12" t="s">
        <v>55</v>
      </c>
    </row>
    <row r="61" spans="1:13" ht="15" x14ac:dyDescent="0.2">
      <c r="A61" s="6" t="s">
        <v>57</v>
      </c>
      <c r="B61" s="14" t="s">
        <v>60</v>
      </c>
      <c r="C61" s="14" t="s">
        <v>36</v>
      </c>
    </row>
    <row r="62" spans="1:13" ht="15" x14ac:dyDescent="0.2">
      <c r="A62" s="37" t="s">
        <v>58</v>
      </c>
      <c r="B62" s="43">
        <f t="shared" ref="B62:B67" si="3">+B52*1.15</f>
        <v>31.97</v>
      </c>
      <c r="C62" s="43">
        <f t="shared" ref="C62:C67" si="4">+C52*1.15</f>
        <v>128.34276</v>
      </c>
    </row>
    <row r="63" spans="1:13" ht="15" x14ac:dyDescent="0.2">
      <c r="A63" s="37" t="s">
        <v>18</v>
      </c>
      <c r="B63" s="43">
        <f t="shared" si="3"/>
        <v>19.434999999999995</v>
      </c>
      <c r="C63" s="43">
        <f t="shared" si="4"/>
        <v>78.274979999999999</v>
      </c>
    </row>
    <row r="64" spans="1:13" ht="15" x14ac:dyDescent="0.2">
      <c r="A64" s="37" t="s">
        <v>19</v>
      </c>
      <c r="B64" s="43">
        <f t="shared" si="3"/>
        <v>0.67849999999999999</v>
      </c>
      <c r="C64" s="43">
        <f t="shared" si="4"/>
        <v>2.6494620000000002</v>
      </c>
    </row>
    <row r="65" spans="1:3" ht="15" x14ac:dyDescent="0.2">
      <c r="A65" s="37" t="s">
        <v>38</v>
      </c>
      <c r="B65" s="43">
        <f t="shared" si="3"/>
        <v>2.9281989567600002</v>
      </c>
      <c r="C65" s="43">
        <f t="shared" si="4"/>
        <v>7.0194047198615994</v>
      </c>
    </row>
    <row r="66" spans="1:3" ht="19.5" x14ac:dyDescent="0.35">
      <c r="A66" s="37" t="s">
        <v>124</v>
      </c>
      <c r="B66" s="43">
        <f t="shared" si="3"/>
        <v>1.5084661292399997</v>
      </c>
      <c r="C66" s="43">
        <f t="shared" si="4"/>
        <v>3.616056976898399</v>
      </c>
    </row>
    <row r="67" spans="1:3" ht="15" x14ac:dyDescent="0.2">
      <c r="A67" s="37" t="s">
        <v>54</v>
      </c>
      <c r="B67" s="43">
        <f t="shared" si="3"/>
        <v>0.31500322110599999</v>
      </c>
      <c r="C67" s="43">
        <f t="shared" si="4"/>
        <v>0.75511778046996003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11" zoomScale="75" workbookViewId="0">
      <selection activeCell="A22" sqref="A22"/>
    </sheetView>
  </sheetViews>
  <sheetFormatPr defaultRowHeight="12.75" x14ac:dyDescent="0.2"/>
  <cols>
    <col min="1" max="1" width="22.5703125" bestFit="1" customWidth="1"/>
    <col min="2" max="2" width="11.42578125" customWidth="1"/>
    <col min="3" max="3" width="10.5703125" bestFit="1" customWidth="1"/>
  </cols>
  <sheetData>
    <row r="1" spans="1:12" ht="23.25" x14ac:dyDescent="0.35">
      <c r="A1" s="34" t="s">
        <v>0</v>
      </c>
    </row>
    <row r="2" spans="1:12" ht="23.25" x14ac:dyDescent="0.35">
      <c r="A2" s="34" t="s">
        <v>1</v>
      </c>
    </row>
    <row r="3" spans="1:12" ht="23.25" x14ac:dyDescent="0.35">
      <c r="A3" s="34" t="s">
        <v>80</v>
      </c>
    </row>
    <row r="6" spans="1:12" ht="18" x14ac:dyDescent="0.25">
      <c r="A6" s="59" t="s">
        <v>61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8" spans="1:12" ht="20.25" x14ac:dyDescent="0.3">
      <c r="A8" s="35" t="s">
        <v>115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11" spans="1:12" ht="18" x14ac:dyDescent="0.25">
      <c r="A11" s="1" t="s">
        <v>3</v>
      </c>
      <c r="B11" s="1" t="s">
        <v>142</v>
      </c>
      <c r="C11" s="1"/>
      <c r="D11" s="1"/>
      <c r="E11" s="1"/>
      <c r="F11" s="26"/>
      <c r="G11" s="26"/>
      <c r="H11" s="26"/>
      <c r="I11" s="26"/>
      <c r="J11" s="1"/>
      <c r="K11" s="1"/>
      <c r="L11" s="1"/>
    </row>
    <row r="12" spans="1:12" ht="18" x14ac:dyDescent="0.25">
      <c r="A12" s="1" t="s">
        <v>4</v>
      </c>
      <c r="B12" s="1" t="s">
        <v>140</v>
      </c>
      <c r="C12" s="1"/>
      <c r="D12" s="1"/>
      <c r="E12" s="1"/>
      <c r="F12" s="26"/>
      <c r="G12" s="26"/>
      <c r="H12" s="26"/>
      <c r="I12" s="26"/>
      <c r="J12" s="1"/>
      <c r="K12" s="1"/>
      <c r="L12" s="1"/>
    </row>
    <row r="13" spans="1:12" ht="18" x14ac:dyDescent="0.25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</row>
    <row r="14" spans="1:12" ht="18" x14ac:dyDescent="0.25">
      <c r="A14" s="1" t="s">
        <v>164</v>
      </c>
      <c r="B14" s="1">
        <v>519</v>
      </c>
      <c r="C14" s="1" t="s">
        <v>141</v>
      </c>
      <c r="D14" s="1"/>
      <c r="E14" s="1"/>
      <c r="F14" s="26"/>
      <c r="G14" s="26"/>
      <c r="H14" s="26"/>
      <c r="I14" s="26"/>
      <c r="J14" s="1"/>
      <c r="K14" s="1"/>
      <c r="L14" s="1"/>
    </row>
    <row r="15" spans="1:12" ht="18" x14ac:dyDescent="0.25">
      <c r="A15" s="1" t="s">
        <v>143</v>
      </c>
      <c r="B15" s="1">
        <v>26.4</v>
      </c>
      <c r="C15" s="1" t="s">
        <v>144</v>
      </c>
      <c r="D15" s="1"/>
      <c r="E15" s="1"/>
      <c r="F15" s="26"/>
      <c r="G15" s="26"/>
      <c r="H15" s="26"/>
      <c r="I15" s="26"/>
      <c r="J15" s="1"/>
      <c r="K15" s="1"/>
      <c r="L15" s="1"/>
    </row>
    <row r="16" spans="1:12" ht="18" x14ac:dyDescent="0.25">
      <c r="A16" s="1"/>
      <c r="B16" s="15">
        <f>+B15*8.34*0.87</f>
        <v>191.55311999999998</v>
      </c>
      <c r="C16" s="1" t="s">
        <v>147</v>
      </c>
      <c r="D16" s="1"/>
      <c r="E16" s="1"/>
      <c r="F16" s="26"/>
      <c r="G16" s="26"/>
      <c r="H16" s="26"/>
      <c r="I16" s="26"/>
      <c r="J16" s="1"/>
      <c r="K16" s="1"/>
      <c r="L16" s="1"/>
    </row>
    <row r="17" spans="1:12" ht="18" x14ac:dyDescent="0.25">
      <c r="A17" s="1" t="s">
        <v>145</v>
      </c>
      <c r="B17" s="1">
        <v>19300</v>
      </c>
      <c r="C17" s="1" t="s">
        <v>146</v>
      </c>
      <c r="D17" s="1"/>
      <c r="E17" s="1"/>
      <c r="F17" s="26"/>
      <c r="G17" s="26"/>
      <c r="H17" s="26"/>
      <c r="I17" s="26"/>
      <c r="J17" s="1"/>
      <c r="K17" s="1"/>
      <c r="L17" s="1"/>
    </row>
    <row r="18" spans="1:12" ht="18" x14ac:dyDescent="0.25">
      <c r="A18" s="1" t="s">
        <v>10</v>
      </c>
      <c r="B18" s="15">
        <f>+B17*B16/1000000</f>
        <v>3.6969752159999993</v>
      </c>
      <c r="C18" s="1" t="s">
        <v>25</v>
      </c>
      <c r="D18" s="1"/>
      <c r="E18" s="1"/>
      <c r="F18" s="26"/>
      <c r="G18" s="26"/>
      <c r="H18" s="26"/>
      <c r="I18" s="26"/>
      <c r="J18" s="1"/>
      <c r="K18" s="1"/>
      <c r="L18" s="1"/>
    </row>
    <row r="19" spans="1:12" ht="18" x14ac:dyDescent="0.25">
      <c r="A19" s="1"/>
      <c r="B19" s="58">
        <f>+B18*1000000/B14</f>
        <v>7123.2663121387277</v>
      </c>
      <c r="C19" s="1" t="s">
        <v>24</v>
      </c>
      <c r="D19" s="1"/>
      <c r="E19" s="1"/>
      <c r="F19" s="26"/>
      <c r="G19" s="26"/>
      <c r="H19" s="26"/>
      <c r="I19" s="26"/>
      <c r="J19" s="1"/>
      <c r="K19" s="1"/>
      <c r="L19" s="1"/>
    </row>
    <row r="20" spans="1:12" ht="18" x14ac:dyDescent="0.25">
      <c r="A20" s="1" t="s">
        <v>11</v>
      </c>
      <c r="B20" s="1">
        <v>1800</v>
      </c>
      <c r="C20" s="1" t="s">
        <v>12</v>
      </c>
      <c r="D20" s="1"/>
      <c r="E20" s="1"/>
      <c r="F20" s="26"/>
      <c r="G20" s="26"/>
      <c r="H20" s="26"/>
      <c r="I20" s="26"/>
      <c r="J20" s="1"/>
      <c r="K20" s="1"/>
      <c r="L20" s="1"/>
    </row>
    <row r="21" spans="1:12" ht="18" x14ac:dyDescent="0.25">
      <c r="A21" s="1"/>
      <c r="B21" s="1"/>
      <c r="C21" s="1"/>
      <c r="D21" s="1"/>
      <c r="E21" s="1"/>
      <c r="F21" s="26"/>
      <c r="G21" s="26"/>
      <c r="H21" s="26"/>
      <c r="I21" s="26"/>
      <c r="J21" s="1"/>
      <c r="K21" s="1"/>
      <c r="L21" s="1"/>
    </row>
    <row r="22" spans="1:12" ht="18" x14ac:dyDescent="0.25">
      <c r="A22" s="1" t="s">
        <v>154</v>
      </c>
      <c r="B22" s="1">
        <v>2000</v>
      </c>
      <c r="C22" s="1" t="s">
        <v>155</v>
      </c>
      <c r="D22" s="1"/>
      <c r="E22" s="1"/>
      <c r="F22" s="26"/>
      <c r="G22" s="26"/>
      <c r="H22" s="26"/>
      <c r="I22" s="26"/>
      <c r="J22" s="1"/>
      <c r="K22" s="1"/>
      <c r="L22" s="1"/>
    </row>
    <row r="23" spans="1:12" ht="18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1"/>
      <c r="K23" s="1"/>
      <c r="L23" s="1"/>
    </row>
    <row r="24" spans="1:12" ht="18" x14ac:dyDescent="0.25">
      <c r="A24" s="4" t="s">
        <v>148</v>
      </c>
      <c r="G24" s="26"/>
      <c r="H24" s="26"/>
      <c r="I24" s="26"/>
    </row>
    <row r="25" spans="1:12" ht="15" x14ac:dyDescent="0.2">
      <c r="A25" s="37" t="s">
        <v>57</v>
      </c>
      <c r="B25" s="41" t="s">
        <v>156</v>
      </c>
      <c r="C25" s="41" t="s">
        <v>149</v>
      </c>
      <c r="D25" s="41" t="s">
        <v>150</v>
      </c>
      <c r="E25" s="1"/>
      <c r="F25" s="1"/>
      <c r="G25" s="1"/>
      <c r="H25" s="1"/>
      <c r="I25" s="1"/>
      <c r="J25" s="1"/>
      <c r="K25" s="1"/>
      <c r="L25" s="1"/>
    </row>
    <row r="26" spans="1:12" ht="15" x14ac:dyDescent="0.2">
      <c r="A26" s="37" t="s">
        <v>35</v>
      </c>
      <c r="B26" s="37">
        <v>9.23</v>
      </c>
      <c r="C26" s="37" t="s">
        <v>111</v>
      </c>
      <c r="D26" s="37" t="s">
        <v>151</v>
      </c>
      <c r="E26" s="1"/>
      <c r="F26" s="1"/>
      <c r="G26" s="1"/>
      <c r="H26" s="1"/>
      <c r="I26" s="1"/>
      <c r="J26" s="1"/>
      <c r="K26" s="1"/>
      <c r="L26" s="1"/>
    </row>
    <row r="27" spans="1:12" ht="15" x14ac:dyDescent="0.2">
      <c r="A27" s="37" t="s">
        <v>18</v>
      </c>
      <c r="B27" s="37">
        <v>9.65</v>
      </c>
      <c r="C27" s="37" t="s">
        <v>111</v>
      </c>
      <c r="D27" s="37" t="s">
        <v>151</v>
      </c>
      <c r="E27" s="1"/>
      <c r="F27" s="1"/>
      <c r="G27" s="1"/>
      <c r="H27" s="1"/>
      <c r="I27" s="1"/>
      <c r="J27" s="1"/>
      <c r="K27" s="1"/>
      <c r="L27" s="1"/>
    </row>
    <row r="28" spans="1:12" ht="15" x14ac:dyDescent="0.2">
      <c r="A28" s="37" t="s">
        <v>70</v>
      </c>
      <c r="B28" s="37">
        <v>0.12</v>
      </c>
      <c r="C28" s="37" t="s">
        <v>111</v>
      </c>
      <c r="D28" s="37" t="s">
        <v>151</v>
      </c>
      <c r="E28" s="1"/>
      <c r="F28" s="1"/>
      <c r="G28" s="1"/>
      <c r="H28" s="1"/>
      <c r="I28" s="1"/>
      <c r="J28" s="1"/>
      <c r="K28" s="1"/>
      <c r="L28" s="1"/>
    </row>
    <row r="29" spans="1:12" ht="15" x14ac:dyDescent="0.2">
      <c r="A29" s="37" t="s">
        <v>38</v>
      </c>
      <c r="B29" s="43">
        <v>2.82</v>
      </c>
      <c r="C29" s="37" t="s">
        <v>111</v>
      </c>
      <c r="D29" s="37" t="s">
        <v>151</v>
      </c>
      <c r="E29" s="1"/>
      <c r="F29" s="1"/>
      <c r="G29" s="1"/>
      <c r="H29" s="1"/>
      <c r="I29" s="1"/>
      <c r="J29" s="1"/>
      <c r="K29" s="1"/>
      <c r="L29" s="1"/>
    </row>
    <row r="30" spans="1:12" ht="15" x14ac:dyDescent="0.2">
      <c r="A30" s="37" t="s">
        <v>39</v>
      </c>
      <c r="B30" s="43">
        <v>0.28999999999999998</v>
      </c>
      <c r="C30" s="37" t="s">
        <v>20</v>
      </c>
      <c r="D30" s="37" t="s">
        <v>152</v>
      </c>
      <c r="E30" s="1"/>
      <c r="F30" s="1"/>
      <c r="G30" s="1"/>
      <c r="H30" s="1"/>
      <c r="I30" s="1"/>
      <c r="J30" s="1"/>
      <c r="K30" s="1"/>
      <c r="L30" s="1"/>
    </row>
    <row r="31" spans="1:12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x14ac:dyDescent="0.25">
      <c r="A32" s="17" t="s">
        <v>153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4" ht="15" x14ac:dyDescent="0.2">
      <c r="A33" s="10"/>
      <c r="B33" s="12" t="s">
        <v>59</v>
      </c>
      <c r="C33" s="12" t="s">
        <v>55</v>
      </c>
      <c r="D33" s="1"/>
    </row>
    <row r="34" spans="1:4" ht="15" x14ac:dyDescent="0.2">
      <c r="A34" s="6" t="s">
        <v>57</v>
      </c>
      <c r="B34" s="14" t="s">
        <v>60</v>
      </c>
      <c r="C34" s="14" t="s">
        <v>36</v>
      </c>
      <c r="D34" s="1"/>
    </row>
    <row r="35" spans="1:4" ht="15" x14ac:dyDescent="0.2">
      <c r="A35" s="37" t="s">
        <v>58</v>
      </c>
      <c r="B35" s="43">
        <f>+B26</f>
        <v>9.23</v>
      </c>
      <c r="C35" s="43">
        <f>+B35*$B$22/2000</f>
        <v>9.23</v>
      </c>
      <c r="D35" s="53"/>
    </row>
    <row r="36" spans="1:4" ht="15" x14ac:dyDescent="0.2">
      <c r="A36" s="37" t="s">
        <v>18</v>
      </c>
      <c r="B36" s="43">
        <f>+B27</f>
        <v>9.65</v>
      </c>
      <c r="C36" s="43">
        <f>+B36*$B$22/2000</f>
        <v>9.65</v>
      </c>
      <c r="D36" s="53"/>
    </row>
    <row r="37" spans="1:4" ht="15" x14ac:dyDescent="0.2">
      <c r="A37" s="37" t="s">
        <v>19</v>
      </c>
      <c r="B37" s="43">
        <f>+B28</f>
        <v>0.12</v>
      </c>
      <c r="C37" s="43">
        <f>+B37*$B$22/2000</f>
        <v>0.12</v>
      </c>
      <c r="D37" s="53"/>
    </row>
    <row r="38" spans="1:4" ht="15" x14ac:dyDescent="0.2">
      <c r="A38" s="37" t="s">
        <v>38</v>
      </c>
      <c r="B38" s="43">
        <f>+B29</f>
        <v>2.82</v>
      </c>
      <c r="C38" s="43">
        <f>+B38*$B$22/2000</f>
        <v>2.82</v>
      </c>
      <c r="D38" s="53"/>
    </row>
    <row r="39" spans="1:4" ht="15" x14ac:dyDescent="0.2">
      <c r="A39" s="37" t="s">
        <v>39</v>
      </c>
      <c r="B39" s="43">
        <f>+B30*B18</f>
        <v>1.0721228126399998</v>
      </c>
      <c r="C39" s="43">
        <f>+B39*$B$22/2000</f>
        <v>1.0721228126399998</v>
      </c>
      <c r="D39" s="53"/>
    </row>
  </sheetData>
  <mergeCells count="1">
    <mergeCell ref="A6:L6"/>
  </mergeCells>
  <pageMargins left="0.75" right="0.75" top="1" bottom="1" header="0.5" footer="0.5"/>
  <pageSetup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zoomScale="75" workbookViewId="0">
      <selection activeCell="A23" sqref="A23"/>
    </sheetView>
  </sheetViews>
  <sheetFormatPr defaultRowHeight="12.75" x14ac:dyDescent="0.2"/>
  <cols>
    <col min="1" max="1" width="12.28515625" bestFit="1" customWidth="1"/>
    <col min="2" max="2" width="25.42578125" customWidth="1"/>
    <col min="3" max="3" width="13.28515625" bestFit="1" customWidth="1"/>
    <col min="4" max="4" width="21.85546875" bestFit="1" customWidth="1"/>
    <col min="5" max="5" width="11.85546875" bestFit="1" customWidth="1"/>
    <col min="6" max="6" width="11.140625" bestFit="1" customWidth="1"/>
  </cols>
  <sheetData>
    <row r="1" spans="1:15" ht="23.25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3.25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3.25" x14ac:dyDescent="0.35">
      <c r="A3" s="34" t="s">
        <v>80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8" x14ac:dyDescent="0.25">
      <c r="A5" s="59" t="s">
        <v>65</v>
      </c>
      <c r="B5" s="59"/>
      <c r="C5" s="59"/>
      <c r="D5" s="59"/>
      <c r="E5" s="59"/>
      <c r="F5" s="59"/>
      <c r="G5" s="59"/>
      <c r="H5" s="59"/>
      <c r="I5" s="36"/>
      <c r="J5" s="36"/>
      <c r="K5" s="36"/>
      <c r="L5" s="36"/>
      <c r="M5" s="36"/>
      <c r="N5" s="36"/>
      <c r="O5" s="36"/>
    </row>
    <row r="6" spans="1:15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ht="20.25" x14ac:dyDescent="0.3">
      <c r="A7" s="35" t="s">
        <v>41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9" spans="1:15" ht="15" x14ac:dyDescent="0.2">
      <c r="A9" s="1" t="s">
        <v>42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">
      <c r="A10" s="10"/>
      <c r="B10" s="31"/>
      <c r="C10" s="31"/>
      <c r="D10" s="31"/>
      <c r="E10" s="12" t="s">
        <v>23</v>
      </c>
      <c r="F10" s="31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 x14ac:dyDescent="0.25">
      <c r="A11" s="8" t="s">
        <v>14</v>
      </c>
      <c r="B11" s="39" t="s">
        <v>15</v>
      </c>
      <c r="C11" s="32" t="s">
        <v>16</v>
      </c>
      <c r="D11" s="39" t="s">
        <v>17</v>
      </c>
      <c r="E11" s="39" t="s">
        <v>24</v>
      </c>
      <c r="F11" s="32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thickTop="1" x14ac:dyDescent="0.2">
      <c r="A12" s="5">
        <v>101</v>
      </c>
      <c r="B12" s="20" t="s">
        <v>51</v>
      </c>
      <c r="C12" s="20">
        <v>4000</v>
      </c>
      <c r="D12" s="20" t="s">
        <v>49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102</v>
      </c>
      <c r="B13" s="20" t="s">
        <v>51</v>
      </c>
      <c r="C13" s="20">
        <v>4000</v>
      </c>
      <c r="D13" s="20" t="s">
        <v>49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103</v>
      </c>
      <c r="B14" s="20" t="s">
        <v>51</v>
      </c>
      <c r="C14" s="20">
        <v>4000</v>
      </c>
      <c r="D14" s="20" t="s">
        <v>49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20">
        <v>121</v>
      </c>
      <c r="B15" s="20" t="s">
        <v>81</v>
      </c>
      <c r="C15" s="20">
        <v>451</v>
      </c>
      <c r="D15" s="20" t="s">
        <v>49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22">
        <v>122</v>
      </c>
      <c r="B16" s="22" t="s">
        <v>81</v>
      </c>
      <c r="C16" s="22">
        <v>451</v>
      </c>
      <c r="D16" s="22" t="s">
        <v>49</v>
      </c>
      <c r="E16" s="22">
        <v>7500</v>
      </c>
      <c r="F16" s="21">
        <v>3.38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1" t="s">
        <v>50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37" t="s">
        <v>13</v>
      </c>
      <c r="B19" s="37">
        <v>2.27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37" t="s">
        <v>18</v>
      </c>
      <c r="B20" s="37">
        <v>3.51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37" t="s">
        <v>19</v>
      </c>
      <c r="B21" s="38">
        <v>2.9600000000000001E-2</v>
      </c>
      <c r="C21" s="37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37" t="s">
        <v>38</v>
      </c>
      <c r="B22" s="37">
        <v>1.9400000000000001E-2</v>
      </c>
      <c r="C22" s="37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37" t="s">
        <v>39</v>
      </c>
      <c r="B23" s="38">
        <v>5.8799999999999998E-4</v>
      </c>
      <c r="C23" s="37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7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">
      <c r="A26" s="40"/>
      <c r="B26" s="25" t="s">
        <v>22</v>
      </c>
      <c r="C26" s="41">
        <v>101</v>
      </c>
      <c r="D26" s="41">
        <v>102</v>
      </c>
      <c r="E26" s="41">
        <v>103</v>
      </c>
      <c r="F26" s="41">
        <v>121</v>
      </c>
      <c r="G26" s="41">
        <v>122</v>
      </c>
      <c r="H26" s="1"/>
      <c r="I26" s="1"/>
      <c r="J26" s="1"/>
      <c r="K26" s="1"/>
      <c r="L26" s="1"/>
      <c r="M26" s="1"/>
      <c r="N26" s="1"/>
      <c r="O26" s="1"/>
    </row>
    <row r="27" spans="1:15" ht="15" x14ac:dyDescent="0.2">
      <c r="A27" s="40"/>
      <c r="B27" s="25">
        <v>2000</v>
      </c>
      <c r="C27" s="41">
        <v>8549</v>
      </c>
      <c r="D27" s="41">
        <v>7212</v>
      </c>
      <c r="E27" s="41">
        <v>6540</v>
      </c>
      <c r="F27" s="41">
        <v>1600</v>
      </c>
      <c r="G27" s="41">
        <v>0</v>
      </c>
      <c r="H27" s="1"/>
      <c r="I27" s="1"/>
      <c r="J27" s="1"/>
      <c r="K27" s="1"/>
      <c r="L27" s="1"/>
      <c r="M27" s="1"/>
      <c r="N27" s="1"/>
      <c r="O27" s="1"/>
    </row>
    <row r="28" spans="1:15" ht="15" x14ac:dyDescent="0.2">
      <c r="A28" s="40"/>
      <c r="B28" s="25">
        <v>1999</v>
      </c>
      <c r="C28" s="41">
        <v>2427</v>
      </c>
      <c r="D28" s="41">
        <v>2241</v>
      </c>
      <c r="E28" s="41">
        <v>2724</v>
      </c>
      <c r="F28" s="41">
        <v>0</v>
      </c>
      <c r="G28" s="41">
        <v>0</v>
      </c>
      <c r="H28" s="1"/>
      <c r="I28" s="1"/>
      <c r="J28" s="1"/>
      <c r="K28" s="1"/>
      <c r="L28" s="1"/>
      <c r="M28" s="1"/>
      <c r="N28" s="1"/>
      <c r="O28" s="1"/>
    </row>
    <row r="29" spans="1:15" ht="15" x14ac:dyDescent="0.2">
      <c r="A29" s="40"/>
      <c r="B29" s="25">
        <v>1998</v>
      </c>
      <c r="C29" s="41">
        <v>6702</v>
      </c>
      <c r="D29" s="41">
        <v>6252</v>
      </c>
      <c r="E29" s="41">
        <v>6449</v>
      </c>
      <c r="F29" s="41"/>
      <c r="G29" s="41"/>
      <c r="H29" s="1"/>
      <c r="I29" s="1"/>
      <c r="J29" s="1"/>
      <c r="K29" s="1"/>
      <c r="L29" s="1"/>
      <c r="M29" s="1"/>
      <c r="N29" s="1"/>
      <c r="O29" s="1"/>
    </row>
    <row r="30" spans="1:15" ht="15" x14ac:dyDescent="0.2">
      <c r="A30" s="40"/>
      <c r="B30" s="25">
        <v>1997</v>
      </c>
      <c r="C30" s="41">
        <v>122</v>
      </c>
      <c r="D30" s="41">
        <v>263</v>
      </c>
      <c r="E30" s="41">
        <v>191</v>
      </c>
      <c r="F30" s="41"/>
      <c r="G30" s="41"/>
      <c r="H30" s="1"/>
      <c r="I30" s="1"/>
      <c r="J30" s="1"/>
      <c r="K30" s="1"/>
      <c r="L30" s="1"/>
      <c r="M30" s="1"/>
      <c r="N30" s="1"/>
      <c r="O30" s="1"/>
    </row>
    <row r="31" spans="1:15" ht="15" x14ac:dyDescent="0.2">
      <c r="A31" s="6"/>
      <c r="B31" s="11">
        <v>1996</v>
      </c>
      <c r="C31" s="14">
        <v>325</v>
      </c>
      <c r="D31" s="14">
        <v>331</v>
      </c>
      <c r="E31" s="14">
        <v>242</v>
      </c>
      <c r="F31" s="41"/>
      <c r="G31" s="41"/>
      <c r="H31" s="1"/>
      <c r="I31" s="1"/>
      <c r="J31" s="1"/>
      <c r="K31" s="1"/>
      <c r="L31" s="1"/>
      <c r="M31" s="1"/>
      <c r="N31" s="1"/>
      <c r="O31" s="1"/>
    </row>
    <row r="32" spans="1:15" ht="15" x14ac:dyDescent="0.2">
      <c r="A32" s="6"/>
      <c r="B32" s="11">
        <v>1995</v>
      </c>
      <c r="C32" s="14">
        <v>94</v>
      </c>
      <c r="D32" s="14">
        <v>89</v>
      </c>
      <c r="E32" s="14">
        <v>42</v>
      </c>
      <c r="F32" s="41"/>
      <c r="G32" s="41"/>
      <c r="H32" s="1"/>
      <c r="I32" s="1"/>
      <c r="J32" s="1"/>
      <c r="K32" s="1"/>
      <c r="L32" s="1"/>
      <c r="M32" s="1"/>
      <c r="N32" s="1"/>
      <c r="O32" s="1"/>
    </row>
    <row r="33" spans="1:15" ht="15" x14ac:dyDescent="0.2">
      <c r="A33" s="6"/>
      <c r="B33" s="11">
        <v>1994</v>
      </c>
      <c r="C33" s="14">
        <v>1068</v>
      </c>
      <c r="D33" s="14">
        <v>253</v>
      </c>
      <c r="E33" s="14">
        <v>1119</v>
      </c>
      <c r="F33" s="41"/>
      <c r="G33" s="41"/>
      <c r="H33" s="1"/>
      <c r="I33" s="1"/>
      <c r="J33" s="1"/>
      <c r="K33" s="1"/>
      <c r="L33" s="1"/>
      <c r="M33" s="1"/>
      <c r="N33" s="1"/>
      <c r="O33" s="1"/>
    </row>
    <row r="34" spans="1:15" ht="15" x14ac:dyDescent="0.2">
      <c r="A34" s="6"/>
      <c r="B34" s="11">
        <v>1993</v>
      </c>
      <c r="C34" s="14">
        <v>1413</v>
      </c>
      <c r="D34" s="14">
        <v>1801</v>
      </c>
      <c r="E34" s="14">
        <v>1671</v>
      </c>
      <c r="F34" s="41"/>
      <c r="G34" s="41"/>
      <c r="H34" s="1"/>
      <c r="I34" s="1"/>
      <c r="J34" s="1"/>
      <c r="K34" s="1"/>
      <c r="L34" s="1"/>
      <c r="M34" s="1"/>
      <c r="N34" s="1"/>
      <c r="O34" s="1"/>
    </row>
    <row r="35" spans="1:15" ht="15" x14ac:dyDescent="0.2">
      <c r="A35" s="6"/>
      <c r="B35" s="11">
        <v>1992</v>
      </c>
      <c r="C35" s="14">
        <v>3737</v>
      </c>
      <c r="D35" s="14">
        <v>3292</v>
      </c>
      <c r="E35" s="14">
        <v>2945</v>
      </c>
      <c r="F35" s="41"/>
      <c r="G35" s="41"/>
      <c r="H35" s="1"/>
      <c r="I35" s="1"/>
      <c r="J35" s="1"/>
      <c r="K35" s="1"/>
      <c r="L35" s="1"/>
      <c r="M35" s="1"/>
      <c r="N35" s="1"/>
      <c r="O35" s="1"/>
    </row>
    <row r="36" spans="1:15" ht="15" x14ac:dyDescent="0.2">
      <c r="A36" s="6"/>
      <c r="B36" s="11">
        <v>1991</v>
      </c>
      <c r="C36" s="14">
        <v>7545</v>
      </c>
      <c r="D36" s="14">
        <v>7147</v>
      </c>
      <c r="E36" s="14">
        <v>7437</v>
      </c>
      <c r="F36" s="41"/>
      <c r="G36" s="41"/>
      <c r="H36" s="1"/>
      <c r="I36" s="1"/>
      <c r="J36" s="1"/>
      <c r="K36" s="1"/>
      <c r="L36" s="1"/>
      <c r="M36" s="1"/>
      <c r="N36" s="1"/>
      <c r="O36" s="1"/>
    </row>
    <row r="37" spans="1:15" ht="15" x14ac:dyDescent="0.2">
      <c r="A37" s="6" t="s">
        <v>48</v>
      </c>
      <c r="B37" s="7"/>
      <c r="C37" s="13">
        <f>+(C27+C28)/2</f>
        <v>5488</v>
      </c>
      <c r="D37" s="13">
        <f>+(D27+D28)/2</f>
        <v>4726.5</v>
      </c>
      <c r="E37" s="14">
        <f>+(E27+E28)/2</f>
        <v>4632</v>
      </c>
      <c r="F37" s="14">
        <f>+(F27+F28)/2</f>
        <v>800</v>
      </c>
      <c r="G37" s="14">
        <f>+(G27+G28)/2</f>
        <v>0</v>
      </c>
      <c r="H37" s="1"/>
      <c r="I37" s="1"/>
      <c r="J37" s="1"/>
      <c r="K37" s="1"/>
      <c r="L37" s="1"/>
      <c r="M37" s="1"/>
      <c r="N37" s="1"/>
      <c r="O37" s="1"/>
    </row>
    <row r="38" spans="1:15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7" t="s">
        <v>52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">
      <c r="A40" s="41" t="s">
        <v>14</v>
      </c>
      <c r="B40" s="41" t="s">
        <v>27</v>
      </c>
      <c r="C40" s="37" t="s">
        <v>28</v>
      </c>
      <c r="D40" s="41" t="s">
        <v>30</v>
      </c>
      <c r="E40" s="41" t="s">
        <v>38</v>
      </c>
      <c r="F40" s="41" t="s">
        <v>39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">
      <c r="A41" s="37">
        <v>101</v>
      </c>
      <c r="B41" s="42">
        <f>+B19*F12*C37/2000</f>
        <v>186.8664</v>
      </c>
      <c r="C41" s="42">
        <f>+B20*F12*C37/2000</f>
        <v>288.94319999999999</v>
      </c>
      <c r="D41" s="42">
        <f>+B21*F12*C37/2000</f>
        <v>2.4366720000000002</v>
      </c>
      <c r="E41" s="42">
        <f>+B22*F12*D37/2000</f>
        <v>1.3754115000000002</v>
      </c>
      <c r="F41" s="43">
        <f>+B23*F12*E37/2000</f>
        <v>4.085424E-2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">
      <c r="A42" s="37">
        <v>102</v>
      </c>
      <c r="B42" s="42">
        <f>+B19*F13*D37/2000</f>
        <v>160.93732499999999</v>
      </c>
      <c r="C42" s="42">
        <f>+B20*F13*D37/2000</f>
        <v>248.85022499999999</v>
      </c>
      <c r="D42" s="42">
        <f>+B21*F13*D37/2000</f>
        <v>2.0985659999999999</v>
      </c>
      <c r="E42" s="42">
        <f>+B22*F13*E37/2000</f>
        <v>1.3479120000000002</v>
      </c>
      <c r="F42" s="43">
        <f>+B23*F13*E37/2000</f>
        <v>4.085424E-2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">
      <c r="A43" s="37">
        <v>103</v>
      </c>
      <c r="B43" s="42">
        <f>+B19*F14*E37/2000</f>
        <v>157.71959999999999</v>
      </c>
      <c r="C43" s="42">
        <f>+B20*F14*E37/2000</f>
        <v>243.87479999999999</v>
      </c>
      <c r="D43" s="42">
        <f>+B21*F14*E37/2000</f>
        <v>2.0566080000000002</v>
      </c>
      <c r="E43" s="42">
        <f>+B22*F14*E37/2000</f>
        <v>1.3479120000000002</v>
      </c>
      <c r="F43" s="43">
        <f>+B23*F14*E37/2000</f>
        <v>4.085424E-2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">
      <c r="A44" s="37">
        <v>121</v>
      </c>
      <c r="B44" s="42">
        <f>+B19*F15*F37/2000</f>
        <v>3.0713099999999995</v>
      </c>
      <c r="C44" s="42">
        <f>+B20*F15*F37/2000</f>
        <v>4.7490299999999994</v>
      </c>
      <c r="D44" s="42">
        <f>+B21*F15*F37/2000</f>
        <v>4.0048800000000002E-2</v>
      </c>
      <c r="E44" s="42">
        <f>+B22*F15*F37/2000</f>
        <v>2.6248199999999999E-2</v>
      </c>
      <c r="F44" s="43">
        <f>+B23*F15*F37/2000</f>
        <v>7.9556399999999991E-4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">
      <c r="A45" s="37">
        <v>122</v>
      </c>
      <c r="B45" s="42">
        <v>0</v>
      </c>
      <c r="C45" s="42">
        <v>0</v>
      </c>
      <c r="D45" s="42">
        <v>0</v>
      </c>
      <c r="E45" s="42">
        <v>0</v>
      </c>
      <c r="F45" s="43">
        <v>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">
      <c r="A46" s="37" t="s">
        <v>29</v>
      </c>
      <c r="B46" s="42">
        <f>SUM(B41:B45)</f>
        <v>508.59463499999998</v>
      </c>
      <c r="C46" s="42">
        <f>SUM(C41:C45)</f>
        <v>786.41725499999984</v>
      </c>
      <c r="D46" s="43">
        <f>SUM(D41:D45)</f>
        <v>6.6318948000000004</v>
      </c>
      <c r="E46" s="43">
        <f>SUM(E41:E45)</f>
        <v>4.0974837000000006</v>
      </c>
      <c r="F46" s="43">
        <f>SUM(F41:F45)</f>
        <v>0.123358284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7" t="s">
        <v>62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">
      <c r="A49" s="37" t="s">
        <v>34</v>
      </c>
      <c r="B49" s="43">
        <f>+Turbine!C62</f>
        <v>128.34276</v>
      </c>
      <c r="C49" s="43">
        <f>+Turbine!C63</f>
        <v>78.274979999999999</v>
      </c>
      <c r="D49" s="43">
        <f>+Turbine!C64</f>
        <v>2.6494620000000002</v>
      </c>
      <c r="E49" s="43">
        <f>+Turbine!C65</f>
        <v>7.0194047198615994</v>
      </c>
      <c r="F49" s="43">
        <f>+Turbine!C66</f>
        <v>3.616056976898399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">
      <c r="A50" s="37" t="s">
        <v>116</v>
      </c>
      <c r="B50" s="43">
        <f>+'Gen Engines'!C35</f>
        <v>9.23</v>
      </c>
      <c r="C50" s="43">
        <f>+'Gen Engines'!C36</f>
        <v>9.65</v>
      </c>
      <c r="D50" s="43">
        <f>+'Gen Engines'!C37</f>
        <v>0.12</v>
      </c>
      <c r="E50" s="43">
        <f>+'Gen Engines'!C38</f>
        <v>2.82</v>
      </c>
      <c r="F50" s="43">
        <f>+'Gen Engines'!C39</f>
        <v>1.0721228126399998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">
      <c r="A51" s="37" t="s">
        <v>43</v>
      </c>
      <c r="B51" s="43">
        <f>SUM(B49:B50)</f>
        <v>137.57275999999999</v>
      </c>
      <c r="C51" s="43">
        <f>SUM(C49:C50)</f>
        <v>87.924980000000005</v>
      </c>
      <c r="D51" s="43">
        <f>SUM(D49:D50)</f>
        <v>2.7694620000000003</v>
      </c>
      <c r="E51" s="43">
        <f>SUM(E49:E50)</f>
        <v>9.8394047198615997</v>
      </c>
      <c r="F51" s="43">
        <f>SUM(F49:F50)</f>
        <v>4.688179789538399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">
      <c r="A52" s="1"/>
      <c r="B52" s="4"/>
      <c r="C52" s="4"/>
      <c r="D52" s="27"/>
      <c r="E52" s="27"/>
      <c r="F52" s="27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7" t="s">
        <v>63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">
      <c r="A54" s="1"/>
      <c r="B54" s="42">
        <f>+B46</f>
        <v>508.59463499999998</v>
      </c>
      <c r="C54" s="42">
        <f>+C46</f>
        <v>786.41725499999984</v>
      </c>
      <c r="D54" s="43">
        <f>+D46</f>
        <v>6.6318948000000004</v>
      </c>
      <c r="E54" s="43">
        <f>+E46</f>
        <v>4.0974837000000006</v>
      </c>
      <c r="F54" s="43">
        <f>+F46</f>
        <v>0.123358284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7" t="s">
        <v>64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">
      <c r="A57" s="1"/>
      <c r="B57" s="43">
        <f>+B51-B54</f>
        <v>-371.02187500000002</v>
      </c>
      <c r="C57" s="43">
        <f>+C51-C54</f>
        <v>-698.49227499999984</v>
      </c>
      <c r="D57" s="43">
        <f>+D51-D54</f>
        <v>-3.8624328000000001</v>
      </c>
      <c r="E57" s="43">
        <f>+E51-E54</f>
        <v>5.7419210198615991</v>
      </c>
      <c r="F57" s="43">
        <f>+F51-F54</f>
        <v>4.5648215055383989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9.5" x14ac:dyDescent="0.35">
      <c r="A60" s="1" t="s">
        <v>157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 t="s">
        <v>159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 t="s">
        <v>160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 t="s">
        <v>158</v>
      </c>
    </row>
  </sheetData>
  <mergeCells count="1">
    <mergeCell ref="A5:H5"/>
  </mergeCells>
  <pageMargins left="0.75" right="0.3" top="0.86" bottom="0.42" header="0.5" footer="0.28000000000000003"/>
  <pageSetup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8"/>
  <sheetViews>
    <sheetView zoomScale="75" workbookViewId="0">
      <selection activeCell="A6" sqref="A6"/>
    </sheetView>
  </sheetViews>
  <sheetFormatPr defaultRowHeight="12.75" x14ac:dyDescent="0.2"/>
  <cols>
    <col min="2" max="2" width="12" bestFit="1" customWidth="1"/>
    <col min="3" max="3" width="10.85546875" bestFit="1" customWidth="1"/>
  </cols>
  <sheetData>
    <row r="1" spans="1:18" ht="23.25" x14ac:dyDescent="0.35">
      <c r="A1" s="34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8" ht="23.25" x14ac:dyDescent="0.35">
      <c r="A2" s="34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8" ht="23.25" x14ac:dyDescent="0.35">
      <c r="A3" s="34" t="s">
        <v>80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5" spans="1:18" ht="18" x14ac:dyDescent="0.25">
      <c r="A5" s="59" t="s">
        <v>93</v>
      </c>
      <c r="B5" s="59"/>
      <c r="C5" s="59"/>
      <c r="D5" s="59"/>
      <c r="E5" s="59"/>
      <c r="F5" s="59"/>
      <c r="G5" s="59"/>
      <c r="H5" s="59"/>
      <c r="I5" s="59"/>
    </row>
    <row r="7" spans="1:18" ht="18" x14ac:dyDescent="0.25">
      <c r="A7" s="49" t="s">
        <v>66</v>
      </c>
    </row>
    <row r="8" spans="1:18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">
      <c r="A10" s="1" t="s">
        <v>44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">
      <c r="A11" s="1" t="s">
        <v>45</v>
      </c>
      <c r="B11" s="1"/>
      <c r="C11" s="1">
        <v>4380</v>
      </c>
      <c r="D11" s="1" t="s">
        <v>46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">
      <c r="A12" s="1" t="s">
        <v>114</v>
      </c>
      <c r="B12" s="1"/>
      <c r="C12" s="1">
        <v>4000</v>
      </c>
      <c r="D12" s="1" t="s">
        <v>47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">
      <c r="A13" s="1" t="s">
        <v>113</v>
      </c>
      <c r="B13" s="1"/>
      <c r="C13" s="1">
        <v>451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">
      <c r="A15" s="1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">
      <c r="A16" s="37" t="s">
        <v>13</v>
      </c>
      <c r="B16" s="37">
        <v>2.27</v>
      </c>
      <c r="C16" s="37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">
      <c r="A17" s="37" t="s">
        <v>18</v>
      </c>
      <c r="B17" s="37">
        <v>3.51</v>
      </c>
      <c r="C17" s="37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">
      <c r="A18" s="37" t="s">
        <v>19</v>
      </c>
      <c r="B18" s="38">
        <v>2.9600000000000001E-2</v>
      </c>
      <c r="C18" s="37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">
      <c r="A19" s="37" t="s">
        <v>38</v>
      </c>
      <c r="B19" s="37">
        <v>1.9400000000000001E-2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">
      <c r="A20" s="37" t="s">
        <v>39</v>
      </c>
      <c r="B20" s="38">
        <v>5.8799999999999998E-4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">
      <c r="A23" s="31"/>
      <c r="B23" s="60" t="s">
        <v>31</v>
      </c>
      <c r="C23" s="61"/>
      <c r="D23" s="61"/>
      <c r="E23" s="61"/>
      <c r="F23" s="6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25">
      <c r="A24" s="32" t="s">
        <v>14</v>
      </c>
      <c r="B24" s="9" t="s">
        <v>35</v>
      </c>
      <c r="C24" s="44" t="s">
        <v>18</v>
      </c>
      <c r="D24" s="44" t="s">
        <v>19</v>
      </c>
      <c r="E24" s="44" t="s">
        <v>38</v>
      </c>
      <c r="F24" s="45" t="s">
        <v>39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thickTop="1" x14ac:dyDescent="0.2">
      <c r="A25" s="20">
        <v>101</v>
      </c>
      <c r="B25" s="27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8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">
      <c r="A26" s="20">
        <v>102</v>
      </c>
      <c r="B26" s="27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8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">
      <c r="A27" s="20">
        <v>103</v>
      </c>
      <c r="B27" s="27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8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" x14ac:dyDescent="0.2">
      <c r="A28" s="20">
        <v>121</v>
      </c>
      <c r="B28" s="27">
        <v>0</v>
      </c>
      <c r="C28" s="19">
        <v>0</v>
      </c>
      <c r="D28" s="19">
        <v>0</v>
      </c>
      <c r="E28" s="19">
        <v>0</v>
      </c>
      <c r="F28" s="28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Bot="1" x14ac:dyDescent="0.25">
      <c r="A29" s="32">
        <v>122</v>
      </c>
      <c r="B29" s="46">
        <v>0</v>
      </c>
      <c r="C29" s="24">
        <v>0</v>
      </c>
      <c r="D29" s="24">
        <v>0</v>
      </c>
      <c r="E29" s="24">
        <f>+E28</f>
        <v>0</v>
      </c>
      <c r="F29" s="47">
        <f>+F28</f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thickTop="1" x14ac:dyDescent="0.2">
      <c r="A30" s="22" t="s">
        <v>43</v>
      </c>
      <c r="B30" s="29">
        <f>SUM(B25:B29)</f>
        <v>447.41700000000003</v>
      </c>
      <c r="C30" s="21">
        <f>SUM(C25:C29)</f>
        <v>691.82100000000003</v>
      </c>
      <c r="D30" s="21">
        <f>SUM(D25:D29)</f>
        <v>5.8341599999999998</v>
      </c>
      <c r="E30" s="21">
        <f>SUM(E25:E29)</f>
        <v>3.8237399999999995</v>
      </c>
      <c r="F30" s="30">
        <f>SUM(F25:F29)</f>
        <v>0.11589480000000001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</sheetData>
  <mergeCells count="2">
    <mergeCell ref="B23:F23"/>
    <mergeCell ref="A5:I5"/>
  </mergeCells>
  <pageMargins left="0.75" right="0.75" top="1" bottom="1" header="0.5" footer="0.5"/>
  <pageSetup scale="9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topLeftCell="A36" workbookViewId="0">
      <selection activeCell="C53" sqref="C53"/>
    </sheetView>
  </sheetViews>
  <sheetFormatPr defaultRowHeight="12.75" x14ac:dyDescent="0.2"/>
  <sheetData>
    <row r="1" spans="1:12" ht="23.25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12" ht="23.25" x14ac:dyDescent="0.35">
      <c r="A2" s="34" t="s">
        <v>1</v>
      </c>
      <c r="B2" s="34"/>
      <c r="C2" s="34"/>
      <c r="D2" s="34"/>
      <c r="E2" s="34"/>
      <c r="F2" s="34"/>
      <c r="G2" s="34"/>
      <c r="H2" s="34"/>
    </row>
    <row r="3" spans="1:12" ht="23.25" x14ac:dyDescent="0.35">
      <c r="A3" s="34" t="s">
        <v>80</v>
      </c>
      <c r="B3" s="34"/>
      <c r="C3" s="34"/>
      <c r="D3" s="34"/>
      <c r="E3" s="34"/>
      <c r="F3" s="34"/>
      <c r="G3" s="34"/>
      <c r="H3" s="34"/>
    </row>
    <row r="4" spans="1:12" x14ac:dyDescent="0.2">
      <c r="A4" s="36"/>
      <c r="B4" s="36"/>
      <c r="C4" s="36"/>
      <c r="D4" s="36"/>
      <c r="E4" s="36"/>
      <c r="F4" s="36"/>
      <c r="G4" s="36"/>
      <c r="H4" s="36"/>
    </row>
    <row r="5" spans="1:12" ht="18" x14ac:dyDescent="0.25">
      <c r="A5" s="59" t="s">
        <v>138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8" spans="1:12" x14ac:dyDescent="0.2">
      <c r="A8" s="63" t="s">
        <v>125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1:12" x14ac:dyDescent="0.2">
      <c r="A9" s="63" t="s">
        <v>126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1" spans="1:12" x14ac:dyDescent="0.2">
      <c r="A11" s="57" t="s">
        <v>132</v>
      </c>
    </row>
    <row r="12" spans="1:12" x14ac:dyDescent="0.2">
      <c r="A12" t="s">
        <v>127</v>
      </c>
    </row>
    <row r="13" spans="1:12" ht="14.25" x14ac:dyDescent="0.2">
      <c r="A13" s="55">
        <f>+Turbine!B62</f>
        <v>31.97</v>
      </c>
      <c r="B13" s="56" t="s">
        <v>129</v>
      </c>
      <c r="C13" t="s">
        <v>166</v>
      </c>
    </row>
    <row r="14" spans="1:12" x14ac:dyDescent="0.2">
      <c r="A14" t="s">
        <v>128</v>
      </c>
    </row>
    <row r="15" spans="1:12" x14ac:dyDescent="0.2">
      <c r="A15" s="55">
        <f>+Turbine!C62</f>
        <v>128.34276</v>
      </c>
      <c r="B15" s="56" t="s">
        <v>130</v>
      </c>
      <c r="C15" t="s">
        <v>167</v>
      </c>
    </row>
    <row r="16" spans="1:12" x14ac:dyDescent="0.2">
      <c r="C16" t="s">
        <v>168</v>
      </c>
    </row>
    <row r="18" spans="1:3" x14ac:dyDescent="0.2">
      <c r="A18" s="57" t="s">
        <v>133</v>
      </c>
    </row>
    <row r="19" spans="1:3" x14ac:dyDescent="0.2">
      <c r="A19" t="s">
        <v>127</v>
      </c>
    </row>
    <row r="20" spans="1:3" ht="14.25" x14ac:dyDescent="0.2">
      <c r="A20" s="55">
        <f>+Turbine!B63</f>
        <v>19.434999999999995</v>
      </c>
      <c r="B20" s="56" t="s">
        <v>129</v>
      </c>
      <c r="C20" t="s">
        <v>166</v>
      </c>
    </row>
    <row r="21" spans="1:3" x14ac:dyDescent="0.2">
      <c r="A21" t="s">
        <v>128</v>
      </c>
    </row>
    <row r="22" spans="1:3" x14ac:dyDescent="0.2">
      <c r="A22" s="55">
        <f>+Turbine!C63</f>
        <v>78.274979999999999</v>
      </c>
      <c r="B22" s="56" t="s">
        <v>130</v>
      </c>
      <c r="C22" t="s">
        <v>167</v>
      </c>
    </row>
    <row r="23" spans="1:3" x14ac:dyDescent="0.2">
      <c r="C23" t="s">
        <v>169</v>
      </c>
    </row>
    <row r="25" spans="1:3" x14ac:dyDescent="0.2">
      <c r="A25" s="57" t="s">
        <v>134</v>
      </c>
    </row>
    <row r="26" spans="1:3" x14ac:dyDescent="0.2">
      <c r="A26" t="s">
        <v>127</v>
      </c>
    </row>
    <row r="27" spans="1:3" ht="14.25" x14ac:dyDescent="0.2">
      <c r="A27" s="55">
        <f>+Turbine!B64</f>
        <v>0.67849999999999999</v>
      </c>
      <c r="B27" s="56" t="s">
        <v>129</v>
      </c>
      <c r="C27" t="s">
        <v>170</v>
      </c>
    </row>
    <row r="28" spans="1:3" x14ac:dyDescent="0.2">
      <c r="A28" t="s">
        <v>128</v>
      </c>
    </row>
    <row r="29" spans="1:3" x14ac:dyDescent="0.2">
      <c r="A29" s="55">
        <f>+Turbine!C64</f>
        <v>2.6494620000000002</v>
      </c>
      <c r="B29" s="56" t="s">
        <v>130</v>
      </c>
      <c r="C29" t="s">
        <v>171</v>
      </c>
    </row>
    <row r="30" spans="1:3" x14ac:dyDescent="0.2">
      <c r="C30" t="s">
        <v>172</v>
      </c>
    </row>
    <row r="32" spans="1:3" x14ac:dyDescent="0.2">
      <c r="A32" s="57" t="s">
        <v>135</v>
      </c>
    </row>
    <row r="33" spans="1:3" x14ac:dyDescent="0.2">
      <c r="A33" t="s">
        <v>127</v>
      </c>
    </row>
    <row r="34" spans="1:3" ht="14.25" x14ac:dyDescent="0.2">
      <c r="A34" s="55">
        <f>+Turbine!B65</f>
        <v>2.9281989567600002</v>
      </c>
      <c r="B34" s="56" t="s">
        <v>129</v>
      </c>
      <c r="C34" t="s">
        <v>173</v>
      </c>
    </row>
    <row r="35" spans="1:3" x14ac:dyDescent="0.2">
      <c r="A35" s="55"/>
      <c r="B35" s="56"/>
      <c r="C35" t="s">
        <v>174</v>
      </c>
    </row>
    <row r="36" spans="1:3" x14ac:dyDescent="0.2">
      <c r="A36" t="s">
        <v>128</v>
      </c>
    </row>
    <row r="37" spans="1:3" ht="14.25" x14ac:dyDescent="0.2">
      <c r="A37" s="55">
        <f>+Turbine!C65</f>
        <v>7.0194047198615994</v>
      </c>
      <c r="B37" s="56" t="s">
        <v>130</v>
      </c>
      <c r="C37" t="s">
        <v>175</v>
      </c>
    </row>
    <row r="38" spans="1:3" x14ac:dyDescent="0.2">
      <c r="C38" t="s">
        <v>176</v>
      </c>
    </row>
    <row r="40" spans="1:3" ht="14.25" x14ac:dyDescent="0.25">
      <c r="A40" s="57" t="s">
        <v>139</v>
      </c>
    </row>
    <row r="41" spans="1:3" x14ac:dyDescent="0.2">
      <c r="A41" t="s">
        <v>127</v>
      </c>
    </row>
    <row r="42" spans="1:3" ht="14.25" x14ac:dyDescent="0.2">
      <c r="A42" s="55">
        <f>+Turbine!B66</f>
        <v>1.5084661292399997</v>
      </c>
      <c r="B42" s="56" t="s">
        <v>129</v>
      </c>
      <c r="C42" t="s">
        <v>173</v>
      </c>
    </row>
    <row r="43" spans="1:3" x14ac:dyDescent="0.2">
      <c r="A43" s="55"/>
      <c r="B43" s="56"/>
      <c r="C43" t="s">
        <v>177</v>
      </c>
    </row>
    <row r="44" spans="1:3" x14ac:dyDescent="0.2">
      <c r="A44" t="s">
        <v>128</v>
      </c>
    </row>
    <row r="45" spans="1:3" ht="14.25" x14ac:dyDescent="0.2">
      <c r="A45" s="55">
        <f>+Turbine!C66</f>
        <v>3.616056976898399</v>
      </c>
      <c r="B45" s="56" t="s">
        <v>130</v>
      </c>
      <c r="C45" t="s">
        <v>175</v>
      </c>
    </row>
    <row r="46" spans="1:3" x14ac:dyDescent="0.2">
      <c r="C46" t="s">
        <v>178</v>
      </c>
    </row>
    <row r="48" spans="1:3" x14ac:dyDescent="0.2">
      <c r="A48" s="57" t="s">
        <v>136</v>
      </c>
    </row>
    <row r="49" spans="1:3" x14ac:dyDescent="0.2">
      <c r="A49" t="s">
        <v>127</v>
      </c>
    </row>
    <row r="50" spans="1:3" ht="14.25" x14ac:dyDescent="0.2">
      <c r="A50" s="55">
        <f>+Turbine!B67</f>
        <v>0.31500322110599999</v>
      </c>
      <c r="B50" s="56" t="s">
        <v>129</v>
      </c>
      <c r="C50" t="s">
        <v>173</v>
      </c>
    </row>
    <row r="51" spans="1:3" x14ac:dyDescent="0.2">
      <c r="A51" s="55"/>
      <c r="B51" s="56"/>
      <c r="C51" t="s">
        <v>137</v>
      </c>
    </row>
    <row r="52" spans="1:3" x14ac:dyDescent="0.2">
      <c r="A52" t="s">
        <v>128</v>
      </c>
    </row>
    <row r="53" spans="1:3" ht="14.25" x14ac:dyDescent="0.2">
      <c r="A53" s="55">
        <f>+Turbine!C67</f>
        <v>0.75511778046996003</v>
      </c>
      <c r="B53" s="56" t="s">
        <v>130</v>
      </c>
      <c r="C53" t="s">
        <v>175</v>
      </c>
    </row>
    <row r="54" spans="1:3" x14ac:dyDescent="0.2">
      <c r="C54" t="s">
        <v>179</v>
      </c>
    </row>
  </sheetData>
  <mergeCells count="3">
    <mergeCell ref="A5:L5"/>
    <mergeCell ref="A8:L8"/>
    <mergeCell ref="A9:L9"/>
  </mergeCells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zoomScale="75" workbookViewId="0">
      <selection activeCell="A32" sqref="A32"/>
    </sheetView>
  </sheetViews>
  <sheetFormatPr defaultRowHeight="12.75" x14ac:dyDescent="0.2"/>
  <cols>
    <col min="2" max="2" width="27.7109375" bestFit="1" customWidth="1"/>
    <col min="3" max="3" width="11.5703125" bestFit="1" customWidth="1"/>
  </cols>
  <sheetData>
    <row r="1" spans="1:16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6" ht="23.25" x14ac:dyDescent="0.3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6" ht="23.25" x14ac:dyDescent="0.35">
      <c r="A3" s="65" t="s">
        <v>80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6" ht="15" x14ac:dyDescent="0.2">
      <c r="A4" s="1"/>
      <c r="B4" s="1"/>
    </row>
    <row r="5" spans="1:16" ht="18" x14ac:dyDescent="0.25">
      <c r="A5" s="59" t="s">
        <v>117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6" ht="15" x14ac:dyDescent="0.2">
      <c r="A6" s="1"/>
      <c r="B6" s="1"/>
    </row>
    <row r="7" spans="1:16" ht="15" x14ac:dyDescent="0.2">
      <c r="A7" s="1"/>
      <c r="B7" s="1"/>
    </row>
    <row r="8" spans="1:16" ht="15.75" x14ac:dyDescent="0.25">
      <c r="A8" s="64" t="s">
        <v>94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6" ht="15" x14ac:dyDescent="0.2">
      <c r="A9" s="1"/>
      <c r="B9" s="1"/>
    </row>
    <row r="10" spans="1:16" ht="15.75" x14ac:dyDescent="0.25">
      <c r="A10" s="17" t="s">
        <v>95</v>
      </c>
      <c r="B10" s="1"/>
    </row>
    <row r="11" spans="1:16" ht="15" x14ac:dyDescent="0.2">
      <c r="A11" s="2"/>
      <c r="B11" s="31"/>
      <c r="C11" s="54"/>
      <c r="D11" s="60" t="s">
        <v>35</v>
      </c>
      <c r="E11" s="61"/>
      <c r="F11" s="61" t="s">
        <v>18</v>
      </c>
      <c r="G11" s="61"/>
      <c r="H11" s="61" t="s">
        <v>19</v>
      </c>
      <c r="I11" s="61"/>
      <c r="J11" s="61" t="s">
        <v>38</v>
      </c>
      <c r="K11" s="61"/>
      <c r="L11" s="61" t="s">
        <v>39</v>
      </c>
      <c r="M11" s="62"/>
      <c r="N11" s="1"/>
      <c r="O11" s="1"/>
    </row>
    <row r="12" spans="1:16" ht="15.75" thickBot="1" x14ac:dyDescent="0.25">
      <c r="A12" s="8" t="s">
        <v>14</v>
      </c>
      <c r="B12" s="39" t="s">
        <v>102</v>
      </c>
      <c r="C12" s="39" t="s">
        <v>96</v>
      </c>
      <c r="D12" s="9" t="s">
        <v>111</v>
      </c>
      <c r="E12" s="44" t="s">
        <v>112</v>
      </c>
      <c r="F12" s="44" t="s">
        <v>111</v>
      </c>
      <c r="G12" s="44" t="s">
        <v>112</v>
      </c>
      <c r="H12" s="44" t="s">
        <v>111</v>
      </c>
      <c r="I12" s="44" t="s">
        <v>112</v>
      </c>
      <c r="J12" s="44" t="s">
        <v>111</v>
      </c>
      <c r="K12" s="44" t="s">
        <v>112</v>
      </c>
      <c r="L12" s="44" t="s">
        <v>111</v>
      </c>
      <c r="M12" s="44" t="s">
        <v>112</v>
      </c>
      <c r="N12" s="1"/>
      <c r="O12" s="1"/>
      <c r="P12" s="1"/>
    </row>
    <row r="13" spans="1:16" ht="15.75" thickTop="1" x14ac:dyDescent="0.2">
      <c r="A13" s="5">
        <v>101</v>
      </c>
      <c r="B13" s="20" t="s">
        <v>104</v>
      </c>
      <c r="C13" s="20" t="s">
        <v>97</v>
      </c>
      <c r="D13" s="27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"/>
      <c r="O13" s="1"/>
      <c r="P13" s="1"/>
    </row>
    <row r="14" spans="1:16" ht="15" x14ac:dyDescent="0.2">
      <c r="A14" s="5">
        <v>102</v>
      </c>
      <c r="B14" s="20" t="s">
        <v>105</v>
      </c>
      <c r="C14" s="20" t="s">
        <v>98</v>
      </c>
      <c r="D14" s="27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"/>
      <c r="O14" s="1"/>
      <c r="P14" s="1"/>
    </row>
    <row r="15" spans="1:16" ht="15" x14ac:dyDescent="0.2">
      <c r="A15" s="5">
        <v>103</v>
      </c>
      <c r="B15" s="20" t="s">
        <v>106</v>
      </c>
      <c r="C15" s="20" t="s">
        <v>99</v>
      </c>
      <c r="D15" s="27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"/>
      <c r="O15" s="1"/>
      <c r="P15" s="1"/>
    </row>
    <row r="16" spans="1:16" ht="15" x14ac:dyDescent="0.2">
      <c r="A16" s="5">
        <v>121</v>
      </c>
      <c r="B16" s="20" t="s">
        <v>107</v>
      </c>
      <c r="C16" s="20" t="s">
        <v>100</v>
      </c>
      <c r="D16" s="27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"/>
      <c r="O16" s="1"/>
      <c r="P16" s="1"/>
    </row>
    <row r="17" spans="1:16" ht="15" x14ac:dyDescent="0.2">
      <c r="A17" s="5">
        <v>122</v>
      </c>
      <c r="B17" s="20" t="s">
        <v>108</v>
      </c>
      <c r="C17" s="20" t="s">
        <v>101</v>
      </c>
      <c r="D17" s="27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"/>
      <c r="O17" s="1"/>
      <c r="P17" s="1"/>
    </row>
    <row r="18" spans="1:16" ht="15" x14ac:dyDescent="0.2">
      <c r="A18" s="5">
        <v>104</v>
      </c>
      <c r="B18" s="20" t="s">
        <v>103</v>
      </c>
      <c r="C18" s="20" t="s">
        <v>109</v>
      </c>
      <c r="D18" s="27">
        <f>+Turbine!B62</f>
        <v>31.97</v>
      </c>
      <c r="E18" s="19">
        <f>+Turbine!C62</f>
        <v>128.34276</v>
      </c>
      <c r="F18" s="19">
        <f>+Turbine!B63</f>
        <v>19.434999999999995</v>
      </c>
      <c r="G18" s="19">
        <f>+Turbine!C63</f>
        <v>78.274979999999999</v>
      </c>
      <c r="H18" s="19">
        <f>+Turbine!B64</f>
        <v>0.67849999999999999</v>
      </c>
      <c r="I18" s="19">
        <f>+Turbine!C64</f>
        <v>2.6494620000000002</v>
      </c>
      <c r="J18" s="19">
        <f>+Turbine!B65</f>
        <v>2.9281989567600002</v>
      </c>
      <c r="K18" s="19">
        <f>+Turbine!C65</f>
        <v>7.0194047198615994</v>
      </c>
      <c r="L18" s="19">
        <f>+Turbine!B66</f>
        <v>1.5084661292399997</v>
      </c>
      <c r="M18" s="19">
        <f>+Turbine!C66</f>
        <v>3.616056976898399</v>
      </c>
      <c r="N18" s="1"/>
      <c r="O18" s="1"/>
      <c r="P18" s="1"/>
    </row>
    <row r="19" spans="1:16" ht="15.75" thickBot="1" x14ac:dyDescent="0.25">
      <c r="A19" s="23">
        <v>123</v>
      </c>
      <c r="B19" s="32" t="s">
        <v>162</v>
      </c>
      <c r="C19" s="32" t="s">
        <v>110</v>
      </c>
      <c r="D19" s="46">
        <f>+'Gen Engines'!B35</f>
        <v>9.23</v>
      </c>
      <c r="E19" s="24">
        <f>+'Gen Engines'!C35</f>
        <v>9.23</v>
      </c>
      <c r="F19" s="24">
        <f>+'Gen Engines'!B36</f>
        <v>9.65</v>
      </c>
      <c r="G19" s="24">
        <f>+'Gen Engines'!C36</f>
        <v>9.65</v>
      </c>
      <c r="H19" s="24">
        <f>+'Gen Engines'!B37</f>
        <v>0.12</v>
      </c>
      <c r="I19" s="24">
        <f>+'Gen Engines'!C37</f>
        <v>0.12</v>
      </c>
      <c r="J19" s="24">
        <f>+'Gen Engines'!B38</f>
        <v>2.82</v>
      </c>
      <c r="K19" s="24">
        <f>+'Gen Engines'!C38</f>
        <v>2.82</v>
      </c>
      <c r="L19" s="24">
        <f>+'Gen Engines'!B39</f>
        <v>1.0721228126399998</v>
      </c>
      <c r="M19" s="24">
        <f>+'Gen Engines'!C39</f>
        <v>1.0721228126399998</v>
      </c>
      <c r="N19" s="1"/>
      <c r="O19" s="1"/>
      <c r="P19" s="1"/>
    </row>
    <row r="20" spans="1:16" ht="15.75" thickTop="1" x14ac:dyDescent="0.2">
      <c r="A20" s="6"/>
      <c r="B20" s="22"/>
      <c r="C20" s="22" t="s">
        <v>43</v>
      </c>
      <c r="D20" s="29">
        <f t="shared" ref="D20:M20" si="0">SUM(D13:D19)</f>
        <v>41.2</v>
      </c>
      <c r="E20" s="29">
        <f t="shared" si="0"/>
        <v>137.57275999999999</v>
      </c>
      <c r="F20" s="29">
        <f t="shared" si="0"/>
        <v>29.084999999999994</v>
      </c>
      <c r="G20" s="29">
        <f t="shared" si="0"/>
        <v>87.924980000000005</v>
      </c>
      <c r="H20" s="29">
        <f t="shared" si="0"/>
        <v>0.79849999999999999</v>
      </c>
      <c r="I20" s="29">
        <f t="shared" si="0"/>
        <v>2.7694620000000003</v>
      </c>
      <c r="J20" s="29">
        <f t="shared" si="0"/>
        <v>5.7481989567599996</v>
      </c>
      <c r="K20" s="29">
        <f t="shared" si="0"/>
        <v>9.8394047198615997</v>
      </c>
      <c r="L20" s="29">
        <f t="shared" si="0"/>
        <v>2.5805889418799994</v>
      </c>
      <c r="M20" s="30">
        <f t="shared" si="0"/>
        <v>4.688179789538399</v>
      </c>
      <c r="N20" s="1"/>
      <c r="O20" s="1"/>
      <c r="P20" s="1"/>
    </row>
    <row r="21" spans="1:16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x14ac:dyDescent="0.25">
      <c r="A23" s="17" t="s">
        <v>33</v>
      </c>
      <c r="B23" s="1"/>
      <c r="N23" s="1"/>
      <c r="O23" s="1"/>
      <c r="P23" s="1"/>
    </row>
    <row r="24" spans="1:16" ht="15" x14ac:dyDescent="0.2">
      <c r="A24" s="2"/>
      <c r="B24" s="31"/>
      <c r="C24" s="54"/>
      <c r="D24" s="60" t="s">
        <v>35</v>
      </c>
      <c r="E24" s="61"/>
      <c r="F24" s="61" t="s">
        <v>18</v>
      </c>
      <c r="G24" s="61"/>
      <c r="H24" s="61" t="s">
        <v>19</v>
      </c>
      <c r="I24" s="61"/>
      <c r="J24" s="61" t="s">
        <v>38</v>
      </c>
      <c r="K24" s="61"/>
      <c r="L24" s="61" t="s">
        <v>39</v>
      </c>
      <c r="M24" s="62"/>
      <c r="N24" s="1"/>
      <c r="O24" s="1"/>
      <c r="P24" s="1"/>
    </row>
    <row r="25" spans="1:16" ht="15.75" thickBot="1" x14ac:dyDescent="0.25">
      <c r="A25" s="8" t="s">
        <v>14</v>
      </c>
      <c r="B25" s="39" t="s">
        <v>102</v>
      </c>
      <c r="C25" s="39" t="s">
        <v>96</v>
      </c>
      <c r="D25" s="9" t="s">
        <v>111</v>
      </c>
      <c r="E25" s="44" t="s">
        <v>112</v>
      </c>
      <c r="F25" s="44" t="s">
        <v>111</v>
      </c>
      <c r="G25" s="44" t="s">
        <v>112</v>
      </c>
      <c r="H25" s="44" t="s">
        <v>111</v>
      </c>
      <c r="I25" s="44" t="s">
        <v>112</v>
      </c>
      <c r="J25" s="44" t="s">
        <v>111</v>
      </c>
      <c r="K25" s="44" t="s">
        <v>112</v>
      </c>
      <c r="L25" s="44" t="s">
        <v>111</v>
      </c>
      <c r="M25" s="44" t="s">
        <v>112</v>
      </c>
      <c r="N25" s="1"/>
      <c r="O25" s="1"/>
      <c r="P25" s="1"/>
    </row>
    <row r="26" spans="1:16" ht="15.75" thickTop="1" x14ac:dyDescent="0.2">
      <c r="A26" s="5">
        <v>101</v>
      </c>
      <c r="B26" s="20" t="s">
        <v>104</v>
      </c>
      <c r="C26" s="20" t="s">
        <v>97</v>
      </c>
      <c r="D26" s="27"/>
      <c r="E26" s="19">
        <f>+Alternative!B25</f>
        <v>149.13900000000001</v>
      </c>
      <c r="F26" s="19"/>
      <c r="G26" s="19">
        <f>+Alternative!C25</f>
        <v>230.607</v>
      </c>
      <c r="H26" s="19"/>
      <c r="I26" s="19">
        <f>+Alternative!D25</f>
        <v>1.94472</v>
      </c>
      <c r="J26" s="19"/>
      <c r="K26" s="19">
        <f>+Alternative!E25</f>
        <v>1.2745799999999998</v>
      </c>
      <c r="L26" s="19"/>
      <c r="M26" s="19">
        <f>+Alternative!F25</f>
        <v>3.8631600000000002E-2</v>
      </c>
      <c r="N26" s="1"/>
      <c r="O26" s="1"/>
      <c r="P26" s="1"/>
    </row>
    <row r="27" spans="1:16" ht="15" x14ac:dyDescent="0.2">
      <c r="A27" s="5">
        <v>102</v>
      </c>
      <c r="B27" s="20" t="s">
        <v>105</v>
      </c>
      <c r="C27" s="20" t="s">
        <v>98</v>
      </c>
      <c r="D27" s="27"/>
      <c r="E27" s="19">
        <f>+Alternative!B26</f>
        <v>149.13900000000001</v>
      </c>
      <c r="F27" s="19"/>
      <c r="G27" s="19">
        <f>+Alternative!C26</f>
        <v>230.607</v>
      </c>
      <c r="H27" s="19"/>
      <c r="I27" s="19">
        <f>+Alternative!D26</f>
        <v>1.94472</v>
      </c>
      <c r="J27" s="19"/>
      <c r="K27" s="19">
        <f>+Alternative!E26</f>
        <v>1.2745799999999998</v>
      </c>
      <c r="L27" s="19"/>
      <c r="M27" s="19">
        <f>+Alternative!F26</f>
        <v>3.8631600000000002E-2</v>
      </c>
      <c r="N27" s="1"/>
      <c r="O27" s="1"/>
      <c r="P27" s="1"/>
    </row>
    <row r="28" spans="1:16" ht="15" x14ac:dyDescent="0.2">
      <c r="A28" s="5">
        <v>103</v>
      </c>
      <c r="B28" s="20" t="s">
        <v>106</v>
      </c>
      <c r="C28" s="20" t="s">
        <v>99</v>
      </c>
      <c r="D28" s="27"/>
      <c r="E28" s="19">
        <f>+Alternative!B27</f>
        <v>149.13900000000001</v>
      </c>
      <c r="F28" s="19"/>
      <c r="G28" s="19">
        <f>+Alternative!C27</f>
        <v>230.607</v>
      </c>
      <c r="H28" s="19"/>
      <c r="I28" s="19">
        <f>+Alternative!D27</f>
        <v>1.94472</v>
      </c>
      <c r="J28" s="19"/>
      <c r="K28" s="19">
        <f>+Alternative!E27</f>
        <v>1.2745799999999998</v>
      </c>
      <c r="L28" s="19"/>
      <c r="M28" s="19">
        <f>+Alternative!F27</f>
        <v>3.8631600000000002E-2</v>
      </c>
      <c r="N28" s="1"/>
      <c r="O28" s="1"/>
      <c r="P28" s="1"/>
    </row>
    <row r="29" spans="1:16" ht="15" x14ac:dyDescent="0.2">
      <c r="A29" s="5">
        <v>121</v>
      </c>
      <c r="B29" s="20" t="s">
        <v>107</v>
      </c>
      <c r="C29" s="20" t="s">
        <v>100</v>
      </c>
      <c r="D29" s="27"/>
      <c r="E29" s="19">
        <v>0</v>
      </c>
      <c r="F29" s="19"/>
      <c r="G29" s="19">
        <v>0</v>
      </c>
      <c r="H29" s="19"/>
      <c r="I29" s="19">
        <v>0</v>
      </c>
      <c r="J29" s="19"/>
      <c r="K29" s="19">
        <v>0</v>
      </c>
      <c r="L29" s="19"/>
      <c r="M29" s="19">
        <f>+Alternative!F28</f>
        <v>0</v>
      </c>
      <c r="N29" s="1"/>
      <c r="O29" s="1"/>
      <c r="P29" s="1"/>
    </row>
    <row r="30" spans="1:16" ht="15" x14ac:dyDescent="0.2">
      <c r="A30" s="5">
        <v>122</v>
      </c>
      <c r="B30" s="20" t="s">
        <v>108</v>
      </c>
      <c r="C30" s="20" t="s">
        <v>101</v>
      </c>
      <c r="D30" s="27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f>+Alternative!F29</f>
        <v>0</v>
      </c>
      <c r="N30" s="1"/>
      <c r="O30" s="1"/>
      <c r="P30" s="1"/>
    </row>
    <row r="31" spans="1:16" ht="15" x14ac:dyDescent="0.2">
      <c r="A31" s="5">
        <v>104</v>
      </c>
      <c r="B31" s="20" t="s">
        <v>103</v>
      </c>
      <c r="C31" s="20" t="s">
        <v>109</v>
      </c>
      <c r="D31" s="27"/>
      <c r="E31" s="19">
        <v>0</v>
      </c>
      <c r="F31" s="19"/>
      <c r="G31" s="19">
        <v>0</v>
      </c>
      <c r="H31" s="19"/>
      <c r="I31" s="19">
        <v>0</v>
      </c>
      <c r="J31" s="19"/>
      <c r="K31" s="19">
        <v>0</v>
      </c>
      <c r="L31" s="19"/>
      <c r="M31" s="19">
        <v>0</v>
      </c>
      <c r="N31" s="1"/>
      <c r="O31" s="1"/>
      <c r="P31" s="1"/>
    </row>
    <row r="32" spans="1:16" ht="15.75" thickBot="1" x14ac:dyDescent="0.25">
      <c r="A32" s="23">
        <v>123</v>
      </c>
      <c r="B32" s="32" t="s">
        <v>161</v>
      </c>
      <c r="C32" s="32" t="s">
        <v>110</v>
      </c>
      <c r="D32" s="46"/>
      <c r="E32" s="24">
        <f>+E19</f>
        <v>9.23</v>
      </c>
      <c r="F32" s="24"/>
      <c r="G32" s="24">
        <f>+G19</f>
        <v>9.65</v>
      </c>
      <c r="H32" s="24"/>
      <c r="I32" s="24">
        <f>+I19</f>
        <v>0.12</v>
      </c>
      <c r="J32" s="24"/>
      <c r="K32" s="24">
        <f>+K19</f>
        <v>2.82</v>
      </c>
      <c r="L32" s="24"/>
      <c r="M32" s="24">
        <f>+M19</f>
        <v>1.0721228126399998</v>
      </c>
      <c r="N32" s="1"/>
      <c r="O32" s="1"/>
      <c r="P32" s="1"/>
    </row>
    <row r="33" spans="1:16" ht="15.75" thickTop="1" x14ac:dyDescent="0.2">
      <c r="A33" s="6"/>
      <c r="B33" s="22"/>
      <c r="C33" s="22" t="s">
        <v>43</v>
      </c>
      <c r="D33" s="29">
        <f t="shared" ref="D33:M33" si="1">SUM(D26:D32)</f>
        <v>0</v>
      </c>
      <c r="E33" s="29">
        <f t="shared" si="1"/>
        <v>456.64700000000005</v>
      </c>
      <c r="F33" s="29">
        <f t="shared" si="1"/>
        <v>0</v>
      </c>
      <c r="G33" s="29">
        <f t="shared" si="1"/>
        <v>701.471</v>
      </c>
      <c r="H33" s="29">
        <f t="shared" si="1"/>
        <v>0</v>
      </c>
      <c r="I33" s="29">
        <f t="shared" si="1"/>
        <v>5.9541599999999999</v>
      </c>
      <c r="J33" s="29">
        <f t="shared" si="1"/>
        <v>0</v>
      </c>
      <c r="K33" s="29">
        <f t="shared" si="1"/>
        <v>6.6437399999999993</v>
      </c>
      <c r="L33" s="29">
        <f t="shared" si="1"/>
        <v>0</v>
      </c>
      <c r="M33" s="30">
        <f t="shared" si="1"/>
        <v>1.1880176126399997</v>
      </c>
      <c r="N33" s="1"/>
      <c r="O33" s="1"/>
      <c r="P33" s="1"/>
    </row>
    <row r="34" spans="1:1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15">
    <mergeCell ref="A8:M8"/>
    <mergeCell ref="A5:M5"/>
    <mergeCell ref="A1:M1"/>
    <mergeCell ref="A2:M2"/>
    <mergeCell ref="A3:M3"/>
    <mergeCell ref="L24:M24"/>
    <mergeCell ref="D11:E11"/>
    <mergeCell ref="F11:G11"/>
    <mergeCell ref="H11:I11"/>
    <mergeCell ref="J11:K11"/>
    <mergeCell ref="D24:E24"/>
    <mergeCell ref="F24:G24"/>
    <mergeCell ref="H24:I24"/>
    <mergeCell ref="J24:K24"/>
    <mergeCell ref="L11:M11"/>
  </mergeCells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Turbine</vt:lpstr>
      <vt:lpstr>Gen Engines</vt:lpstr>
      <vt:lpstr>Netting</vt:lpstr>
      <vt:lpstr>Alternative</vt:lpstr>
      <vt:lpstr>Example</vt:lpstr>
      <vt:lpstr>Summary</vt:lpstr>
      <vt:lpstr>Alternative!Print_Area</vt:lpstr>
      <vt:lpstr>Example!Print_Area</vt:lpstr>
      <vt:lpstr>'Gen Engines'!Print_Area</vt:lpstr>
      <vt:lpstr>Netting!Print_Area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Felienne</cp:lastModifiedBy>
  <cp:lastPrinted>2001-03-23T21:42:26Z</cp:lastPrinted>
  <dcterms:created xsi:type="dcterms:W3CDTF">2001-03-16T01:11:34Z</dcterms:created>
  <dcterms:modified xsi:type="dcterms:W3CDTF">2014-09-04T13:55:38Z</dcterms:modified>
</cp:coreProperties>
</file>