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5480" windowHeight="8010"/>
  </bookViews>
  <sheets>
    <sheet name="chart" sheetId="2" r:id="rId1"/>
    <sheet name="Year Over Year" sheetId="1" r:id="rId2"/>
    <sheet name="Plan Comp" sheetId="3" r:id="rId3"/>
  </sheets>
  <definedNames>
    <definedName name="_xlnm.Print_Area" localSheetId="2">'Plan Comp'!$A$1:$BT$31</definedName>
    <definedName name="_xlnm.Print_Area" localSheetId="1">'Year Over Year'!$A$1:$BS$31</definedName>
  </definedNames>
  <calcPr calcId="152511"/>
</workbook>
</file>

<file path=xl/calcChain.xml><?xml version="1.0" encoding="utf-8"?>
<calcChain xmlns="http://schemas.openxmlformats.org/spreadsheetml/2006/main">
  <c r="A6" i="3" l="1"/>
  <c r="C9" i="3"/>
  <c r="E9" i="3" s="1"/>
  <c r="G9" i="3"/>
  <c r="I9" i="3"/>
  <c r="K9" i="3"/>
  <c r="P9" i="3"/>
  <c r="S9" i="3"/>
  <c r="T9" i="3"/>
  <c r="U9" i="3"/>
  <c r="W9" i="3"/>
  <c r="X9" i="3"/>
  <c r="AA9" i="3"/>
  <c r="AC9" i="3" s="1"/>
  <c r="AB9" i="3"/>
  <c r="AF9" i="3"/>
  <c r="AJ9" i="3"/>
  <c r="AM9" i="3"/>
  <c r="AN9" i="3"/>
  <c r="AO9" i="3" s="1"/>
  <c r="AQ9" i="3"/>
  <c r="AR9" i="3"/>
  <c r="AY9" i="3"/>
  <c r="AZ9" i="3"/>
  <c r="BA9" i="3"/>
  <c r="BC9" i="3"/>
  <c r="BD9" i="3"/>
  <c r="BG9" i="3"/>
  <c r="BI9" i="3" s="1"/>
  <c r="BH9" i="3"/>
  <c r="BL9" i="3"/>
  <c r="BP9" i="3"/>
  <c r="C10" i="3"/>
  <c r="O10" i="3" s="1"/>
  <c r="Q10" i="3" s="1"/>
  <c r="D10" i="3"/>
  <c r="E10" i="3"/>
  <c r="G10" i="3"/>
  <c r="H10" i="3"/>
  <c r="K10" i="3"/>
  <c r="M10" i="3" s="1"/>
  <c r="L10" i="3"/>
  <c r="P10" i="3"/>
  <c r="S10" i="3"/>
  <c r="T10" i="3"/>
  <c r="U10" i="3" s="1"/>
  <c r="W10" i="3"/>
  <c r="X10" i="3"/>
  <c r="Y10" i="3" s="1"/>
  <c r="AA10" i="3"/>
  <c r="AE10" i="3" s="1"/>
  <c r="AB10" i="3"/>
  <c r="AJ10" i="3"/>
  <c r="AK10" i="3"/>
  <c r="AM10" i="3"/>
  <c r="AN10" i="3"/>
  <c r="AQ10" i="3"/>
  <c r="AS10" i="3" s="1"/>
  <c r="AR10" i="3"/>
  <c r="AV10" i="3"/>
  <c r="AY10" i="3"/>
  <c r="AZ10" i="3"/>
  <c r="BA10" i="3" s="1"/>
  <c r="BC10" i="3"/>
  <c r="BD10" i="3"/>
  <c r="BE10" i="3" s="1"/>
  <c r="BG10" i="3"/>
  <c r="BK10" i="3" s="1"/>
  <c r="BH10" i="3"/>
  <c r="BP10" i="3"/>
  <c r="C11" i="3"/>
  <c r="G11" i="3"/>
  <c r="I11" i="3" s="1"/>
  <c r="K11" i="3"/>
  <c r="M11" i="3"/>
  <c r="P11" i="3"/>
  <c r="S11" i="3"/>
  <c r="T11" i="3"/>
  <c r="W11" i="3"/>
  <c r="X11" i="3"/>
  <c r="Y11" i="3"/>
  <c r="AA11" i="3"/>
  <c r="AB11" i="3"/>
  <c r="AC11" i="3" s="1"/>
  <c r="AE11" i="3"/>
  <c r="AJ11" i="3"/>
  <c r="AM11" i="3"/>
  <c r="AN11" i="3"/>
  <c r="AO11" i="3"/>
  <c r="AQ11" i="3"/>
  <c r="AS11" i="3" s="1"/>
  <c r="AR11" i="3"/>
  <c r="AV11" i="3"/>
  <c r="AY11" i="3"/>
  <c r="AZ11" i="3"/>
  <c r="BC11" i="3"/>
  <c r="BD11" i="3"/>
  <c r="BE11" i="3"/>
  <c r="BG11" i="3"/>
  <c r="BK11" i="3" s="1"/>
  <c r="BH11" i="3"/>
  <c r="BI11" i="3" s="1"/>
  <c r="H14" i="3"/>
  <c r="L14" i="3"/>
  <c r="P14" i="3"/>
  <c r="T14" i="3"/>
  <c r="W14" i="3"/>
  <c r="X14" i="3"/>
  <c r="AA14" i="3"/>
  <c r="AB14" i="3"/>
  <c r="AC14" i="3" s="1"/>
  <c r="AJ14" i="3"/>
  <c r="AM14" i="3"/>
  <c r="AO14" i="3" s="1"/>
  <c r="AN14" i="3"/>
  <c r="AQ14" i="3"/>
  <c r="AR14" i="3"/>
  <c r="AS14" i="3" s="1"/>
  <c r="AY14" i="3"/>
  <c r="AZ14" i="3"/>
  <c r="BA14" i="3"/>
  <c r="BC14" i="3"/>
  <c r="BD14" i="3"/>
  <c r="BG14" i="3"/>
  <c r="BI14" i="3" s="1"/>
  <c r="BP14" i="3"/>
  <c r="C15" i="3"/>
  <c r="D15" i="3"/>
  <c r="G15" i="3"/>
  <c r="H15" i="3"/>
  <c r="I15" i="3"/>
  <c r="K15" i="3"/>
  <c r="M15" i="3" s="1"/>
  <c r="L15" i="3"/>
  <c r="S15" i="3"/>
  <c r="T15" i="3"/>
  <c r="BP15" i="3" s="1"/>
  <c r="U15" i="3"/>
  <c r="W15" i="3"/>
  <c r="X15" i="3"/>
  <c r="Y15" i="3" s="1"/>
  <c r="AA15" i="3"/>
  <c r="AB15" i="3"/>
  <c r="AC15" i="3"/>
  <c r="AE15" i="3"/>
  <c r="AI15" i="3"/>
  <c r="AU15" i="3" s="1"/>
  <c r="AJ15" i="3"/>
  <c r="AK15" i="3" s="1"/>
  <c r="AM15" i="3"/>
  <c r="AN15" i="3"/>
  <c r="AO15" i="3"/>
  <c r="AQ15" i="3"/>
  <c r="AS15" i="3" s="1"/>
  <c r="AR15" i="3"/>
  <c r="AY15" i="3"/>
  <c r="AZ15" i="3"/>
  <c r="BA15" i="3"/>
  <c r="BC15" i="3"/>
  <c r="BD15" i="3"/>
  <c r="BE15" i="3" s="1"/>
  <c r="BG15" i="3"/>
  <c r="BH15" i="3"/>
  <c r="BI15" i="3"/>
  <c r="BK15" i="3"/>
  <c r="BL15" i="3"/>
  <c r="BM15" i="3" s="1"/>
  <c r="BO15" i="3"/>
  <c r="C16" i="3"/>
  <c r="D16" i="3"/>
  <c r="E16" i="3"/>
  <c r="G16" i="3"/>
  <c r="H16" i="3"/>
  <c r="I16" i="3" s="1"/>
  <c r="K16" i="3"/>
  <c r="L16" i="3"/>
  <c r="M16" i="3"/>
  <c r="O16" i="3"/>
  <c r="S16" i="3"/>
  <c r="T16" i="3"/>
  <c r="U16" i="3" s="1"/>
  <c r="W16" i="3"/>
  <c r="X16" i="3"/>
  <c r="Y16" i="3"/>
  <c r="AA16" i="3"/>
  <c r="AC16" i="3" s="1"/>
  <c r="AB16" i="3"/>
  <c r="AJ16" i="3"/>
  <c r="AM16" i="3"/>
  <c r="AN16" i="3"/>
  <c r="AO16" i="3" s="1"/>
  <c r="AQ16" i="3"/>
  <c r="AR16" i="3"/>
  <c r="AS16" i="3"/>
  <c r="AY16" i="3"/>
  <c r="AZ16" i="3"/>
  <c r="BC16" i="3"/>
  <c r="BD16" i="3"/>
  <c r="BE16" i="3"/>
  <c r="BG16" i="3"/>
  <c r="BI16" i="3" s="1"/>
  <c r="BH16" i="3"/>
  <c r="BP16" i="3"/>
  <c r="BQ16" i="3" s="1"/>
  <c r="BR16" i="3" s="1"/>
  <c r="C17" i="3"/>
  <c r="D17" i="3"/>
  <c r="E17" i="3" s="1"/>
  <c r="H17" i="3"/>
  <c r="I17" i="3"/>
  <c r="K17" i="3"/>
  <c r="L17" i="3"/>
  <c r="M17" i="3"/>
  <c r="T17" i="3"/>
  <c r="BP17" i="3" s="1"/>
  <c r="X17" i="3"/>
  <c r="Y17" i="3" s="1"/>
  <c r="AA17" i="3"/>
  <c r="AB17" i="3"/>
  <c r="AC17" i="3"/>
  <c r="AJ17" i="3"/>
  <c r="AM17" i="3"/>
  <c r="AN17" i="3"/>
  <c r="AO17" i="3"/>
  <c r="AQ17" i="3"/>
  <c r="AR17" i="3"/>
  <c r="AS17" i="3"/>
  <c r="AY17" i="3"/>
  <c r="AZ17" i="3"/>
  <c r="BA17" i="3"/>
  <c r="BC17" i="3"/>
  <c r="BD17" i="3"/>
  <c r="BE17" i="3" s="1"/>
  <c r="BG17" i="3"/>
  <c r="BH17" i="3"/>
  <c r="BI17" i="3"/>
  <c r="BK17" i="3"/>
  <c r="C18" i="3"/>
  <c r="D18" i="3"/>
  <c r="E18" i="3" s="1"/>
  <c r="G18" i="3"/>
  <c r="H18" i="3"/>
  <c r="I18" i="3" s="1"/>
  <c r="L18" i="3"/>
  <c r="S18" i="3"/>
  <c r="T18" i="3"/>
  <c r="U18" i="3" s="1"/>
  <c r="X18" i="3"/>
  <c r="AA18" i="3"/>
  <c r="AC18" i="3" s="1"/>
  <c r="AB18" i="3"/>
  <c r="AJ18" i="3"/>
  <c r="AJ28" i="3" s="1"/>
  <c r="AM18" i="3"/>
  <c r="AN18" i="3"/>
  <c r="AO18" i="3" s="1"/>
  <c r="AQ18" i="3"/>
  <c r="AR18" i="3"/>
  <c r="AS18" i="3"/>
  <c r="AY18" i="3"/>
  <c r="BK18" i="3" s="1"/>
  <c r="AZ18" i="3"/>
  <c r="BA18" i="3" s="1"/>
  <c r="BC18" i="3"/>
  <c r="BD18" i="3"/>
  <c r="BE18" i="3"/>
  <c r="BG18" i="3"/>
  <c r="BH18" i="3"/>
  <c r="BI18" i="3"/>
  <c r="C21" i="3"/>
  <c r="D21" i="3"/>
  <c r="G21" i="3"/>
  <c r="H21" i="3"/>
  <c r="I21" i="3"/>
  <c r="K21" i="3"/>
  <c r="L21" i="3"/>
  <c r="M21" i="3" s="1"/>
  <c r="O21" i="3"/>
  <c r="S21" i="3"/>
  <c r="T21" i="3"/>
  <c r="U21" i="3"/>
  <c r="W21" i="3"/>
  <c r="X21" i="3"/>
  <c r="Y21" i="3"/>
  <c r="AA21" i="3"/>
  <c r="AC21" i="3" s="1"/>
  <c r="AB21" i="3"/>
  <c r="AF21" i="3"/>
  <c r="AJ21" i="3"/>
  <c r="AM21" i="3"/>
  <c r="AN21" i="3"/>
  <c r="AO21" i="3"/>
  <c r="AQ21" i="3"/>
  <c r="AR21" i="3"/>
  <c r="AS21" i="3" s="1"/>
  <c r="AY21" i="3"/>
  <c r="AZ21" i="3"/>
  <c r="BA21" i="3"/>
  <c r="BC21" i="3"/>
  <c r="BK21" i="3" s="1"/>
  <c r="BD21" i="3"/>
  <c r="BE21" i="3"/>
  <c r="BG21" i="3"/>
  <c r="BH21" i="3"/>
  <c r="BI21" i="3"/>
  <c r="BL21" i="3"/>
  <c r="BM21" i="3" s="1"/>
  <c r="C22" i="3"/>
  <c r="D22" i="3"/>
  <c r="E22" i="3"/>
  <c r="G22" i="3"/>
  <c r="O22" i="3" s="1"/>
  <c r="H22" i="3"/>
  <c r="I22" i="3"/>
  <c r="K22" i="3"/>
  <c r="L22" i="3"/>
  <c r="M22" i="3"/>
  <c r="P22" i="3"/>
  <c r="Q22" i="3"/>
  <c r="S22" i="3"/>
  <c r="T22" i="3"/>
  <c r="W22" i="3"/>
  <c r="X22" i="3"/>
  <c r="Y22" i="3"/>
  <c r="AA22" i="3"/>
  <c r="AB22" i="3"/>
  <c r="AC22" i="3" s="1"/>
  <c r="AE22" i="3"/>
  <c r="AJ22" i="3"/>
  <c r="AM22" i="3"/>
  <c r="AO22" i="3" s="1"/>
  <c r="AN22" i="3"/>
  <c r="AQ22" i="3"/>
  <c r="AR22" i="3"/>
  <c r="AS22" i="3"/>
  <c r="AV22" i="3"/>
  <c r="AY22" i="3"/>
  <c r="AZ22" i="3"/>
  <c r="BC22" i="3"/>
  <c r="BD22" i="3"/>
  <c r="BE22" i="3"/>
  <c r="BG22" i="3"/>
  <c r="BK22" i="3" s="1"/>
  <c r="BH22" i="3"/>
  <c r="C23" i="3"/>
  <c r="D23" i="3"/>
  <c r="G23" i="3"/>
  <c r="H23" i="3"/>
  <c r="I23" i="3"/>
  <c r="K23" i="3"/>
  <c r="O23" i="3" s="1"/>
  <c r="L23" i="3"/>
  <c r="M23" i="3" s="1"/>
  <c r="S23" i="3"/>
  <c r="T23" i="3"/>
  <c r="U23" i="3"/>
  <c r="W23" i="3"/>
  <c r="Y23" i="3" s="1"/>
  <c r="X23" i="3"/>
  <c r="AA23" i="3"/>
  <c r="AB23" i="3"/>
  <c r="AC23" i="3"/>
  <c r="AF23" i="3"/>
  <c r="AJ23" i="3"/>
  <c r="AM23" i="3"/>
  <c r="AN23" i="3"/>
  <c r="AO23" i="3"/>
  <c r="AQ23" i="3"/>
  <c r="AR23" i="3"/>
  <c r="AS23" i="3" s="1"/>
  <c r="AY23" i="3"/>
  <c r="AZ23" i="3"/>
  <c r="BA23" i="3"/>
  <c r="BC23" i="3"/>
  <c r="BK23" i="3" s="1"/>
  <c r="BD23" i="3"/>
  <c r="BG23" i="3"/>
  <c r="BH23" i="3"/>
  <c r="BI23" i="3"/>
  <c r="BL23" i="3"/>
  <c r="BM23" i="3" s="1"/>
  <c r="C24" i="3"/>
  <c r="D24" i="3"/>
  <c r="E24" i="3"/>
  <c r="G24" i="3"/>
  <c r="O24" i="3" s="1"/>
  <c r="Q24" i="3" s="1"/>
  <c r="H24" i="3"/>
  <c r="I24" i="3"/>
  <c r="K24" i="3"/>
  <c r="L24" i="3"/>
  <c r="M24" i="3"/>
  <c r="P24" i="3"/>
  <c r="S24" i="3"/>
  <c r="T24" i="3"/>
  <c r="W24" i="3"/>
  <c r="X24" i="3"/>
  <c r="Y24" i="3"/>
  <c r="AA24" i="3"/>
  <c r="AB24" i="3"/>
  <c r="AJ24" i="3"/>
  <c r="AK24" i="3"/>
  <c r="AM24" i="3"/>
  <c r="AO24" i="3" s="1"/>
  <c r="AN24" i="3"/>
  <c r="AQ24" i="3"/>
  <c r="AR24" i="3"/>
  <c r="AS24" i="3"/>
  <c r="AV24" i="3"/>
  <c r="AY24" i="3"/>
  <c r="AZ24" i="3"/>
  <c r="BC24" i="3"/>
  <c r="BD24" i="3"/>
  <c r="BE24" i="3"/>
  <c r="BG24" i="3"/>
  <c r="BH24" i="3"/>
  <c r="BI24" i="3" s="1"/>
  <c r="BK24" i="3"/>
  <c r="AA26" i="3"/>
  <c r="AB26" i="3"/>
  <c r="AI26" i="3"/>
  <c r="AJ26" i="3"/>
  <c r="AM26" i="3"/>
  <c r="AN26" i="3"/>
  <c r="AQ26" i="3"/>
  <c r="AR26" i="3"/>
  <c r="AV26" i="3"/>
  <c r="AY26" i="3"/>
  <c r="AZ26" i="3"/>
  <c r="BC26" i="3"/>
  <c r="BD26" i="3"/>
  <c r="BG26" i="3"/>
  <c r="BH26" i="3"/>
  <c r="BL26" i="3" s="1"/>
  <c r="C27" i="3"/>
  <c r="O27" i="3" s="1"/>
  <c r="D27" i="3"/>
  <c r="E27" i="3"/>
  <c r="G27" i="3"/>
  <c r="H27" i="3"/>
  <c r="H28" i="3" s="1"/>
  <c r="I27" i="3"/>
  <c r="K27" i="3"/>
  <c r="L27" i="3"/>
  <c r="M27" i="3" s="1"/>
  <c r="T27" i="3"/>
  <c r="W27" i="3"/>
  <c r="X27" i="3"/>
  <c r="Y27" i="3" s="1"/>
  <c r="AB27" i="3"/>
  <c r="AC27" i="3"/>
  <c r="AJ27" i="3"/>
  <c r="AM27" i="3"/>
  <c r="AN27" i="3"/>
  <c r="AO27" i="3"/>
  <c r="AQ27" i="3"/>
  <c r="AR27" i="3"/>
  <c r="AS27" i="3" s="1"/>
  <c r="AY27" i="3"/>
  <c r="BK27" i="3" s="1"/>
  <c r="AZ27" i="3"/>
  <c r="BC27" i="3"/>
  <c r="BD27" i="3"/>
  <c r="BE27" i="3" s="1"/>
  <c r="BG27" i="3"/>
  <c r="BH27" i="3"/>
  <c r="BI27" i="3"/>
  <c r="AA28" i="3"/>
  <c r="BT28" i="3"/>
  <c r="C7" i="1"/>
  <c r="G7" i="1"/>
  <c r="E9" i="1"/>
  <c r="I9" i="1"/>
  <c r="M9" i="1"/>
  <c r="O9" i="1"/>
  <c r="Q9" i="1" s="1"/>
  <c r="P9" i="1"/>
  <c r="U9" i="1"/>
  <c r="Y9" i="1"/>
  <c r="AC9" i="1"/>
  <c r="AE9" i="1"/>
  <c r="AF9" i="1"/>
  <c r="AG9" i="1"/>
  <c r="AK9" i="1"/>
  <c r="AO9" i="1"/>
  <c r="AO28" i="1" s="1"/>
  <c r="AS9" i="1"/>
  <c r="AU9" i="1"/>
  <c r="AV9" i="1"/>
  <c r="AW9" i="1" s="1"/>
  <c r="BA9" i="1"/>
  <c r="BE9" i="1"/>
  <c r="BI9" i="1"/>
  <c r="BK9" i="1"/>
  <c r="BM9" i="1" s="1"/>
  <c r="BL9" i="1"/>
  <c r="BO9" i="1"/>
  <c r="BP9" i="1"/>
  <c r="BO9" i="3" s="1"/>
  <c r="BQ9" i="1"/>
  <c r="E10" i="1"/>
  <c r="I10" i="1"/>
  <c r="M10" i="1"/>
  <c r="O10" i="1"/>
  <c r="P10" i="1"/>
  <c r="Q10" i="1" s="1"/>
  <c r="U10" i="1"/>
  <c r="Y10" i="1"/>
  <c r="AC10" i="1"/>
  <c r="AE10" i="1"/>
  <c r="AF10" i="1"/>
  <c r="AI10" i="3" s="1"/>
  <c r="AK10" i="1"/>
  <c r="AO10" i="1"/>
  <c r="AS10" i="1"/>
  <c r="AU10" i="1"/>
  <c r="AW10" i="1" s="1"/>
  <c r="AV10" i="1"/>
  <c r="BA10" i="1"/>
  <c r="BE10" i="1"/>
  <c r="BI10" i="1"/>
  <c r="BK10" i="1"/>
  <c r="BL10" i="1"/>
  <c r="BL28" i="1" s="1"/>
  <c r="BM10" i="1"/>
  <c r="BO10" i="1"/>
  <c r="BP10" i="1"/>
  <c r="BQ10" i="1" s="1"/>
  <c r="E11" i="1"/>
  <c r="I11" i="1"/>
  <c r="M11" i="1"/>
  <c r="O11" i="1"/>
  <c r="P11" i="1"/>
  <c r="U11" i="1"/>
  <c r="Y11" i="1"/>
  <c r="AC11" i="1"/>
  <c r="AE11" i="1"/>
  <c r="AF11" i="1"/>
  <c r="AI11" i="3" s="1"/>
  <c r="AK11" i="3" s="1"/>
  <c r="AG11" i="1"/>
  <c r="AK11" i="1"/>
  <c r="AO11" i="1"/>
  <c r="AS11" i="1"/>
  <c r="AU11" i="1"/>
  <c r="AV11" i="1"/>
  <c r="AW11" i="1"/>
  <c r="BA11" i="1"/>
  <c r="BE11" i="1"/>
  <c r="BI11" i="1"/>
  <c r="BK11" i="1"/>
  <c r="BL11" i="1"/>
  <c r="BM11" i="1" s="1"/>
  <c r="BO11" i="1"/>
  <c r="BP11" i="1"/>
  <c r="BO11" i="3" s="1"/>
  <c r="D14" i="1"/>
  <c r="D28" i="1" s="1"/>
  <c r="H14" i="1"/>
  <c r="L14" i="1"/>
  <c r="K14" i="3" s="1"/>
  <c r="M14" i="3" s="1"/>
  <c r="M14" i="1"/>
  <c r="O14" i="1"/>
  <c r="P14" i="1"/>
  <c r="Q14" i="1" s="1"/>
  <c r="T14" i="1"/>
  <c r="S14" i="3" s="1"/>
  <c r="U14" i="3" s="1"/>
  <c r="U14" i="1"/>
  <c r="X14" i="1"/>
  <c r="Y14" i="1"/>
  <c r="AC14" i="1"/>
  <c r="AE14" i="1"/>
  <c r="AF14" i="1"/>
  <c r="AE14" i="3" s="1"/>
  <c r="AK14" i="1"/>
  <c r="AO14" i="1"/>
  <c r="AS14" i="1"/>
  <c r="AU14" i="1"/>
  <c r="AV14" i="1"/>
  <c r="AW14" i="1" s="1"/>
  <c r="BA14" i="1"/>
  <c r="BA28" i="1" s="1"/>
  <c r="BE14" i="1"/>
  <c r="BI14" i="1"/>
  <c r="BK14" i="1"/>
  <c r="BM14" i="1" s="1"/>
  <c r="BL14" i="1"/>
  <c r="BO14" i="1"/>
  <c r="E15" i="1"/>
  <c r="I15" i="1"/>
  <c r="M15" i="1"/>
  <c r="O15" i="1"/>
  <c r="P15" i="1"/>
  <c r="Q15" i="1" s="1"/>
  <c r="U15" i="1"/>
  <c r="Y15" i="1"/>
  <c r="AC15" i="1"/>
  <c r="AE15" i="1"/>
  <c r="AG15" i="1" s="1"/>
  <c r="AF15" i="1"/>
  <c r="AK15" i="1"/>
  <c r="AO15" i="1"/>
  <c r="AS15" i="1"/>
  <c r="AU15" i="1"/>
  <c r="AV15" i="1"/>
  <c r="AW15" i="1"/>
  <c r="BA15" i="1"/>
  <c r="BE15" i="1"/>
  <c r="BI15" i="1"/>
  <c r="BK15" i="1"/>
  <c r="BL15" i="1"/>
  <c r="BM15" i="1" s="1"/>
  <c r="BO15" i="1"/>
  <c r="BP15" i="1"/>
  <c r="BQ15" i="1" s="1"/>
  <c r="BR15" i="1" s="1"/>
  <c r="E16" i="1"/>
  <c r="I16" i="1"/>
  <c r="M16" i="1"/>
  <c r="O16" i="1"/>
  <c r="Q16" i="1" s="1"/>
  <c r="P16" i="1"/>
  <c r="U16" i="1"/>
  <c r="Y16" i="1"/>
  <c r="AC16" i="1"/>
  <c r="AE16" i="1"/>
  <c r="AF16" i="1"/>
  <c r="AG16" i="1"/>
  <c r="AK16" i="1"/>
  <c r="AO16" i="1"/>
  <c r="AS16" i="1"/>
  <c r="AU16" i="1"/>
  <c r="AV16" i="1"/>
  <c r="AW16" i="1" s="1"/>
  <c r="BA16" i="1"/>
  <c r="BE16" i="1"/>
  <c r="BI16" i="1"/>
  <c r="BK16" i="1"/>
  <c r="BM16" i="1" s="1"/>
  <c r="BL16" i="1"/>
  <c r="BO16" i="1"/>
  <c r="BP16" i="1"/>
  <c r="BO16" i="3" s="1"/>
  <c r="BQ16" i="1"/>
  <c r="BR16" i="1"/>
  <c r="D17" i="1"/>
  <c r="E17" i="1"/>
  <c r="H17" i="1"/>
  <c r="G17" i="3" s="1"/>
  <c r="I17" i="1"/>
  <c r="L17" i="1"/>
  <c r="M17" i="1" s="1"/>
  <c r="O17" i="1"/>
  <c r="P17" i="1"/>
  <c r="Q17" i="1" s="1"/>
  <c r="T17" i="1"/>
  <c r="AF17" i="1" s="1"/>
  <c r="X17" i="1"/>
  <c r="W17" i="3" s="1"/>
  <c r="Y17" i="1"/>
  <c r="AC17" i="1"/>
  <c r="AE17" i="1"/>
  <c r="AK17" i="1"/>
  <c r="AO17" i="1"/>
  <c r="AS17" i="1"/>
  <c r="AU17" i="1"/>
  <c r="AV17" i="1"/>
  <c r="AW17" i="1"/>
  <c r="BA17" i="1"/>
  <c r="BE17" i="1"/>
  <c r="BI17" i="1"/>
  <c r="BK17" i="1"/>
  <c r="BL17" i="1"/>
  <c r="BM17" i="1"/>
  <c r="BO17" i="1"/>
  <c r="E18" i="1"/>
  <c r="I18" i="1"/>
  <c r="L18" i="1"/>
  <c r="K18" i="3" s="1"/>
  <c r="M18" i="3" s="1"/>
  <c r="M18" i="1"/>
  <c r="O18" i="1"/>
  <c r="P18" i="1"/>
  <c r="Q18" i="1"/>
  <c r="T18" i="1"/>
  <c r="X18" i="1"/>
  <c r="AB18" i="1"/>
  <c r="AC18" i="1"/>
  <c r="AE18" i="1"/>
  <c r="AK18" i="1"/>
  <c r="AO18" i="1"/>
  <c r="AS18" i="1"/>
  <c r="AU18" i="1"/>
  <c r="AV18" i="1"/>
  <c r="AW18" i="1" s="1"/>
  <c r="BA18" i="1"/>
  <c r="BE18" i="1"/>
  <c r="BI18" i="1"/>
  <c r="BK18" i="1"/>
  <c r="BM18" i="1" s="1"/>
  <c r="BL18" i="1"/>
  <c r="BO18" i="1"/>
  <c r="E21" i="1"/>
  <c r="I21" i="1"/>
  <c r="M21" i="1"/>
  <c r="O21" i="1"/>
  <c r="P21" i="1"/>
  <c r="Q21" i="1"/>
  <c r="U21" i="1"/>
  <c r="Y21" i="1"/>
  <c r="AC21" i="1"/>
  <c r="AE21" i="1"/>
  <c r="AF21" i="1"/>
  <c r="AK21" i="1"/>
  <c r="AO21" i="1"/>
  <c r="AS21" i="1"/>
  <c r="AU21" i="1"/>
  <c r="AV21" i="1"/>
  <c r="AW21" i="1" s="1"/>
  <c r="BA21" i="1"/>
  <c r="BE21" i="1"/>
  <c r="BI21" i="1"/>
  <c r="BK21" i="1"/>
  <c r="BM21" i="1" s="1"/>
  <c r="BL21" i="1"/>
  <c r="BO21" i="1"/>
  <c r="BP21" i="1"/>
  <c r="BO21" i="3" s="1"/>
  <c r="BQ21" i="1"/>
  <c r="BR21" i="1" s="1"/>
  <c r="E22" i="1"/>
  <c r="I22" i="1"/>
  <c r="M22" i="1"/>
  <c r="O22" i="1"/>
  <c r="P22" i="1"/>
  <c r="U22" i="1"/>
  <c r="Y22" i="1"/>
  <c r="AC22" i="1"/>
  <c r="AE22" i="1"/>
  <c r="AG22" i="1" s="1"/>
  <c r="AF22" i="1"/>
  <c r="AI22" i="3" s="1"/>
  <c r="AK22" i="3" s="1"/>
  <c r="AK22" i="1"/>
  <c r="AO22" i="1"/>
  <c r="AS22" i="1"/>
  <c r="AU22" i="1"/>
  <c r="AV22" i="1"/>
  <c r="AW22" i="1"/>
  <c r="BA22" i="1"/>
  <c r="BE22" i="1"/>
  <c r="BI22" i="1"/>
  <c r="BK22" i="1"/>
  <c r="BL22" i="1"/>
  <c r="BM22" i="1" s="1"/>
  <c r="BO22" i="1"/>
  <c r="BP22" i="1"/>
  <c r="E23" i="1"/>
  <c r="I23" i="1"/>
  <c r="M23" i="1"/>
  <c r="O23" i="1"/>
  <c r="P23" i="1"/>
  <c r="Q23" i="1"/>
  <c r="U23" i="1"/>
  <c r="Y23" i="1"/>
  <c r="AC23" i="1"/>
  <c r="AE23" i="1"/>
  <c r="AF23" i="1"/>
  <c r="AK23" i="1"/>
  <c r="AO23" i="1"/>
  <c r="AS23" i="1"/>
  <c r="AU23" i="1"/>
  <c r="AV23" i="1"/>
  <c r="AW23" i="1" s="1"/>
  <c r="BA23" i="1"/>
  <c r="BE23" i="1"/>
  <c r="BI23" i="1"/>
  <c r="BK23" i="1"/>
  <c r="BL23" i="1"/>
  <c r="BM23" i="1"/>
  <c r="BO23" i="1"/>
  <c r="BQ23" i="1" s="1"/>
  <c r="BR23" i="1" s="1"/>
  <c r="BP23" i="1"/>
  <c r="BO23" i="3" s="1"/>
  <c r="E24" i="1"/>
  <c r="I24" i="1"/>
  <c r="M24" i="1"/>
  <c r="O24" i="1"/>
  <c r="P24" i="1"/>
  <c r="Q24" i="1" s="1"/>
  <c r="U24" i="1"/>
  <c r="Y24" i="1"/>
  <c r="AC24" i="1"/>
  <c r="AE24" i="1"/>
  <c r="AF24" i="1"/>
  <c r="AI24" i="3" s="1"/>
  <c r="AK24" i="1"/>
  <c r="AO24" i="1"/>
  <c r="AS24" i="1"/>
  <c r="AU24" i="1"/>
  <c r="AV24" i="1"/>
  <c r="AW24" i="1"/>
  <c r="BA24" i="1"/>
  <c r="BE24" i="1"/>
  <c r="BI24" i="1"/>
  <c r="BK24" i="1"/>
  <c r="BL24" i="1"/>
  <c r="BM24" i="1" s="1"/>
  <c r="BO24" i="1"/>
  <c r="BP24" i="1"/>
  <c r="BO24" i="3" s="1"/>
  <c r="E27" i="1"/>
  <c r="I27" i="1"/>
  <c r="K27" i="1"/>
  <c r="K28" i="1" s="1"/>
  <c r="P27" i="1"/>
  <c r="S27" i="1"/>
  <c r="S28" i="1" s="1"/>
  <c r="T27" i="1"/>
  <c r="W27" i="1"/>
  <c r="Y27" i="1" s="1"/>
  <c r="X27" i="1"/>
  <c r="AA27" i="1"/>
  <c r="AA28" i="1" s="1"/>
  <c r="AB27" i="1"/>
  <c r="AA27" i="3" s="1"/>
  <c r="AC27" i="1"/>
  <c r="AE27" i="1"/>
  <c r="AI27" i="1"/>
  <c r="AK27" i="1"/>
  <c r="AM27" i="1"/>
  <c r="AO27" i="1"/>
  <c r="AQ27" i="1"/>
  <c r="AQ28" i="1" s="1"/>
  <c r="AS27" i="1"/>
  <c r="AV27" i="1"/>
  <c r="AY27" i="1"/>
  <c r="AY28" i="1" s="1"/>
  <c r="BA27" i="1"/>
  <c r="BC27" i="1"/>
  <c r="BE27" i="1" s="1"/>
  <c r="BI27" i="1"/>
  <c r="BL27" i="1"/>
  <c r="BP27" i="1"/>
  <c r="BO27" i="3" s="1"/>
  <c r="C28" i="1"/>
  <c r="G28" i="1"/>
  <c r="L28" i="1"/>
  <c r="X28" i="1"/>
  <c r="AI28" i="1"/>
  <c r="AJ28" i="1"/>
  <c r="AM28" i="1"/>
  <c r="AN28" i="1"/>
  <c r="AR28" i="1"/>
  <c r="AS28" i="1"/>
  <c r="AZ28" i="1"/>
  <c r="BD28" i="1"/>
  <c r="BG28" i="1"/>
  <c r="BH28" i="1"/>
  <c r="BE28" i="1" l="1"/>
  <c r="AG17" i="1"/>
  <c r="AE17" i="3"/>
  <c r="AI17" i="3"/>
  <c r="AU17" i="3" s="1"/>
  <c r="AV23" i="3"/>
  <c r="AW23" i="3" s="1"/>
  <c r="BO22" i="3"/>
  <c r="BQ22" i="1"/>
  <c r="BR22" i="1" s="1"/>
  <c r="U24" i="3"/>
  <c r="AF24" i="3"/>
  <c r="BP24" i="3"/>
  <c r="BQ24" i="3" s="1"/>
  <c r="BR24" i="3" s="1"/>
  <c r="BP18" i="3"/>
  <c r="BM27" i="1"/>
  <c r="BM28" i="1" s="1"/>
  <c r="E23" i="3"/>
  <c r="P23" i="3"/>
  <c r="Q23" i="3" s="1"/>
  <c r="AF14" i="3"/>
  <c r="AG14" i="3" s="1"/>
  <c r="X28" i="3"/>
  <c r="Y14" i="3"/>
  <c r="AB28" i="1"/>
  <c r="Y18" i="1"/>
  <c r="Y28" i="1" s="1"/>
  <c r="W18" i="3"/>
  <c r="Y18" i="3" s="1"/>
  <c r="BI28" i="1"/>
  <c r="AK28" i="1"/>
  <c r="AE24" i="3"/>
  <c r="BP21" i="3"/>
  <c r="BQ21" i="3" s="1"/>
  <c r="BR21" i="3" s="1"/>
  <c r="O18" i="3"/>
  <c r="BL17" i="3"/>
  <c r="BM17" i="3" s="1"/>
  <c r="AK17" i="3"/>
  <c r="O17" i="3"/>
  <c r="U11" i="3"/>
  <c r="AF11" i="3"/>
  <c r="AG11" i="3" s="1"/>
  <c r="BP11" i="3"/>
  <c r="AC10" i="3"/>
  <c r="AB28" i="3"/>
  <c r="BK9" i="3"/>
  <c r="K28" i="3"/>
  <c r="M9" i="3"/>
  <c r="M28" i="3" s="1"/>
  <c r="O9" i="3"/>
  <c r="Q9" i="3" s="1"/>
  <c r="BC28" i="1"/>
  <c r="AG24" i="1"/>
  <c r="Q22" i="1"/>
  <c r="BP18" i="1"/>
  <c r="U18" i="1"/>
  <c r="G14" i="3"/>
  <c r="I14" i="3" s="1"/>
  <c r="I14" i="1"/>
  <c r="I28" i="1" s="1"/>
  <c r="H28" i="1"/>
  <c r="AN28" i="3"/>
  <c r="AV27" i="3"/>
  <c r="AU26" i="3"/>
  <c r="AC24" i="3"/>
  <c r="BE23" i="3"/>
  <c r="BA22" i="3"/>
  <c r="BL22" i="3"/>
  <c r="BM22" i="3" s="1"/>
  <c r="BA16" i="3"/>
  <c r="AF15" i="3"/>
  <c r="AG15" i="3" s="1"/>
  <c r="BQ15" i="3"/>
  <c r="BR15" i="3" s="1"/>
  <c r="E15" i="3"/>
  <c r="AR28" i="3"/>
  <c r="AS9" i="3"/>
  <c r="AS28" i="3" s="1"/>
  <c r="I28" i="3"/>
  <c r="U17" i="1"/>
  <c r="U28" i="1" s="1"/>
  <c r="T28" i="1"/>
  <c r="S17" i="3"/>
  <c r="BC28" i="3"/>
  <c r="BE9" i="3"/>
  <c r="BE28" i="3" s="1"/>
  <c r="AC28" i="1"/>
  <c r="BL14" i="3"/>
  <c r="BM14" i="3" s="1"/>
  <c r="BD28" i="3"/>
  <c r="BE14" i="3"/>
  <c r="AV18" i="3"/>
  <c r="P18" i="3"/>
  <c r="Q18" i="3" s="1"/>
  <c r="BA11" i="3"/>
  <c r="BA28" i="3" s="1"/>
  <c r="BL11" i="3"/>
  <c r="BM11" i="3" s="1"/>
  <c r="O11" i="3"/>
  <c r="Q11" i="3" s="1"/>
  <c r="E11" i="3"/>
  <c r="BQ9" i="3"/>
  <c r="AG23" i="1"/>
  <c r="AE23" i="3"/>
  <c r="AG23" i="3" s="1"/>
  <c r="AI23" i="3"/>
  <c r="AU23" i="3" s="1"/>
  <c r="BP17" i="1"/>
  <c r="AU11" i="3"/>
  <c r="AW11" i="3" s="1"/>
  <c r="AF17" i="3"/>
  <c r="AG17" i="3" s="1"/>
  <c r="BK16" i="3"/>
  <c r="O15" i="3"/>
  <c r="BI10" i="3"/>
  <c r="BH28" i="3"/>
  <c r="AQ28" i="3"/>
  <c r="AY28" i="3"/>
  <c r="M27" i="1"/>
  <c r="M28" i="1" s="1"/>
  <c r="BO27" i="1"/>
  <c r="BQ27" i="1" s="1"/>
  <c r="O27" i="1"/>
  <c r="Q11" i="1"/>
  <c r="P28" i="1"/>
  <c r="BP27" i="3"/>
  <c r="BQ27" i="3" s="1"/>
  <c r="P27" i="3"/>
  <c r="Q27" i="3" s="1"/>
  <c r="AU24" i="3"/>
  <c r="AW24" i="3" s="1"/>
  <c r="AF27" i="3"/>
  <c r="AV21" i="3"/>
  <c r="W28" i="1"/>
  <c r="AU27" i="1"/>
  <c r="AU28" i="1" s="1"/>
  <c r="U27" i="1"/>
  <c r="AF27" i="1"/>
  <c r="BQ24" i="1"/>
  <c r="BR24" i="1" s="1"/>
  <c r="AE28" i="1"/>
  <c r="AG10" i="1"/>
  <c r="AE9" i="3"/>
  <c r="AI9" i="3"/>
  <c r="S27" i="3"/>
  <c r="U27" i="3" s="1"/>
  <c r="BP23" i="3"/>
  <c r="BQ23" i="3" s="1"/>
  <c r="BR23" i="3" s="1"/>
  <c r="U22" i="3"/>
  <c r="AF22" i="3"/>
  <c r="AG22" i="3" s="1"/>
  <c r="BP22" i="3"/>
  <c r="E21" i="3"/>
  <c r="P21" i="3"/>
  <c r="Q21" i="3" s="1"/>
  <c r="AV16" i="3"/>
  <c r="AV14" i="3"/>
  <c r="AI14" i="3"/>
  <c r="BO10" i="3"/>
  <c r="BQ10" i="3" s="1"/>
  <c r="I10" i="3"/>
  <c r="AO28" i="3"/>
  <c r="W28" i="3"/>
  <c r="Y9" i="3"/>
  <c r="Y28" i="3" s="1"/>
  <c r="AM28" i="3"/>
  <c r="AO10" i="3"/>
  <c r="BK14" i="3"/>
  <c r="BP14" i="1"/>
  <c r="C14" i="3"/>
  <c r="C28" i="3" s="1"/>
  <c r="E14" i="1"/>
  <c r="E28" i="1" s="1"/>
  <c r="AU10" i="3"/>
  <c r="AW10" i="3" s="1"/>
  <c r="BK26" i="3"/>
  <c r="BK28" i="1"/>
  <c r="AU22" i="3"/>
  <c r="AW22" i="3" s="1"/>
  <c r="AG21" i="1"/>
  <c r="AE21" i="3"/>
  <c r="AG21" i="3" s="1"/>
  <c r="AI21" i="3"/>
  <c r="AU21" i="3" s="1"/>
  <c r="AF18" i="1"/>
  <c r="AE16" i="3"/>
  <c r="AI16" i="3"/>
  <c r="AG14" i="1"/>
  <c r="BR9" i="1"/>
  <c r="BG28" i="3"/>
  <c r="D28" i="3"/>
  <c r="BA27" i="3"/>
  <c r="BL27" i="3"/>
  <c r="BM27" i="3" s="1"/>
  <c r="BA24" i="3"/>
  <c r="BL24" i="3"/>
  <c r="BM24" i="3" s="1"/>
  <c r="BI22" i="3"/>
  <c r="P16" i="3"/>
  <c r="Q16" i="3" s="1"/>
  <c r="L28" i="3"/>
  <c r="AV28" i="1"/>
  <c r="BK27" i="1"/>
  <c r="BQ11" i="1"/>
  <c r="BR11" i="1" s="1"/>
  <c r="BL18" i="3"/>
  <c r="BM18" i="3" s="1"/>
  <c r="AF18" i="3"/>
  <c r="AV17" i="3"/>
  <c r="AW17" i="3" s="1"/>
  <c r="P17" i="3"/>
  <c r="P28" i="3" s="1"/>
  <c r="BL16" i="3"/>
  <c r="BM16" i="3" s="1"/>
  <c r="AF16" i="3"/>
  <c r="AG16" i="3" s="1"/>
  <c r="AV15" i="3"/>
  <c r="AW15" i="3" s="1"/>
  <c r="P15" i="3"/>
  <c r="Q15" i="3" s="1"/>
  <c r="AZ28" i="3"/>
  <c r="T28" i="3"/>
  <c r="BL10" i="3"/>
  <c r="BM10" i="3" s="1"/>
  <c r="AF10" i="3"/>
  <c r="AG10" i="3" s="1"/>
  <c r="AV9" i="3"/>
  <c r="Q28" i="1" l="1"/>
  <c r="BO14" i="3"/>
  <c r="BQ14" i="3" s="1"/>
  <c r="BQ14" i="1"/>
  <c r="BR14" i="1" s="1"/>
  <c r="BP28" i="1"/>
  <c r="AW16" i="3"/>
  <c r="AF28" i="3"/>
  <c r="BQ17" i="1"/>
  <c r="BO17" i="3"/>
  <c r="BQ17" i="3" s="1"/>
  <c r="BR17" i="3" s="1"/>
  <c r="G28" i="3"/>
  <c r="BQ22" i="3"/>
  <c r="BR22" i="3" s="1"/>
  <c r="O28" i="1"/>
  <c r="Q27" i="1"/>
  <c r="BI28" i="3"/>
  <c r="BO18" i="3"/>
  <c r="BQ18" i="1"/>
  <c r="BQ28" i="1" s="1"/>
  <c r="BR28" i="1" s="1"/>
  <c r="AW9" i="3"/>
  <c r="AV28" i="3"/>
  <c r="AI28" i="3"/>
  <c r="AU9" i="3"/>
  <c r="S28" i="3"/>
  <c r="U17" i="3"/>
  <c r="U28" i="3" s="1"/>
  <c r="AC28" i="3"/>
  <c r="AG24" i="3"/>
  <c r="AG9" i="3"/>
  <c r="BQ18" i="3"/>
  <c r="AU14" i="3"/>
  <c r="AK14" i="3"/>
  <c r="BP28" i="3"/>
  <c r="BQ11" i="3"/>
  <c r="BR11" i="3" s="1"/>
  <c r="BO28" i="1"/>
  <c r="O14" i="3"/>
  <c r="Q14" i="3" s="1"/>
  <c r="Q28" i="3" s="1"/>
  <c r="E14" i="3"/>
  <c r="AK9" i="3"/>
  <c r="Q17" i="3"/>
  <c r="AW21" i="3"/>
  <c r="AK21" i="3"/>
  <c r="BL28" i="3"/>
  <c r="BK28" i="3"/>
  <c r="BM9" i="3"/>
  <c r="BM28" i="3" s="1"/>
  <c r="AK23" i="3"/>
  <c r="AU16" i="3"/>
  <c r="AK16" i="3"/>
  <c r="AI27" i="3"/>
  <c r="AG27" i="1"/>
  <c r="AG28" i="1" s="1"/>
  <c r="AE27" i="3"/>
  <c r="AG27" i="3" s="1"/>
  <c r="BR9" i="3"/>
  <c r="AE18" i="3"/>
  <c r="AG18" i="3" s="1"/>
  <c r="AI18" i="3"/>
  <c r="AG18" i="1"/>
  <c r="AW27" i="1"/>
  <c r="AW28" i="1" s="1"/>
  <c r="AW14" i="3"/>
  <c r="AF28" i="1"/>
  <c r="E28" i="3"/>
  <c r="BO28" i="3"/>
  <c r="AW28" i="3" l="1"/>
  <c r="AU27" i="3"/>
  <c r="AW27" i="3" s="1"/>
  <c r="AK27" i="3"/>
  <c r="AG28" i="3"/>
  <c r="O28" i="3"/>
  <c r="AE28" i="3"/>
  <c r="AU18" i="3"/>
  <c r="AW18" i="3" s="1"/>
  <c r="AK18" i="3"/>
  <c r="AK28" i="3" s="1"/>
  <c r="BQ28" i="3"/>
  <c r="BR28" i="3" s="1"/>
  <c r="AU28" i="3" l="1"/>
</calcChain>
</file>

<file path=xl/sharedStrings.xml><?xml version="1.0" encoding="utf-8"?>
<sst xmlns="http://schemas.openxmlformats.org/spreadsheetml/2006/main" count="131" uniqueCount="75">
  <si>
    <t>Enron North America</t>
  </si>
  <si>
    <t>2000 vs. 2001</t>
  </si>
  <si>
    <t>East Power</t>
  </si>
  <si>
    <t>West Power</t>
  </si>
  <si>
    <t>% increase</t>
  </si>
  <si>
    <t>YTD 00</t>
  </si>
  <si>
    <t>YTD 01</t>
  </si>
  <si>
    <t xml:space="preserve">   ERCOT</t>
  </si>
  <si>
    <t xml:space="preserve">   Southeast</t>
  </si>
  <si>
    <t xml:space="preserve">   Midwest</t>
  </si>
  <si>
    <t xml:space="preserve">   Northeast</t>
  </si>
  <si>
    <t>YTD Actuals</t>
  </si>
  <si>
    <t>YTD Target</t>
  </si>
  <si>
    <t>2001 Actuals vs Targets</t>
  </si>
  <si>
    <t>Jan Actuals</t>
  </si>
  <si>
    <t>Jan Target</t>
  </si>
  <si>
    <t>Feb Actuals</t>
  </si>
  <si>
    <t>Feb Target</t>
  </si>
  <si>
    <t>2001 Target</t>
  </si>
  <si>
    <t>Variance F/(U)</t>
  </si>
  <si>
    <t>Enron Americas</t>
  </si>
  <si>
    <t>EOL Transactions</t>
  </si>
  <si>
    <t>1Q00</t>
  </si>
  <si>
    <t>1Q01</t>
  </si>
  <si>
    <t>3Q00</t>
  </si>
  <si>
    <t>3Q01</t>
  </si>
  <si>
    <t>4Q00</t>
  </si>
  <si>
    <t>4Q01</t>
  </si>
  <si>
    <t>Mar Actuals</t>
  </si>
  <si>
    <t>Mar Target</t>
  </si>
  <si>
    <t>1Q Actuals</t>
  </si>
  <si>
    <t>1Q Target</t>
  </si>
  <si>
    <t>Apr Actuals</t>
  </si>
  <si>
    <t>Apr Target</t>
  </si>
  <si>
    <t>May Actuals</t>
  </si>
  <si>
    <t>May Target</t>
  </si>
  <si>
    <t>Jun Actuals</t>
  </si>
  <si>
    <t>Jun Target</t>
  </si>
  <si>
    <t>Jul Actuals</t>
  </si>
  <si>
    <t>Jul Target</t>
  </si>
  <si>
    <t>Aug Actuals</t>
  </si>
  <si>
    <t>Aug Target</t>
  </si>
  <si>
    <t>Sept Actuals</t>
  </si>
  <si>
    <t>Sept Target</t>
  </si>
  <si>
    <t>3Q Actuals</t>
  </si>
  <si>
    <t>3Q Target</t>
  </si>
  <si>
    <t>Oct Actuals</t>
  </si>
  <si>
    <t>Oct Target</t>
  </si>
  <si>
    <t>Nov Actuals</t>
  </si>
  <si>
    <t>Nov Target</t>
  </si>
  <si>
    <t>Dec Actuals</t>
  </si>
  <si>
    <t>Dec Target</t>
  </si>
  <si>
    <t>4Q Actuals</t>
  </si>
  <si>
    <t>4Q Target</t>
  </si>
  <si>
    <t>EOL Transactions Per Day</t>
  </si>
  <si>
    <t>Number of Transactions Per Day</t>
  </si>
  <si>
    <t>Canada</t>
  </si>
  <si>
    <t xml:space="preserve">  Canada Power- Alberta</t>
  </si>
  <si>
    <t xml:space="preserve">  Canada Power- Eastern</t>
  </si>
  <si>
    <t xml:space="preserve">  Canada Gas</t>
  </si>
  <si>
    <t>US Natural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</si>
  <si>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</si>
  <si>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</si>
  <si>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</si>
  <si>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</si>
  <si>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</si>
  <si>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Average per day</t>
  </si>
  <si>
    <t xml:space="preserve">  West Trading</t>
  </si>
  <si>
    <t xml:space="preserve">  West Pwr Trading</t>
  </si>
  <si>
    <t>*Entire Q2 Target</t>
  </si>
  <si>
    <t>**Transactions per day through May 31,2001</t>
  </si>
  <si>
    <t>2Q00</t>
  </si>
  <si>
    <t>2Q01</t>
  </si>
  <si>
    <t>2Q Actuals</t>
  </si>
  <si>
    <t>2Q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</si>
</sst>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17" fontId="0" fillId="0" borderId="1" xfId="0" applyNumberFormat="1" applyBorder="1" applyAlignment="1">
      <alignment horizontal="center" wrapText="1"/>
    </xf>
    <xf numFmtId="165" fontId="1" fillId="0" borderId="0" xfId="1" applyNumberFormat="1"/>
    <xf numFmtId="9" fontId="1" fillId="0" borderId="0" xfId="2"/>
    <xf numFmtId="165" fontId="1" fillId="0" borderId="1" xfId="1" applyNumberFormat="1" applyBorder="1"/>
    <xf numFmtId="0" fontId="2" fillId="0" borderId="0" xfId="0" applyFont="1" applyAlignment="1">
      <alignment horizontal="left"/>
    </xf>
    <xf numFmtId="0" fontId="0" fillId="0" borderId="0" xfId="0" applyBorder="1"/>
    <xf numFmtId="17" fontId="0" fillId="0" borderId="0" xfId="0" applyNumberFormat="1" applyBorder="1" applyAlignment="1">
      <alignment horizontal="center" wrapText="1"/>
    </xf>
    <xf numFmtId="17" fontId="0" fillId="0" borderId="0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June YTD Transactions</a:t>
            </a:r>
          </a:p>
        </c:rich>
      </c:tx>
      <c:layout>
        <c:manualLayout>
          <c:xMode val="edge"/>
          <c:yMode val="edge"/>
          <c:x val="0.39362929480159731"/>
          <c:y val="6.217815443729341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7208918802218593E-2"/>
          <c:y val="0.10155765224757925"/>
          <c:w val="0.94351346169504491"/>
          <c:h val="0.82904205916391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Year'!$BO$7</c:f>
              <c:strCache>
                <c:ptCount val="1"/>
                <c:pt idx="0">
                  <c:v>YTD 00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Year'!$BO$9,'Year Over Year'!$BO$11,'Year Over Year'!$BO$14:$BO$18,'Year Over Year'!$BO$21:$BO$24,'Year Over Year'!$BO$27)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134</c:v>
                </c:pt>
                <c:pt idx="2">
                  <c:v>212</c:v>
                </c:pt>
                <c:pt idx="3">
                  <c:v>189</c:v>
                </c:pt>
                <c:pt idx="4">
                  <c:v>169</c:v>
                </c:pt>
                <c:pt idx="5">
                  <c:v>40</c:v>
                </c:pt>
                <c:pt idx="6">
                  <c:v>199</c:v>
                </c:pt>
                <c:pt idx="7">
                  <c:v>0</c:v>
                </c:pt>
                <c:pt idx="8">
                  <c:v>10</c:v>
                </c:pt>
                <c:pt idx="9">
                  <c:v>17</c:v>
                </c:pt>
                <c:pt idx="10">
                  <c:v>13</c:v>
                </c:pt>
                <c:pt idx="11">
                  <c:v>32</c:v>
                </c:pt>
              </c:numCache>
            </c:numRef>
          </c:val>
        </c:ser>
        <c:ser>
          <c:idx val="1"/>
          <c:order val="1"/>
          <c:tx>
            <c:strRef>
              <c:f>'Year Over Year'!$BP$7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('Year Over Year'!$BP$9,'Year Over Year'!$BP$11,'Year Over Year'!$BP$14:$BP$18,'Year Over Year'!$BP$21:$BP$24,'Year Over Year'!$BP$27)</c:f>
              <c:numCache>
                <c:formatCode>_(* #,##0_);_(* \(#,##0\);_(* "-"??_);_(@_)</c:formatCode>
                <c:ptCount val="12"/>
                <c:pt idx="0">
                  <c:v>8</c:v>
                </c:pt>
                <c:pt idx="1">
                  <c:v>217</c:v>
                </c:pt>
                <c:pt idx="2">
                  <c:v>887</c:v>
                </c:pt>
                <c:pt idx="3">
                  <c:v>845</c:v>
                </c:pt>
                <c:pt idx="4">
                  <c:v>462</c:v>
                </c:pt>
                <c:pt idx="5">
                  <c:v>89</c:v>
                </c:pt>
                <c:pt idx="6">
                  <c:v>644</c:v>
                </c:pt>
                <c:pt idx="7">
                  <c:v>0</c:v>
                </c:pt>
                <c:pt idx="8">
                  <c:v>71</c:v>
                </c:pt>
                <c:pt idx="9">
                  <c:v>122</c:v>
                </c:pt>
                <c:pt idx="10">
                  <c:v>194</c:v>
                </c:pt>
                <c:pt idx="11">
                  <c:v>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16176"/>
        <c:axId val="159816736"/>
      </c:barChart>
      <c:lineChart>
        <c:grouping val="standard"/>
        <c:varyColors val="0"/>
        <c:ser>
          <c:idx val="2"/>
          <c:order val="2"/>
          <c:tx>
            <c:strRef>
              <c:f>'Plan Comp'!$BP$7</c:f>
              <c:strCache>
                <c:ptCount val="1"/>
                <c:pt idx="0">
                  <c:v>YTD Target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('Year Over Year'!$A$9,'Year Over Year'!$A$11,'Year Over Year'!$A$14:$A$18,'Year Over Year'!$A$21:$A$24,'Year Over Year'!$A$27)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 ERCOT</c:v>
                </c:pt>
                <c:pt idx="8">
                  <c:v>   Southeast</c:v>
                </c:pt>
                <c:pt idx="9">
                  <c:v>   Midwest</c:v>
                </c:pt>
                <c:pt idx="10">
                  <c:v>   Northeast</c:v>
                </c:pt>
                <c:pt idx="11">
                  <c:v>  West Pwr Trading</c:v>
                </c:pt>
              </c:strCache>
            </c:strRef>
          </c:cat>
          <c:val>
            <c:numRef>
              <c:f>('Plan Comp'!$BP$9,'Plan Comp'!$BP$11,'Plan Comp'!$BP$14:$BP$18,'Plan Comp'!$BP$21:$BP$24,'Plan Comp'!$BP$27)</c:f>
              <c:numCache>
                <c:formatCode>_(* #,##0_);_(* \(#,##0\);_(* "-"??_);_(@_)</c:formatCode>
                <c:ptCount val="12"/>
                <c:pt idx="0">
                  <c:v>9</c:v>
                </c:pt>
                <c:pt idx="1">
                  <c:v>220</c:v>
                </c:pt>
                <c:pt idx="2">
                  <c:v>766</c:v>
                </c:pt>
                <c:pt idx="3">
                  <c:v>650</c:v>
                </c:pt>
                <c:pt idx="4">
                  <c:v>440</c:v>
                </c:pt>
                <c:pt idx="5">
                  <c:v>80</c:v>
                </c:pt>
                <c:pt idx="6">
                  <c:v>1136</c:v>
                </c:pt>
                <c:pt idx="7">
                  <c:v>20</c:v>
                </c:pt>
                <c:pt idx="8">
                  <c:v>100</c:v>
                </c:pt>
                <c:pt idx="9">
                  <c:v>130</c:v>
                </c:pt>
                <c:pt idx="10">
                  <c:v>250</c:v>
                </c:pt>
                <c:pt idx="11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16176"/>
        <c:axId val="159816736"/>
      </c:lineChart>
      <c:catAx>
        <c:axId val="15981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5981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81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816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3977123250610847"/>
          <c:y val="6.8395969881022756E-2"/>
          <c:w val="0.36171340603390023"/>
          <c:h val="2.59075643488722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</xdr:row>
      <xdr:rowOff>57150</xdr:rowOff>
    </xdr:from>
    <xdr:to>
      <xdr:col>21</xdr:col>
      <xdr:colOff>171450</xdr:colOff>
      <xdr:row>61</xdr:row>
      <xdr:rowOff>19050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tabSelected="1" zoomScale="60" workbookViewId="0">
      <selection sqref="A1:U1"/>
    </sheetView>
  </sheetViews>
  <sheetFormatPr defaultRowHeight="12.75" x14ac:dyDescent="0.2"/>
  <cols>
    <col min="19" max="19" width="12.42578125" customWidth="1"/>
    <col min="20" max="20" width="28.85546875" customWidth="1"/>
  </cols>
  <sheetData>
    <row r="1" spans="1:21" ht="36.75" customHeight="1" x14ac:dyDescent="0.4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</row>
    <row r="2" spans="1:21" ht="18" x14ac:dyDescent="0.25">
      <c r="A2" s="21" t="s">
        <v>21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8" x14ac:dyDescent="0.25">
      <c r="A3" s="21" t="s">
        <v>1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28.5" customHeight="1" x14ac:dyDescent="0.2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28"/>
  <sheetViews>
    <sheetView workbookViewId="0">
      <pane xSplit="1" topLeftCell="B1" activePane="topRight" state="frozen"/>
      <selection activeCell="BO9" sqref="BO9"/>
      <selection pane="topRight"/>
    </sheetView>
  </sheetViews>
  <sheetFormatPr defaultRowHeight="12.75" x14ac:dyDescent="0.2"/>
  <cols>
    <col min="1" max="1" width="27.7109375" customWidth="1"/>
    <col min="2" max="2" width="12.85546875" hidden="1" customWidth="1"/>
    <col min="3" max="5" width="10.7109375" hidden="1" customWidth="1"/>
    <col min="6" max="6" width="2.28515625" hidden="1" customWidth="1"/>
    <col min="7" max="9" width="10.7109375" hidden="1" customWidth="1"/>
    <col min="10" max="10" width="2.28515625" hidden="1" customWidth="1"/>
    <col min="11" max="12" width="10.7109375" hidden="1" customWidth="1"/>
    <col min="13" max="13" width="8.28515625" hidden="1" customWidth="1"/>
    <col min="14" max="14" width="2.28515625" customWidth="1"/>
    <col min="15" max="17" width="10.7109375" customWidth="1"/>
    <col min="18" max="18" width="2.28515625" customWidth="1"/>
    <col min="19" max="21" width="10.7109375" hidden="1" customWidth="1"/>
    <col min="22" max="22" width="2.28515625" hidden="1" customWidth="1"/>
    <col min="23" max="25" width="10.7109375" hidden="1" customWidth="1"/>
    <col min="26" max="26" width="2.28515625" hidden="1" customWidth="1"/>
    <col min="27" max="29" width="10.7109375" hidden="1" customWidth="1"/>
    <col min="30" max="30" width="2.28515625" hidden="1" customWidth="1"/>
    <col min="31" max="33" width="10.7109375" customWidth="1"/>
    <col min="34" max="34" width="2.28515625" customWidth="1"/>
    <col min="35" max="37" width="10.7109375" hidden="1" customWidth="1"/>
    <col min="38" max="38" width="2.28515625" hidden="1" customWidth="1"/>
    <col min="39" max="41" width="10.7109375" hidden="1" customWidth="1"/>
    <col min="42" max="42" width="2.28515625" hidden="1" customWidth="1"/>
    <col min="43" max="45" width="10.7109375" hidden="1" customWidth="1"/>
    <col min="46" max="46" width="2.28515625" hidden="1" customWidth="1"/>
    <col min="47" max="49" width="10.7109375" hidden="1" customWidth="1"/>
    <col min="50" max="50" width="2.28515625" hidden="1" customWidth="1"/>
    <col min="51" max="53" width="10.7109375" hidden="1" customWidth="1"/>
    <col min="54" max="54" width="2.28515625" hidden="1" customWidth="1"/>
    <col min="55" max="57" width="10.7109375" hidden="1" customWidth="1"/>
    <col min="58" max="58" width="2.28515625" hidden="1" customWidth="1"/>
    <col min="59" max="61" width="10.7109375" hidden="1" customWidth="1"/>
    <col min="62" max="62" width="2.28515625" hidden="1" customWidth="1"/>
    <col min="63" max="65" width="10.7109375" hidden="1" customWidth="1"/>
    <col min="66" max="66" width="2.28515625" hidden="1" customWidth="1"/>
    <col min="67" max="69" width="10.7109375" customWidth="1"/>
    <col min="70" max="70" width="7.7109375" hidden="1" customWidth="1"/>
    <col min="71" max="71" width="2.7109375" customWidth="1"/>
  </cols>
  <sheetData>
    <row r="1" spans="1:70" x14ac:dyDescent="0.2">
      <c r="A1" s="1" t="s">
        <v>0</v>
      </c>
      <c r="B1" s="1"/>
    </row>
    <row r="2" spans="1:70" x14ac:dyDescent="0.2">
      <c r="A2" s="1" t="s">
        <v>21</v>
      </c>
      <c r="B2" s="1"/>
    </row>
    <row r="3" spans="1:70" x14ac:dyDescent="0.2">
      <c r="A3" s="1" t="s">
        <v>1</v>
      </c>
      <c r="B3" s="1"/>
    </row>
    <row r="6" spans="1:70" x14ac:dyDescent="0.2">
      <c r="A6" s="16" t="s">
        <v>55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0" ht="27" customHeight="1" x14ac:dyDescent="0.2">
      <c r="C7" s="6" t="str">
        <f>"Jan-00" &amp; "*"</f>
        <v>Jan-00*</v>
      </c>
      <c r="D7" s="6">
        <v>36892</v>
      </c>
      <c r="E7" s="7" t="s">
        <v>19</v>
      </c>
      <c r="F7" s="8"/>
      <c r="G7" s="6" t="str">
        <f>"Feb-00" &amp; "*"</f>
        <v>Feb-00*</v>
      </c>
      <c r="H7" s="6">
        <v>36923</v>
      </c>
      <c r="I7" s="7" t="s">
        <v>19</v>
      </c>
      <c r="K7" s="6">
        <v>36586</v>
      </c>
      <c r="L7" s="6">
        <v>36951</v>
      </c>
      <c r="M7" s="7" t="s">
        <v>19</v>
      </c>
      <c r="O7" s="6" t="s">
        <v>22</v>
      </c>
      <c r="P7" s="6" t="s">
        <v>23</v>
      </c>
      <c r="Q7" s="7" t="s">
        <v>19</v>
      </c>
      <c r="S7" s="6">
        <v>36617</v>
      </c>
      <c r="T7" s="6">
        <v>36982</v>
      </c>
      <c r="U7" s="7" t="s">
        <v>19</v>
      </c>
      <c r="W7" s="6">
        <v>36647</v>
      </c>
      <c r="X7" s="6">
        <v>37012</v>
      </c>
      <c r="Y7" s="7" t="s">
        <v>19</v>
      </c>
      <c r="AA7" s="6">
        <v>36678</v>
      </c>
      <c r="AB7" s="6">
        <v>37043</v>
      </c>
      <c r="AC7" s="7" t="s">
        <v>19</v>
      </c>
      <c r="AE7" s="6" t="s">
        <v>71</v>
      </c>
      <c r="AF7" s="6" t="s">
        <v>72</v>
      </c>
      <c r="AG7" s="7" t="s">
        <v>19</v>
      </c>
      <c r="AI7" s="6">
        <v>36708</v>
      </c>
      <c r="AJ7" s="6">
        <v>37073</v>
      </c>
      <c r="AK7" s="7" t="s">
        <v>19</v>
      </c>
      <c r="AM7" s="6">
        <v>36739</v>
      </c>
      <c r="AN7" s="6">
        <v>37104</v>
      </c>
      <c r="AO7" s="7" t="s">
        <v>19</v>
      </c>
      <c r="AQ7" s="6">
        <v>36770</v>
      </c>
      <c r="AR7" s="6">
        <v>37135</v>
      </c>
      <c r="AS7" s="7" t="s">
        <v>19</v>
      </c>
      <c r="AU7" s="6" t="s">
        <v>24</v>
      </c>
      <c r="AV7" s="6" t="s">
        <v>25</v>
      </c>
      <c r="AW7" s="7" t="s">
        <v>19</v>
      </c>
      <c r="AY7" s="6">
        <v>36800</v>
      </c>
      <c r="AZ7" s="6">
        <v>37165</v>
      </c>
      <c r="BA7" s="7" t="s">
        <v>19</v>
      </c>
      <c r="BC7" s="6">
        <v>36831</v>
      </c>
      <c r="BD7" s="6">
        <v>37196</v>
      </c>
      <c r="BE7" s="7" t="s">
        <v>19</v>
      </c>
      <c r="BG7" s="6">
        <v>36861</v>
      </c>
      <c r="BH7" s="6">
        <v>37226</v>
      </c>
      <c r="BI7" s="7" t="s">
        <v>19</v>
      </c>
      <c r="BK7" s="6" t="s">
        <v>26</v>
      </c>
      <c r="BL7" s="6" t="s">
        <v>27</v>
      </c>
      <c r="BM7" s="7" t="s">
        <v>19</v>
      </c>
      <c r="BO7" s="6" t="s">
        <v>5</v>
      </c>
      <c r="BP7" s="6" t="s">
        <v>6</v>
      </c>
      <c r="BQ7" s="7" t="s">
        <v>19</v>
      </c>
      <c r="BR7" s="7" t="s">
        <v>4</v>
      </c>
    </row>
    <row r="8" spans="1:70" ht="12" customHeight="1" x14ac:dyDescent="0.2">
      <c r="A8" s="1" t="s">
        <v>56</v>
      </c>
      <c r="C8" s="19"/>
      <c r="D8" s="19"/>
      <c r="E8" s="8"/>
      <c r="F8" s="8"/>
      <c r="G8" s="19"/>
      <c r="H8" s="19"/>
      <c r="I8" s="8"/>
      <c r="K8" s="19"/>
      <c r="L8" s="19"/>
      <c r="M8" s="8"/>
      <c r="O8" s="19"/>
      <c r="P8" s="19"/>
      <c r="Q8" s="8"/>
      <c r="S8" s="19"/>
      <c r="T8" s="19"/>
      <c r="U8" s="8"/>
      <c r="W8" s="19"/>
      <c r="X8" s="19"/>
      <c r="Y8" s="8"/>
      <c r="AA8" s="19"/>
      <c r="AB8" s="19"/>
      <c r="AC8" s="8"/>
      <c r="AE8" s="19"/>
      <c r="AF8" s="19"/>
      <c r="AG8" s="8"/>
      <c r="AI8" s="19"/>
      <c r="AJ8" s="19"/>
      <c r="AK8" s="8"/>
      <c r="AM8" s="19"/>
      <c r="AN8" s="19"/>
      <c r="AO8" s="8"/>
      <c r="AQ8" s="19"/>
      <c r="AR8" s="19"/>
      <c r="AS8" s="8"/>
      <c r="AU8" s="19"/>
      <c r="AV8" s="19"/>
      <c r="AW8" s="8"/>
      <c r="AY8" s="19"/>
      <c r="AZ8" s="19"/>
      <c r="BA8" s="8"/>
      <c r="BC8" s="19"/>
      <c r="BD8" s="19"/>
      <c r="BE8" s="8"/>
      <c r="BG8" s="19"/>
      <c r="BH8" s="19"/>
      <c r="BI8" s="8"/>
      <c r="BK8" s="19"/>
      <c r="BL8" s="19"/>
      <c r="BM8" s="8"/>
      <c r="BO8" s="19"/>
      <c r="BP8" s="19"/>
      <c r="BQ8" s="8"/>
      <c r="BR8" s="8"/>
    </row>
    <row r="9" spans="1:70" ht="12.75" customHeight="1" x14ac:dyDescent="0.2">
      <c r="A9" t="s">
        <v>57</v>
      </c>
      <c r="C9" s="3">
        <v>0</v>
      </c>
      <c r="D9" s="3">
        <v>7</v>
      </c>
      <c r="E9" s="3">
        <f>D9-C9</f>
        <v>7</v>
      </c>
      <c r="F9" s="5"/>
      <c r="G9" s="3">
        <v>0</v>
      </c>
      <c r="H9" s="3">
        <v>6</v>
      </c>
      <c r="I9" s="3">
        <f>H9-G9</f>
        <v>6</v>
      </c>
      <c r="K9" s="3">
        <v>0</v>
      </c>
      <c r="L9" s="3">
        <v>3</v>
      </c>
      <c r="M9" s="3">
        <f>L9-K9</f>
        <v>3</v>
      </c>
      <c r="O9" s="3">
        <f>ROUND((((C9*30)+(G9*30)+(K9*30))/90),0)</f>
        <v>0</v>
      </c>
      <c r="P9" s="3">
        <f>ROUND((((D9*30)+(H9*30)+(L9*30))/90),0)</f>
        <v>5</v>
      </c>
      <c r="Q9" s="3">
        <f>P9-O9</f>
        <v>5</v>
      </c>
      <c r="S9" s="3">
        <v>0</v>
      </c>
      <c r="T9" s="3">
        <v>10</v>
      </c>
      <c r="U9" s="3">
        <f>T9-S9</f>
        <v>10</v>
      </c>
      <c r="W9" s="3">
        <v>0</v>
      </c>
      <c r="X9" s="3">
        <v>9</v>
      </c>
      <c r="Y9" s="3">
        <f>X9-W9</f>
        <v>9</v>
      </c>
      <c r="AA9" s="3">
        <v>0</v>
      </c>
      <c r="AB9" s="3">
        <v>12</v>
      </c>
      <c r="AC9" s="3">
        <f>AB9-AA9</f>
        <v>12</v>
      </c>
      <c r="AE9" s="3">
        <f>((S9*30)+(W9*30)+(AA9*30))/90</f>
        <v>0</v>
      </c>
      <c r="AF9" s="3">
        <f>((T9*30)+(X9*30)+(AB9*30))/90</f>
        <v>10.333333333333334</v>
      </c>
      <c r="AG9" s="3">
        <f>AF9-AE9</f>
        <v>10.333333333333334</v>
      </c>
      <c r="AI9" s="3">
        <v>0</v>
      </c>
      <c r="AJ9" s="3">
        <v>0</v>
      </c>
      <c r="AK9" s="3">
        <f>AJ9-AI9</f>
        <v>0</v>
      </c>
      <c r="AM9" s="3">
        <v>0</v>
      </c>
      <c r="AN9" s="3">
        <v>0</v>
      </c>
      <c r="AO9" s="3">
        <f>AN9-AM9</f>
        <v>0</v>
      </c>
      <c r="AQ9" s="3">
        <v>0</v>
      </c>
      <c r="AR9" s="3">
        <v>0</v>
      </c>
      <c r="AS9" s="3">
        <f>AR9-AQ9</f>
        <v>0</v>
      </c>
      <c r="AU9" s="3">
        <f>((AI9*30)+(AM9*30)+(AQ9*30))/90</f>
        <v>0</v>
      </c>
      <c r="AV9" s="3">
        <f>((AJ9*30)+(AN9*30)+(AR9*30))/90</f>
        <v>0</v>
      </c>
      <c r="AW9" s="3">
        <f>AV9-AU9</f>
        <v>0</v>
      </c>
      <c r="AY9" s="3">
        <v>0</v>
      </c>
      <c r="AZ9" s="3">
        <v>0</v>
      </c>
      <c r="BA9" s="3">
        <f>AZ9-AY9</f>
        <v>0</v>
      </c>
      <c r="BC9" s="3">
        <v>0</v>
      </c>
      <c r="BD9" s="3">
        <v>0</v>
      </c>
      <c r="BE9" s="3">
        <f>BD9-BC9</f>
        <v>0</v>
      </c>
      <c r="BG9" s="3">
        <v>0</v>
      </c>
      <c r="BH9" s="3">
        <v>0</v>
      </c>
      <c r="BI9" s="3">
        <f>BH9-BG9</f>
        <v>0</v>
      </c>
      <c r="BK9" s="3">
        <f>((AY9*30)+(BC9*30)+(BG9*30))/90</f>
        <v>0</v>
      </c>
      <c r="BL9" s="3">
        <f>((AZ9*30)+(BD9*30)+(BH9*30))/90</f>
        <v>0</v>
      </c>
      <c r="BM9" s="3">
        <f>BL9-BK9</f>
        <v>0</v>
      </c>
      <c r="BO9" s="3">
        <f t="shared" ref="BO9:BP11" si="0">ROUND((((C9*30)+(G9*30)+(K9*30)+(S9*30)+(W9*30)+(AA9*30))/180),0)</f>
        <v>0</v>
      </c>
      <c r="BP9" s="3">
        <f t="shared" si="0"/>
        <v>8</v>
      </c>
      <c r="BQ9" s="3">
        <f t="shared" ref="BQ9:BQ18" si="1">BP9-BO9</f>
        <v>8</v>
      </c>
      <c r="BR9" s="5">
        <f>BQ9/BP9</f>
        <v>1</v>
      </c>
    </row>
    <row r="10" spans="1:70" ht="12.75" hidden="1" customHeight="1" x14ac:dyDescent="0.2">
      <c r="A10" t="s">
        <v>58</v>
      </c>
      <c r="C10" s="3">
        <v>0</v>
      </c>
      <c r="D10" s="3">
        <v>0</v>
      </c>
      <c r="E10" s="3">
        <f>D10-C10</f>
        <v>0</v>
      </c>
      <c r="F10" s="5"/>
      <c r="G10" s="3">
        <v>0</v>
      </c>
      <c r="H10" s="3">
        <v>0</v>
      </c>
      <c r="I10" s="3">
        <f>H10-G10</f>
        <v>0</v>
      </c>
      <c r="K10" s="3">
        <v>0</v>
      </c>
      <c r="L10" s="3">
        <v>0</v>
      </c>
      <c r="M10" s="3">
        <f>L10-K10</f>
        <v>0</v>
      </c>
      <c r="O10" s="3">
        <f t="shared" ref="O10:O27" si="2">ROUND((((C10*30)+(G10*30)+(K10*30))/90),0)</f>
        <v>0</v>
      </c>
      <c r="P10" s="3">
        <f t="shared" ref="P10:P27" si="3">ROUND((((D10*30)+(H10*30)+(L10*30))/90),0)</f>
        <v>0</v>
      </c>
      <c r="Q10" s="3">
        <f t="shared" ref="Q10:Q27" si="4">P10-O10</f>
        <v>0</v>
      </c>
      <c r="S10" s="3">
        <v>0</v>
      </c>
      <c r="T10" s="3">
        <v>0</v>
      </c>
      <c r="U10" s="3">
        <f>T10-S10</f>
        <v>0</v>
      </c>
      <c r="W10" s="3">
        <v>0</v>
      </c>
      <c r="X10" s="3">
        <v>0</v>
      </c>
      <c r="Y10" s="3">
        <f>X10-W10</f>
        <v>0</v>
      </c>
      <c r="AA10" s="3">
        <v>0</v>
      </c>
      <c r="AB10" s="3">
        <v>0</v>
      </c>
      <c r="AC10" s="3">
        <f>AB10-AA10</f>
        <v>0</v>
      </c>
      <c r="AE10" s="3">
        <f t="shared" ref="AE10:AE18" si="5">((S10*30)+(W10*30)+(AA10*30))/90</f>
        <v>0</v>
      </c>
      <c r="AF10" s="3">
        <f>((T10*30)+(X10*30)+(AB10*30))/90</f>
        <v>0</v>
      </c>
      <c r="AG10" s="3">
        <f>AF10-AE10</f>
        <v>0</v>
      </c>
      <c r="AI10" s="3">
        <v>0</v>
      </c>
      <c r="AJ10" s="3">
        <v>0</v>
      </c>
      <c r="AK10" s="3">
        <f>AJ10-AI10</f>
        <v>0</v>
      </c>
      <c r="AM10" s="3">
        <v>0</v>
      </c>
      <c r="AN10" s="3">
        <v>0</v>
      </c>
      <c r="AO10" s="3">
        <f>AN10-AM10</f>
        <v>0</v>
      </c>
      <c r="AQ10" s="3">
        <v>0</v>
      </c>
      <c r="AR10" s="3">
        <v>0</v>
      </c>
      <c r="AS10" s="3">
        <f>AR10-AQ10</f>
        <v>0</v>
      </c>
      <c r="AU10" s="3">
        <f t="shared" ref="AU10:AU18" si="6">((AI10*30)+(AM10*30)+(AQ10*30))/90</f>
        <v>0</v>
      </c>
      <c r="AV10" s="3">
        <f t="shared" ref="AV10:AV18" si="7">((AJ10*30)+(AN10*30)+(AR10*30))/90</f>
        <v>0</v>
      </c>
      <c r="AW10" s="3">
        <f>AV10-AU10</f>
        <v>0</v>
      </c>
      <c r="AY10" s="3">
        <v>0</v>
      </c>
      <c r="AZ10" s="3">
        <v>0</v>
      </c>
      <c r="BA10" s="3">
        <f>AZ10-AY10</f>
        <v>0</v>
      </c>
      <c r="BC10" s="3">
        <v>0</v>
      </c>
      <c r="BD10" s="3">
        <v>0</v>
      </c>
      <c r="BE10" s="3">
        <f>BD10-BC10</f>
        <v>0</v>
      </c>
      <c r="BG10" s="3">
        <v>0</v>
      </c>
      <c r="BH10" s="3">
        <v>0</v>
      </c>
      <c r="BI10" s="3">
        <f>BH10-BG10</f>
        <v>0</v>
      </c>
      <c r="BK10" s="3">
        <f t="shared" ref="BK10:BK18" si="8">((AY10*30)+(BC10*30)+(BG10*30))/90</f>
        <v>0</v>
      </c>
      <c r="BL10" s="3">
        <f t="shared" ref="BL10:BL18" si="9">((AZ10*30)+(BD10*30)+(BH10*30))/90</f>
        <v>0</v>
      </c>
      <c r="BM10" s="3">
        <f>BL10-BK10</f>
        <v>0</v>
      </c>
      <c r="BO10" s="3">
        <f t="shared" si="0"/>
        <v>0</v>
      </c>
      <c r="BP10" s="3">
        <f t="shared" si="0"/>
        <v>0</v>
      </c>
      <c r="BQ10" s="3">
        <f t="shared" si="1"/>
        <v>0</v>
      </c>
      <c r="BR10" s="5">
        <v>0</v>
      </c>
    </row>
    <row r="11" spans="1:70" x14ac:dyDescent="0.2">
      <c r="A11" t="s">
        <v>59</v>
      </c>
      <c r="C11" s="3">
        <v>0</v>
      </c>
      <c r="D11" s="3">
        <v>196</v>
      </c>
      <c r="E11" s="3">
        <f t="shared" ref="E11:E18" si="10">D11-C11</f>
        <v>196</v>
      </c>
      <c r="F11" s="5"/>
      <c r="G11" s="3">
        <v>0</v>
      </c>
      <c r="H11" s="3">
        <v>186</v>
      </c>
      <c r="I11" s="3">
        <f t="shared" ref="I11:I18" si="11">H11-G11</f>
        <v>186</v>
      </c>
      <c r="K11" s="3">
        <v>152</v>
      </c>
      <c r="L11" s="3">
        <v>227</v>
      </c>
      <c r="M11" s="3">
        <f t="shared" ref="M11:M18" si="12">L11-K11</f>
        <v>75</v>
      </c>
      <c r="O11" s="3">
        <f t="shared" si="2"/>
        <v>51</v>
      </c>
      <c r="P11" s="3">
        <f t="shared" si="3"/>
        <v>203</v>
      </c>
      <c r="Q11" s="3">
        <f t="shared" si="4"/>
        <v>152</v>
      </c>
      <c r="S11" s="3">
        <v>154</v>
      </c>
      <c r="T11" s="3">
        <v>196</v>
      </c>
      <c r="U11" s="3">
        <f t="shared" ref="U11:U18" si="13">T11-S11</f>
        <v>42</v>
      </c>
      <c r="W11" s="3">
        <v>233</v>
      </c>
      <c r="X11" s="3">
        <v>222</v>
      </c>
      <c r="Y11" s="3">
        <f t="shared" ref="Y11:Y18" si="14">X11-W11</f>
        <v>-11</v>
      </c>
      <c r="AA11" s="3">
        <v>265</v>
      </c>
      <c r="AB11" s="3">
        <v>272</v>
      </c>
      <c r="AC11" s="3">
        <f t="shared" ref="AC11:AC18" si="15">AB11-AA11</f>
        <v>7</v>
      </c>
      <c r="AE11" s="3">
        <f t="shared" si="5"/>
        <v>217.33333333333334</v>
      </c>
      <c r="AF11" s="3">
        <f>((T11*30)+(X11*30)+(AB11*30))/90</f>
        <v>230</v>
      </c>
      <c r="AG11" s="3">
        <f t="shared" ref="AG11:AG18" si="16">AF11-AE11</f>
        <v>12.666666666666657</v>
      </c>
      <c r="AI11" s="3">
        <v>250</v>
      </c>
      <c r="AJ11" s="3">
        <v>0</v>
      </c>
      <c r="AK11" s="3">
        <f t="shared" ref="AK11:AK18" si="17">AJ11-AI11</f>
        <v>-250</v>
      </c>
      <c r="AM11" s="3">
        <v>209</v>
      </c>
      <c r="AN11" s="3">
        <v>0</v>
      </c>
      <c r="AO11" s="3">
        <f t="shared" ref="AO11:AO18" si="18">AN11-AM11</f>
        <v>-209</v>
      </c>
      <c r="AQ11" s="3">
        <v>271</v>
      </c>
      <c r="AR11" s="3">
        <v>0</v>
      </c>
      <c r="AS11" s="3">
        <f t="shared" ref="AS11:AS18" si="19">AR11-AQ11</f>
        <v>-271</v>
      </c>
      <c r="AU11" s="3">
        <f t="shared" si="6"/>
        <v>243.33333333333334</v>
      </c>
      <c r="AV11" s="3">
        <f t="shared" si="7"/>
        <v>0</v>
      </c>
      <c r="AW11" s="3">
        <f t="shared" ref="AW11:AW18" si="20">AV11-AU11</f>
        <v>-243.33333333333334</v>
      </c>
      <c r="AY11" s="3">
        <v>193</v>
      </c>
      <c r="AZ11" s="3">
        <v>0</v>
      </c>
      <c r="BA11" s="3">
        <f t="shared" ref="BA11:BA18" si="21">AZ11-AY11</f>
        <v>-193</v>
      </c>
      <c r="BC11" s="3">
        <v>213</v>
      </c>
      <c r="BD11" s="3">
        <v>0</v>
      </c>
      <c r="BE11" s="3">
        <f t="shared" ref="BE11:BE18" si="22">BD11-BC11</f>
        <v>-213</v>
      </c>
      <c r="BG11" s="3">
        <v>113</v>
      </c>
      <c r="BH11" s="3">
        <v>0</v>
      </c>
      <c r="BI11" s="3">
        <f t="shared" ref="BI11:BI18" si="23">BH11-BG11</f>
        <v>-113</v>
      </c>
      <c r="BK11" s="3">
        <f t="shared" si="8"/>
        <v>173</v>
      </c>
      <c r="BL11" s="3">
        <f t="shared" si="9"/>
        <v>0</v>
      </c>
      <c r="BM11" s="3">
        <f t="shared" ref="BM11:BM18" si="24">BL11-BK11</f>
        <v>-173</v>
      </c>
      <c r="BO11" s="3">
        <f t="shared" si="0"/>
        <v>134</v>
      </c>
      <c r="BP11" s="3">
        <f t="shared" si="0"/>
        <v>217</v>
      </c>
      <c r="BQ11" s="3">
        <f t="shared" si="1"/>
        <v>83</v>
      </c>
      <c r="BR11" s="5">
        <f>BQ11/BP11</f>
        <v>0.38248847926267282</v>
      </c>
    </row>
    <row r="12" spans="1:70" x14ac:dyDescent="0.2">
      <c r="C12" s="3"/>
      <c r="D12" s="3"/>
      <c r="E12" s="3"/>
      <c r="F12" s="5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W12" s="3"/>
      <c r="X12" s="3"/>
      <c r="Y12" s="3"/>
      <c r="AA12" s="3"/>
      <c r="AB12" s="3"/>
      <c r="AC12" s="3"/>
      <c r="AE12" s="3"/>
      <c r="AF12" s="3"/>
      <c r="AG12" s="3"/>
      <c r="AI12" s="3"/>
      <c r="AJ12" s="3"/>
      <c r="AK12" s="3"/>
      <c r="AM12" s="3"/>
      <c r="AN12" s="3"/>
      <c r="AO12" s="3"/>
      <c r="AQ12" s="3"/>
      <c r="AR12" s="3"/>
      <c r="AS12" s="3"/>
      <c r="AU12" s="3"/>
      <c r="AV12" s="3"/>
      <c r="AW12" s="3"/>
      <c r="AY12" s="3"/>
      <c r="AZ12" s="3"/>
      <c r="BA12" s="3"/>
      <c r="BC12" s="3"/>
      <c r="BD12" s="3"/>
      <c r="BE12" s="3"/>
      <c r="BG12" s="3"/>
      <c r="BH12" s="3"/>
      <c r="BI12" s="3"/>
      <c r="BK12" s="3"/>
      <c r="BL12" s="3"/>
      <c r="BM12" s="3"/>
      <c r="BO12" s="3"/>
      <c r="BP12" s="3"/>
      <c r="BQ12" s="3"/>
      <c r="BR12" s="5"/>
    </row>
    <row r="13" spans="1:70" x14ac:dyDescent="0.2">
      <c r="A13" s="1" t="s">
        <v>60</v>
      </c>
      <c r="C13" s="3"/>
      <c r="D13" s="3"/>
      <c r="E13" s="3"/>
      <c r="F13" s="5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W13" s="3"/>
      <c r="X13" s="3"/>
      <c r="Y13" s="3"/>
      <c r="AA13" s="3"/>
      <c r="AB13" s="3"/>
      <c r="AC13" s="3"/>
      <c r="AE13" s="3"/>
      <c r="AF13" s="3"/>
      <c r="AG13" s="3"/>
      <c r="AI13" s="3"/>
      <c r="AJ13" s="3"/>
      <c r="AK13" s="3"/>
      <c r="AM13" s="3"/>
      <c r="AN13" s="3"/>
      <c r="AO13" s="3"/>
      <c r="AQ13" s="3"/>
      <c r="AR13" s="3"/>
      <c r="AS13" s="3"/>
      <c r="AU13" s="3"/>
      <c r="AV13" s="3"/>
      <c r="AW13" s="3"/>
      <c r="AY13" s="3"/>
      <c r="AZ13" s="3"/>
      <c r="BA13" s="3"/>
      <c r="BC13" s="3"/>
      <c r="BD13" s="3"/>
      <c r="BE13" s="3"/>
      <c r="BG13" s="3"/>
      <c r="BH13" s="3"/>
      <c r="BI13" s="3"/>
      <c r="BK13" s="3"/>
      <c r="BL13" s="3"/>
      <c r="BM13" s="3"/>
      <c r="BO13" s="3"/>
      <c r="BP13" s="3"/>
      <c r="BQ13" s="3"/>
      <c r="BR13" s="5"/>
    </row>
    <row r="14" spans="1:70" x14ac:dyDescent="0.2">
      <c r="A14" t="s">
        <v>61</v>
      </c>
      <c r="C14" s="3">
        <v>0</v>
      </c>
      <c r="D14" s="3">
        <f>675-19</f>
        <v>656</v>
      </c>
      <c r="E14" s="3">
        <f t="shared" si="10"/>
        <v>656</v>
      </c>
      <c r="F14" s="5"/>
      <c r="G14" s="3">
        <v>0</v>
      </c>
      <c r="H14" s="3">
        <f>910-4</f>
        <v>906</v>
      </c>
      <c r="I14" s="3">
        <f t="shared" si="11"/>
        <v>906</v>
      </c>
      <c r="K14" s="3">
        <v>269</v>
      </c>
      <c r="L14" s="3">
        <f>924-12</f>
        <v>912</v>
      </c>
      <c r="M14" s="3">
        <f t="shared" si="12"/>
        <v>643</v>
      </c>
      <c r="O14" s="3">
        <f t="shared" si="2"/>
        <v>90</v>
      </c>
      <c r="P14" s="3">
        <f t="shared" si="3"/>
        <v>825</v>
      </c>
      <c r="Q14" s="3">
        <f t="shared" si="4"/>
        <v>735</v>
      </c>
      <c r="S14" s="3">
        <v>247</v>
      </c>
      <c r="T14" s="3">
        <f>771-12</f>
        <v>759</v>
      </c>
      <c r="U14" s="3">
        <f t="shared" si="13"/>
        <v>512</v>
      </c>
      <c r="W14" s="3">
        <v>318</v>
      </c>
      <c r="X14" s="3">
        <f>890-10</f>
        <v>880</v>
      </c>
      <c r="Y14" s="3">
        <f t="shared" si="14"/>
        <v>562</v>
      </c>
      <c r="AA14" s="3">
        <v>437</v>
      </c>
      <c r="AB14" s="3">
        <v>1208</v>
      </c>
      <c r="AC14" s="3">
        <f t="shared" si="15"/>
        <v>771</v>
      </c>
      <c r="AE14" s="3">
        <f t="shared" si="5"/>
        <v>334</v>
      </c>
      <c r="AF14" s="3">
        <f>((T14*30)+(X14*30)+(AB14*30))/90</f>
        <v>949</v>
      </c>
      <c r="AG14" s="3">
        <f t="shared" si="16"/>
        <v>615</v>
      </c>
      <c r="AI14" s="3">
        <v>440</v>
      </c>
      <c r="AJ14" s="3">
        <v>0</v>
      </c>
      <c r="AK14" s="3">
        <f t="shared" si="17"/>
        <v>-440</v>
      </c>
      <c r="AM14" s="3">
        <v>492</v>
      </c>
      <c r="AN14" s="3">
        <v>0</v>
      </c>
      <c r="AO14" s="3">
        <f t="shared" si="18"/>
        <v>-492</v>
      </c>
      <c r="AQ14" s="3">
        <v>567</v>
      </c>
      <c r="AR14" s="3">
        <v>0</v>
      </c>
      <c r="AS14" s="3">
        <f t="shared" si="19"/>
        <v>-567</v>
      </c>
      <c r="AU14" s="3">
        <f t="shared" si="6"/>
        <v>499.66666666666669</v>
      </c>
      <c r="AV14" s="3">
        <f t="shared" si="7"/>
        <v>0</v>
      </c>
      <c r="AW14" s="3">
        <f t="shared" si="20"/>
        <v>-499.66666666666669</v>
      </c>
      <c r="AY14" s="3">
        <v>498</v>
      </c>
      <c r="AZ14" s="3">
        <v>0</v>
      </c>
      <c r="BA14" s="3">
        <f t="shared" si="21"/>
        <v>-498</v>
      </c>
      <c r="BC14" s="3">
        <v>684</v>
      </c>
      <c r="BD14" s="3">
        <v>0</v>
      </c>
      <c r="BE14" s="3">
        <f t="shared" si="22"/>
        <v>-684</v>
      </c>
      <c r="BG14" s="3">
        <v>533</v>
      </c>
      <c r="BH14" s="3">
        <v>0</v>
      </c>
      <c r="BI14" s="3">
        <f t="shared" si="23"/>
        <v>-533</v>
      </c>
      <c r="BK14" s="3">
        <f t="shared" si="8"/>
        <v>571.66666666666663</v>
      </c>
      <c r="BL14" s="3">
        <f t="shared" si="9"/>
        <v>0</v>
      </c>
      <c r="BM14" s="3">
        <f t="shared" si="24"/>
        <v>-571.66666666666663</v>
      </c>
      <c r="BO14" s="3">
        <f t="shared" ref="BO14:BP18" si="25">ROUND((((C14*30)+(G14*30)+(K14*30)+(S14*30)+(W14*30)+(AA14*30))/180),0)</f>
        <v>212</v>
      </c>
      <c r="BP14" s="3">
        <f t="shared" si="25"/>
        <v>887</v>
      </c>
      <c r="BQ14" s="3">
        <f t="shared" si="1"/>
        <v>675</v>
      </c>
      <c r="BR14" s="5">
        <f>BQ14/BP14</f>
        <v>0.76099210822998875</v>
      </c>
    </row>
    <row r="15" spans="1:70" x14ac:dyDescent="0.2">
      <c r="A15" t="s">
        <v>62</v>
      </c>
      <c r="C15" s="3">
        <v>0</v>
      </c>
      <c r="D15" s="3">
        <v>632</v>
      </c>
      <c r="E15" s="3">
        <f t="shared" si="10"/>
        <v>632</v>
      </c>
      <c r="F15" s="5"/>
      <c r="G15" s="3">
        <v>0</v>
      </c>
      <c r="H15" s="3">
        <v>773</v>
      </c>
      <c r="I15" s="3">
        <f t="shared" si="11"/>
        <v>773</v>
      </c>
      <c r="K15" s="3">
        <v>223</v>
      </c>
      <c r="L15" s="3">
        <v>850</v>
      </c>
      <c r="M15" s="3">
        <f t="shared" si="12"/>
        <v>627</v>
      </c>
      <c r="O15" s="3">
        <f t="shared" si="2"/>
        <v>74</v>
      </c>
      <c r="P15" s="3">
        <f t="shared" si="3"/>
        <v>752</v>
      </c>
      <c r="Q15" s="3">
        <f t="shared" si="4"/>
        <v>678</v>
      </c>
      <c r="S15" s="3">
        <v>255</v>
      </c>
      <c r="T15" s="3">
        <v>873</v>
      </c>
      <c r="U15" s="3">
        <f t="shared" si="13"/>
        <v>618</v>
      </c>
      <c r="W15" s="3">
        <v>282</v>
      </c>
      <c r="X15" s="3">
        <v>858</v>
      </c>
      <c r="Y15" s="3">
        <f t="shared" si="14"/>
        <v>576</v>
      </c>
      <c r="AA15" s="3">
        <v>374</v>
      </c>
      <c r="AB15" s="3">
        <v>1086</v>
      </c>
      <c r="AC15" s="3">
        <f t="shared" si="15"/>
        <v>712</v>
      </c>
      <c r="AE15" s="3">
        <f t="shared" si="5"/>
        <v>303.66666666666669</v>
      </c>
      <c r="AF15" s="3">
        <f>((T15*30)+(X15*30)+(AB15*30))/90</f>
        <v>939</v>
      </c>
      <c r="AG15" s="3">
        <f t="shared" si="16"/>
        <v>635.33333333333326</v>
      </c>
      <c r="AI15" s="3">
        <v>359</v>
      </c>
      <c r="AJ15" s="3">
        <v>0</v>
      </c>
      <c r="AK15" s="3">
        <f t="shared" si="17"/>
        <v>-359</v>
      </c>
      <c r="AM15" s="3">
        <v>402</v>
      </c>
      <c r="AN15" s="3">
        <v>0</v>
      </c>
      <c r="AO15" s="3">
        <f t="shared" si="18"/>
        <v>-402</v>
      </c>
      <c r="AQ15" s="3">
        <v>528</v>
      </c>
      <c r="AR15" s="3">
        <v>0</v>
      </c>
      <c r="AS15" s="3">
        <f t="shared" si="19"/>
        <v>-528</v>
      </c>
      <c r="AU15" s="3">
        <f t="shared" si="6"/>
        <v>429.66666666666669</v>
      </c>
      <c r="AV15" s="3">
        <f t="shared" si="7"/>
        <v>0</v>
      </c>
      <c r="AW15" s="3">
        <f t="shared" si="20"/>
        <v>-429.66666666666669</v>
      </c>
      <c r="AY15" s="3">
        <v>591</v>
      </c>
      <c r="AZ15" s="3">
        <v>0</v>
      </c>
      <c r="BA15" s="3">
        <f t="shared" si="21"/>
        <v>-591</v>
      </c>
      <c r="BC15" s="3">
        <v>937</v>
      </c>
      <c r="BD15" s="3">
        <v>0</v>
      </c>
      <c r="BE15" s="3">
        <f t="shared" si="22"/>
        <v>-937</v>
      </c>
      <c r="BG15" s="3">
        <v>777</v>
      </c>
      <c r="BH15" s="3">
        <v>0</v>
      </c>
      <c r="BI15" s="3">
        <f t="shared" si="23"/>
        <v>-777</v>
      </c>
      <c r="BK15" s="3">
        <f t="shared" si="8"/>
        <v>768.33333333333337</v>
      </c>
      <c r="BL15" s="3">
        <f t="shared" si="9"/>
        <v>0</v>
      </c>
      <c r="BM15" s="3">
        <f t="shared" si="24"/>
        <v>-768.33333333333337</v>
      </c>
      <c r="BO15" s="3">
        <f t="shared" si="25"/>
        <v>189</v>
      </c>
      <c r="BP15" s="3">
        <f t="shared" si="25"/>
        <v>845</v>
      </c>
      <c r="BQ15" s="3">
        <f t="shared" si="1"/>
        <v>656</v>
      </c>
      <c r="BR15" s="5">
        <f>BQ15/BP15</f>
        <v>0.7763313609467456</v>
      </c>
    </row>
    <row r="16" spans="1:70" x14ac:dyDescent="0.2">
      <c r="A16" t="s">
        <v>63</v>
      </c>
      <c r="C16" s="3">
        <v>0</v>
      </c>
      <c r="D16" s="3">
        <v>453</v>
      </c>
      <c r="E16" s="3">
        <f t="shared" si="10"/>
        <v>453</v>
      </c>
      <c r="F16" s="5"/>
      <c r="G16" s="3">
        <v>0</v>
      </c>
      <c r="H16" s="3">
        <v>421</v>
      </c>
      <c r="I16" s="3">
        <f t="shared" si="11"/>
        <v>421</v>
      </c>
      <c r="K16" s="3">
        <v>192</v>
      </c>
      <c r="L16" s="3">
        <v>413</v>
      </c>
      <c r="M16" s="3">
        <f t="shared" si="12"/>
        <v>221</v>
      </c>
      <c r="O16" s="3">
        <f t="shared" si="2"/>
        <v>64</v>
      </c>
      <c r="P16" s="3">
        <f t="shared" si="3"/>
        <v>429</v>
      </c>
      <c r="Q16" s="3">
        <f t="shared" si="4"/>
        <v>365</v>
      </c>
      <c r="S16" s="3">
        <v>189</v>
      </c>
      <c r="T16" s="3">
        <v>461</v>
      </c>
      <c r="U16" s="3">
        <f t="shared" si="13"/>
        <v>272</v>
      </c>
      <c r="W16" s="3">
        <v>321</v>
      </c>
      <c r="X16" s="3">
        <v>508</v>
      </c>
      <c r="Y16" s="3">
        <f t="shared" si="14"/>
        <v>187</v>
      </c>
      <c r="AA16" s="3">
        <v>310</v>
      </c>
      <c r="AB16" s="3">
        <v>515</v>
      </c>
      <c r="AC16" s="3">
        <f t="shared" si="15"/>
        <v>205</v>
      </c>
      <c r="AE16" s="3">
        <f t="shared" si="5"/>
        <v>273.33333333333331</v>
      </c>
      <c r="AF16" s="3">
        <f>((T16*30)+(X16*30)+(AB16*30))/90</f>
        <v>494.66666666666669</v>
      </c>
      <c r="AG16" s="3">
        <f>AF16-AE16+0.2</f>
        <v>221.53333333333336</v>
      </c>
      <c r="AI16" s="3">
        <v>327</v>
      </c>
      <c r="AJ16" s="3">
        <v>0</v>
      </c>
      <c r="AK16" s="3">
        <f t="shared" si="17"/>
        <v>-327</v>
      </c>
      <c r="AM16" s="3">
        <v>355</v>
      </c>
      <c r="AN16" s="3">
        <v>0</v>
      </c>
      <c r="AO16" s="3">
        <f t="shared" si="18"/>
        <v>-355</v>
      </c>
      <c r="AQ16" s="3">
        <v>388</v>
      </c>
      <c r="AR16" s="3">
        <v>0</v>
      </c>
      <c r="AS16" s="3">
        <f t="shared" si="19"/>
        <v>-388</v>
      </c>
      <c r="AU16" s="3">
        <f t="shared" si="6"/>
        <v>356.66666666666669</v>
      </c>
      <c r="AV16" s="3">
        <f t="shared" si="7"/>
        <v>0</v>
      </c>
      <c r="AW16" s="3">
        <f t="shared" si="20"/>
        <v>-356.66666666666669</v>
      </c>
      <c r="AY16" s="3">
        <v>328</v>
      </c>
      <c r="AZ16" s="3">
        <v>0</v>
      </c>
      <c r="BA16" s="3">
        <f t="shared" si="21"/>
        <v>-328</v>
      </c>
      <c r="BC16" s="3">
        <v>510</v>
      </c>
      <c r="BD16" s="3">
        <v>0</v>
      </c>
      <c r="BE16" s="3">
        <f t="shared" si="22"/>
        <v>-510</v>
      </c>
      <c r="BG16" s="3">
        <v>477</v>
      </c>
      <c r="BH16" s="3">
        <v>0</v>
      </c>
      <c r="BI16" s="3">
        <f t="shared" si="23"/>
        <v>-477</v>
      </c>
      <c r="BK16" s="3">
        <f t="shared" si="8"/>
        <v>438.33333333333331</v>
      </c>
      <c r="BL16" s="3">
        <f t="shared" si="9"/>
        <v>0</v>
      </c>
      <c r="BM16" s="3">
        <f t="shared" si="24"/>
        <v>-438.33333333333331</v>
      </c>
      <c r="BO16" s="3">
        <f t="shared" si="25"/>
        <v>169</v>
      </c>
      <c r="BP16" s="3">
        <f t="shared" si="25"/>
        <v>462</v>
      </c>
      <c r="BQ16" s="3">
        <f t="shared" si="1"/>
        <v>293</v>
      </c>
      <c r="BR16" s="5">
        <f>BQ16/BP16</f>
        <v>0.63419913419913421</v>
      </c>
    </row>
    <row r="17" spans="1:70" x14ac:dyDescent="0.2">
      <c r="A17" t="s">
        <v>64</v>
      </c>
      <c r="C17" s="3">
        <v>0</v>
      </c>
      <c r="D17" s="3">
        <f>90+19</f>
        <v>109</v>
      </c>
      <c r="E17" s="3">
        <f t="shared" si="10"/>
        <v>109</v>
      </c>
      <c r="F17" s="5"/>
      <c r="G17" s="3">
        <v>0</v>
      </c>
      <c r="H17" s="3">
        <f>80+4</f>
        <v>84</v>
      </c>
      <c r="I17" s="3">
        <f t="shared" si="11"/>
        <v>84</v>
      </c>
      <c r="K17" s="3">
        <v>39</v>
      </c>
      <c r="L17" s="3">
        <f>67+12</f>
        <v>79</v>
      </c>
      <c r="M17" s="3">
        <f t="shared" si="12"/>
        <v>40</v>
      </c>
      <c r="O17" s="3">
        <f t="shared" si="2"/>
        <v>13</v>
      </c>
      <c r="P17" s="3">
        <f t="shared" si="3"/>
        <v>91</v>
      </c>
      <c r="Q17" s="3">
        <f t="shared" si="4"/>
        <v>78</v>
      </c>
      <c r="S17" s="3">
        <v>52</v>
      </c>
      <c r="T17" s="3">
        <f>61+12</f>
        <v>73</v>
      </c>
      <c r="U17" s="3">
        <f t="shared" si="13"/>
        <v>21</v>
      </c>
      <c r="W17" s="3">
        <v>70</v>
      </c>
      <c r="X17" s="3">
        <f>71+10</f>
        <v>81</v>
      </c>
      <c r="Y17" s="3">
        <f t="shared" si="14"/>
        <v>11</v>
      </c>
      <c r="AA17" s="3">
        <v>80</v>
      </c>
      <c r="AB17" s="3">
        <v>109</v>
      </c>
      <c r="AC17" s="3">
        <f t="shared" si="15"/>
        <v>29</v>
      </c>
      <c r="AE17" s="3">
        <f t="shared" si="5"/>
        <v>67.333333333333329</v>
      </c>
      <c r="AF17" s="3">
        <f>((T17*30)+(X17*30)+(AB17*30))/60+0.25</f>
        <v>131.75</v>
      </c>
      <c r="AG17" s="3">
        <f>AF17-AE17+0.2</f>
        <v>64.616666666666674</v>
      </c>
      <c r="AI17" s="3">
        <v>70</v>
      </c>
      <c r="AJ17" s="3">
        <v>0</v>
      </c>
      <c r="AK17" s="3">
        <f t="shared" si="17"/>
        <v>-70</v>
      </c>
      <c r="AM17" s="3">
        <v>53</v>
      </c>
      <c r="AN17" s="3">
        <v>0</v>
      </c>
      <c r="AO17" s="3">
        <f t="shared" si="18"/>
        <v>-53</v>
      </c>
      <c r="AQ17" s="3">
        <v>57</v>
      </c>
      <c r="AR17" s="3">
        <v>0</v>
      </c>
      <c r="AS17" s="3">
        <f t="shared" si="19"/>
        <v>-57</v>
      </c>
      <c r="AU17" s="3">
        <f t="shared" si="6"/>
        <v>60</v>
      </c>
      <c r="AV17" s="3">
        <f t="shared" si="7"/>
        <v>0</v>
      </c>
      <c r="AW17" s="3">
        <f t="shared" si="20"/>
        <v>-60</v>
      </c>
      <c r="AY17" s="3">
        <v>59</v>
      </c>
      <c r="AZ17" s="3">
        <v>0</v>
      </c>
      <c r="BA17" s="3">
        <f t="shared" si="21"/>
        <v>-59</v>
      </c>
      <c r="BC17" s="3">
        <v>72</v>
      </c>
      <c r="BD17" s="3">
        <v>0</v>
      </c>
      <c r="BE17" s="3">
        <f t="shared" si="22"/>
        <v>-72</v>
      </c>
      <c r="BG17" s="3">
        <v>74</v>
      </c>
      <c r="BH17" s="3">
        <v>0</v>
      </c>
      <c r="BI17" s="3">
        <f t="shared" si="23"/>
        <v>-74</v>
      </c>
      <c r="BK17" s="3">
        <f t="shared" si="8"/>
        <v>68.333333333333329</v>
      </c>
      <c r="BL17" s="3">
        <f t="shared" si="9"/>
        <v>0</v>
      </c>
      <c r="BM17" s="3">
        <f t="shared" si="24"/>
        <v>-68.333333333333329</v>
      </c>
      <c r="BO17" s="3">
        <f t="shared" si="25"/>
        <v>40</v>
      </c>
      <c r="BP17" s="3">
        <f t="shared" si="25"/>
        <v>89</v>
      </c>
      <c r="BQ17" s="3">
        <f t="shared" si="1"/>
        <v>49</v>
      </c>
      <c r="BR17" s="5">
        <v>0</v>
      </c>
    </row>
    <row r="18" spans="1:70" x14ac:dyDescent="0.2">
      <c r="A18" t="s">
        <v>65</v>
      </c>
      <c r="C18" s="3">
        <v>0</v>
      </c>
      <c r="D18" s="3">
        <v>619</v>
      </c>
      <c r="E18" s="3">
        <f t="shared" si="10"/>
        <v>619</v>
      </c>
      <c r="F18" s="5"/>
      <c r="G18" s="3">
        <v>0</v>
      </c>
      <c r="H18" s="3">
        <v>586</v>
      </c>
      <c r="I18" s="3">
        <f t="shared" si="11"/>
        <v>586</v>
      </c>
      <c r="K18" s="3">
        <v>165</v>
      </c>
      <c r="L18" s="3">
        <f>551+15</f>
        <v>566</v>
      </c>
      <c r="M18" s="3">
        <f t="shared" si="12"/>
        <v>401</v>
      </c>
      <c r="O18" s="3">
        <f t="shared" si="2"/>
        <v>55</v>
      </c>
      <c r="P18" s="3">
        <f t="shared" si="3"/>
        <v>590</v>
      </c>
      <c r="Q18" s="3">
        <f t="shared" si="4"/>
        <v>535</v>
      </c>
      <c r="S18" s="3">
        <v>182</v>
      </c>
      <c r="T18" s="3">
        <f>576+15</f>
        <v>591</v>
      </c>
      <c r="U18" s="3">
        <f t="shared" si="13"/>
        <v>409</v>
      </c>
      <c r="W18" s="3">
        <v>358</v>
      </c>
      <c r="X18" s="3">
        <f>656+23</f>
        <v>679</v>
      </c>
      <c r="Y18" s="3">
        <f t="shared" si="14"/>
        <v>321</v>
      </c>
      <c r="AA18" s="3">
        <v>486</v>
      </c>
      <c r="AB18" s="3">
        <f>797+28</f>
        <v>825</v>
      </c>
      <c r="AC18" s="3">
        <f t="shared" si="15"/>
        <v>339</v>
      </c>
      <c r="AE18" s="3">
        <f t="shared" si="5"/>
        <v>342</v>
      </c>
      <c r="AF18" s="3">
        <f>((T18*30)+(X18*30)+(AB18*30))/90</f>
        <v>698.33333333333337</v>
      </c>
      <c r="AG18" s="3">
        <f t="shared" si="16"/>
        <v>356.33333333333337</v>
      </c>
      <c r="AI18" s="3">
        <v>398</v>
      </c>
      <c r="AJ18" s="3">
        <v>0</v>
      </c>
      <c r="AK18" s="3">
        <f t="shared" si="17"/>
        <v>-398</v>
      </c>
      <c r="AM18" s="3">
        <v>407</v>
      </c>
      <c r="AN18" s="3">
        <v>0</v>
      </c>
      <c r="AO18" s="3">
        <f t="shared" si="18"/>
        <v>-407</v>
      </c>
      <c r="AQ18" s="3">
        <v>481</v>
      </c>
      <c r="AR18" s="3">
        <v>0</v>
      </c>
      <c r="AS18" s="3">
        <f t="shared" si="19"/>
        <v>-481</v>
      </c>
      <c r="AU18" s="3">
        <f t="shared" si="6"/>
        <v>428.66666666666669</v>
      </c>
      <c r="AV18" s="3">
        <f t="shared" si="7"/>
        <v>0</v>
      </c>
      <c r="AW18" s="3">
        <f t="shared" si="20"/>
        <v>-428.66666666666669</v>
      </c>
      <c r="AY18" s="3">
        <v>494</v>
      </c>
      <c r="AZ18" s="3">
        <v>0</v>
      </c>
      <c r="BA18" s="3">
        <f t="shared" si="21"/>
        <v>-494</v>
      </c>
      <c r="BC18" s="3">
        <v>714</v>
      </c>
      <c r="BD18" s="3">
        <v>0</v>
      </c>
      <c r="BE18" s="3">
        <f t="shared" si="22"/>
        <v>-714</v>
      </c>
      <c r="BG18" s="3">
        <v>658</v>
      </c>
      <c r="BH18" s="3">
        <v>0</v>
      </c>
      <c r="BI18" s="3">
        <f t="shared" si="23"/>
        <v>-658</v>
      </c>
      <c r="BK18" s="3">
        <f t="shared" si="8"/>
        <v>622</v>
      </c>
      <c r="BL18" s="3">
        <f t="shared" si="9"/>
        <v>0</v>
      </c>
      <c r="BM18" s="3">
        <f t="shared" si="24"/>
        <v>-622</v>
      </c>
      <c r="BO18" s="3">
        <f t="shared" si="25"/>
        <v>199</v>
      </c>
      <c r="BP18" s="3">
        <f t="shared" si="25"/>
        <v>644</v>
      </c>
      <c r="BQ18" s="3">
        <f t="shared" si="1"/>
        <v>445</v>
      </c>
      <c r="BR18" s="5"/>
    </row>
    <row r="19" spans="1:70" x14ac:dyDescent="0.2">
      <c r="C19" s="3"/>
      <c r="D19" s="3"/>
      <c r="E19" s="3"/>
      <c r="F19" s="5"/>
      <c r="G19" s="3"/>
      <c r="H19" s="3"/>
      <c r="I19" s="3"/>
      <c r="K19" s="3"/>
      <c r="L19" s="3"/>
      <c r="M19" s="3"/>
      <c r="O19" s="3"/>
      <c r="P19" s="3"/>
      <c r="Q19" s="3"/>
      <c r="S19" s="3"/>
      <c r="T19" s="3"/>
      <c r="U19" s="3"/>
      <c r="W19" s="3"/>
      <c r="X19" s="3"/>
      <c r="Y19" s="3"/>
      <c r="AA19" s="3"/>
      <c r="AB19" s="3"/>
      <c r="AC19" s="3"/>
      <c r="AE19" s="3"/>
      <c r="AF19" s="3"/>
      <c r="AG19" s="3"/>
      <c r="AI19" s="3"/>
      <c r="AJ19" s="3"/>
      <c r="AK19" s="3"/>
      <c r="AM19" s="3"/>
      <c r="AN19" s="3"/>
      <c r="AO19" s="3"/>
      <c r="AQ19" s="3"/>
      <c r="AR19" s="3"/>
      <c r="AS19" s="3"/>
      <c r="AU19" s="3"/>
      <c r="AV19" s="3"/>
      <c r="AW19" s="3"/>
      <c r="AY19" s="3"/>
      <c r="AZ19" s="3"/>
      <c r="BA19" s="3"/>
      <c r="BC19" s="3"/>
      <c r="BD19" s="3"/>
      <c r="BE19" s="3"/>
      <c r="BG19" s="3"/>
      <c r="BH19" s="3"/>
      <c r="BI19" s="3"/>
      <c r="BK19" s="3"/>
      <c r="BL19" s="3"/>
      <c r="BM19" s="3"/>
      <c r="BO19" s="3"/>
      <c r="BP19" s="3"/>
      <c r="BQ19" s="3"/>
      <c r="BR19" s="5"/>
    </row>
    <row r="20" spans="1:70" x14ac:dyDescent="0.2">
      <c r="A20" s="1" t="s">
        <v>2</v>
      </c>
      <c r="C20" s="3"/>
      <c r="D20" s="3"/>
      <c r="E20" s="3"/>
      <c r="F20" s="5"/>
      <c r="G20" s="3"/>
      <c r="H20" s="3"/>
      <c r="I20" s="3"/>
      <c r="K20" s="3"/>
      <c r="L20" s="3"/>
      <c r="M20" s="3"/>
      <c r="O20" s="3"/>
      <c r="P20" s="3"/>
      <c r="Q20" s="3"/>
      <c r="S20" s="3"/>
      <c r="T20" s="3"/>
      <c r="U20" s="3"/>
      <c r="W20" s="3"/>
      <c r="X20" s="3"/>
      <c r="Y20" s="3"/>
      <c r="AA20" s="3"/>
      <c r="AB20" s="3"/>
      <c r="AC20" s="3"/>
      <c r="AE20" s="3"/>
      <c r="AF20" s="3"/>
      <c r="AG20" s="3"/>
      <c r="AI20" s="3"/>
      <c r="AJ20" s="3"/>
      <c r="AK20" s="3"/>
      <c r="AM20" s="3"/>
      <c r="AN20" s="3"/>
      <c r="AO20" s="3"/>
      <c r="AQ20" s="3"/>
      <c r="AR20" s="3"/>
      <c r="AS20" s="3"/>
      <c r="AU20" s="3"/>
      <c r="AV20" s="3"/>
      <c r="AW20" s="3"/>
      <c r="AY20" s="3"/>
      <c r="AZ20" s="3"/>
      <c r="BA20" s="3"/>
      <c r="BC20" s="3"/>
      <c r="BD20" s="3"/>
      <c r="BE20" s="3"/>
      <c r="BG20" s="3"/>
      <c r="BH20" s="3"/>
      <c r="BI20" s="3"/>
      <c r="BK20" s="3"/>
      <c r="BL20" s="3"/>
      <c r="BM20" s="3"/>
      <c r="BO20" s="3"/>
      <c r="BP20" s="3"/>
      <c r="BQ20" s="3"/>
      <c r="BR20" s="5"/>
    </row>
    <row r="21" spans="1:70" x14ac:dyDescent="0.2">
      <c r="A21" s="9" t="s">
        <v>7</v>
      </c>
      <c r="C21" s="3">
        <v>0</v>
      </c>
      <c r="D21" s="3">
        <v>0</v>
      </c>
      <c r="E21" s="3">
        <f>D21-C21</f>
        <v>0</v>
      </c>
      <c r="F21" s="5"/>
      <c r="G21" s="3">
        <v>0</v>
      </c>
      <c r="H21" s="3">
        <v>0</v>
      </c>
      <c r="I21" s="3">
        <f>H21-G21</f>
        <v>0</v>
      </c>
      <c r="K21" s="3">
        <v>0</v>
      </c>
      <c r="L21" s="3">
        <v>0</v>
      </c>
      <c r="M21" s="3">
        <f>L21-K21</f>
        <v>0</v>
      </c>
      <c r="O21" s="3">
        <f t="shared" si="2"/>
        <v>0</v>
      </c>
      <c r="P21" s="3">
        <f t="shared" si="3"/>
        <v>0</v>
      </c>
      <c r="Q21" s="3">
        <f t="shared" si="4"/>
        <v>0</v>
      </c>
      <c r="S21" s="3">
        <v>0</v>
      </c>
      <c r="T21" s="3">
        <v>0</v>
      </c>
      <c r="U21" s="3">
        <f>T21-S21</f>
        <v>0</v>
      </c>
      <c r="W21" s="3">
        <v>0</v>
      </c>
      <c r="X21" s="3">
        <v>0</v>
      </c>
      <c r="Y21" s="3">
        <f>X21-W21</f>
        <v>0</v>
      </c>
      <c r="AA21" s="3">
        <v>0</v>
      </c>
      <c r="AB21" s="3">
        <v>0</v>
      </c>
      <c r="AC21" s="3">
        <f>AB21-AA21</f>
        <v>0</v>
      </c>
      <c r="AE21" s="3">
        <f t="shared" ref="AE21:AF24" si="26">((S21*30)+(W21*30)+(AA21*30))/90</f>
        <v>0</v>
      </c>
      <c r="AF21" s="3">
        <f t="shared" si="26"/>
        <v>0</v>
      </c>
      <c r="AG21" s="3">
        <f>AF21-AE21</f>
        <v>0</v>
      </c>
      <c r="AI21" s="3">
        <v>0</v>
      </c>
      <c r="AJ21" s="3">
        <v>0</v>
      </c>
      <c r="AK21" s="3">
        <f>AJ21-AI21</f>
        <v>0</v>
      </c>
      <c r="AM21" s="3">
        <v>0</v>
      </c>
      <c r="AN21" s="3">
        <v>0</v>
      </c>
      <c r="AO21" s="3">
        <f>AN21-AM21</f>
        <v>0</v>
      </c>
      <c r="AQ21" s="3">
        <v>0</v>
      </c>
      <c r="AR21" s="3">
        <v>0</v>
      </c>
      <c r="AS21" s="3">
        <f>AR21-AQ21</f>
        <v>0</v>
      </c>
      <c r="AU21" s="3">
        <f t="shared" ref="AU21:AV24" si="27">((AI21*30)+(AM21*30)+(AQ21*30))/90</f>
        <v>0</v>
      </c>
      <c r="AV21" s="3">
        <f t="shared" si="27"/>
        <v>0</v>
      </c>
      <c r="AW21" s="3">
        <f>AV21-AU21</f>
        <v>0</v>
      </c>
      <c r="AY21" s="3">
        <v>0</v>
      </c>
      <c r="AZ21" s="3">
        <v>0</v>
      </c>
      <c r="BA21" s="3">
        <f>AZ21-AY21</f>
        <v>0</v>
      </c>
      <c r="BC21" s="3">
        <v>0</v>
      </c>
      <c r="BD21" s="3">
        <v>0</v>
      </c>
      <c r="BE21" s="3">
        <f>BD21-BC21</f>
        <v>0</v>
      </c>
      <c r="BG21" s="3">
        <v>0</v>
      </c>
      <c r="BH21" s="3">
        <v>0</v>
      </c>
      <c r="BI21" s="3">
        <f>BH21-BG21</f>
        <v>0</v>
      </c>
      <c r="BK21" s="3">
        <f t="shared" ref="BK21:BL24" si="28">((AY21*30)+(BC21*30)+(BG21*30))/90</f>
        <v>0</v>
      </c>
      <c r="BL21" s="3">
        <f t="shared" si="28"/>
        <v>0</v>
      </c>
      <c r="BM21" s="3">
        <f>BL21-BK21</f>
        <v>0</v>
      </c>
      <c r="BO21" s="3">
        <f t="shared" ref="BO21:BP24" si="29">ROUND((((C21*30)+(G21*30)+(K21*30)+(S21*30)+(W21*30)+(AA21*30))/180),0)</f>
        <v>0</v>
      </c>
      <c r="BP21" s="3">
        <f t="shared" si="29"/>
        <v>0</v>
      </c>
      <c r="BQ21" s="3">
        <f>BP21-BO21</f>
        <v>0</v>
      </c>
      <c r="BR21" s="5" t="e">
        <f>BQ21/BP21</f>
        <v>#DIV/0!</v>
      </c>
    </row>
    <row r="22" spans="1:70" x14ac:dyDescent="0.2">
      <c r="A22" s="9" t="s">
        <v>8</v>
      </c>
      <c r="C22" s="3">
        <v>0</v>
      </c>
      <c r="D22" s="3">
        <v>40</v>
      </c>
      <c r="E22" s="3">
        <f>D22-C22</f>
        <v>40</v>
      </c>
      <c r="F22" s="5"/>
      <c r="G22" s="3">
        <v>0</v>
      </c>
      <c r="H22" s="3">
        <v>42</v>
      </c>
      <c r="I22" s="3">
        <f>H22-G22</f>
        <v>42</v>
      </c>
      <c r="K22" s="3">
        <v>17</v>
      </c>
      <c r="L22" s="3">
        <v>68</v>
      </c>
      <c r="M22" s="3">
        <f>L22-K22</f>
        <v>51</v>
      </c>
      <c r="O22" s="3">
        <f t="shared" si="2"/>
        <v>6</v>
      </c>
      <c r="P22" s="3">
        <f t="shared" si="3"/>
        <v>50</v>
      </c>
      <c r="Q22" s="3">
        <f t="shared" si="4"/>
        <v>44</v>
      </c>
      <c r="S22" s="3">
        <v>15</v>
      </c>
      <c r="T22" s="3">
        <v>76</v>
      </c>
      <c r="U22" s="3">
        <f>T22-S22</f>
        <v>61</v>
      </c>
      <c r="W22" s="3">
        <v>15</v>
      </c>
      <c r="X22" s="3">
        <v>79</v>
      </c>
      <c r="Y22" s="3">
        <f>X22-W22</f>
        <v>64</v>
      </c>
      <c r="AA22" s="3">
        <v>12</v>
      </c>
      <c r="AB22" s="3">
        <v>123</v>
      </c>
      <c r="AC22" s="3">
        <f>AB22-AA22</f>
        <v>111</v>
      </c>
      <c r="AE22" s="3">
        <f t="shared" si="26"/>
        <v>14</v>
      </c>
      <c r="AF22" s="3">
        <f t="shared" si="26"/>
        <v>92.666666666666671</v>
      </c>
      <c r="AG22" s="3">
        <f>AF22-AE22+0.25</f>
        <v>78.916666666666671</v>
      </c>
      <c r="AI22" s="3">
        <v>24</v>
      </c>
      <c r="AJ22" s="3">
        <v>0</v>
      </c>
      <c r="AK22" s="3">
        <f>AJ22-AI22</f>
        <v>-24</v>
      </c>
      <c r="AM22" s="3">
        <v>24</v>
      </c>
      <c r="AN22" s="3">
        <v>0</v>
      </c>
      <c r="AO22" s="3">
        <f>AN22-AM22</f>
        <v>-24</v>
      </c>
      <c r="AQ22" s="3">
        <v>23</v>
      </c>
      <c r="AR22" s="3">
        <v>0</v>
      </c>
      <c r="AS22" s="3">
        <f>AR22-AQ22</f>
        <v>-23</v>
      </c>
      <c r="AU22" s="3">
        <f t="shared" si="27"/>
        <v>23.666666666666668</v>
      </c>
      <c r="AV22" s="3">
        <f t="shared" si="27"/>
        <v>0</v>
      </c>
      <c r="AW22" s="3">
        <f>AV22-AU22</f>
        <v>-23.666666666666668</v>
      </c>
      <c r="AY22" s="3">
        <v>39</v>
      </c>
      <c r="AZ22" s="3">
        <v>0</v>
      </c>
      <c r="BA22" s="3">
        <f>AZ22-AY22</f>
        <v>-39</v>
      </c>
      <c r="BC22" s="3">
        <v>19</v>
      </c>
      <c r="BD22" s="3">
        <v>0</v>
      </c>
      <c r="BE22" s="3">
        <f>BD22-BC22</f>
        <v>-19</v>
      </c>
      <c r="BG22" s="3">
        <v>23</v>
      </c>
      <c r="BH22" s="3">
        <v>0</v>
      </c>
      <c r="BI22" s="3">
        <f>BH22-BG22</f>
        <v>-23</v>
      </c>
      <c r="BK22" s="3">
        <f t="shared" si="28"/>
        <v>27</v>
      </c>
      <c r="BL22" s="3">
        <f t="shared" si="28"/>
        <v>0</v>
      </c>
      <c r="BM22" s="3">
        <f>BL22-BK22</f>
        <v>-27</v>
      </c>
      <c r="BO22" s="3">
        <f t="shared" si="29"/>
        <v>10</v>
      </c>
      <c r="BP22" s="3">
        <f t="shared" si="29"/>
        <v>71</v>
      </c>
      <c r="BQ22" s="3">
        <f>BP22-BO22</f>
        <v>61</v>
      </c>
      <c r="BR22" s="5">
        <f>BQ22/BP22</f>
        <v>0.85915492957746475</v>
      </c>
    </row>
    <row r="23" spans="1:70" x14ac:dyDescent="0.2">
      <c r="A23" s="9" t="s">
        <v>9</v>
      </c>
      <c r="C23" s="3">
        <v>0</v>
      </c>
      <c r="D23" s="3">
        <v>71</v>
      </c>
      <c r="E23" s="3">
        <f>D23-C23</f>
        <v>71</v>
      </c>
      <c r="F23" s="5"/>
      <c r="G23" s="3">
        <v>0</v>
      </c>
      <c r="H23" s="3">
        <v>127</v>
      </c>
      <c r="I23" s="3">
        <f>H23-G23</f>
        <v>127</v>
      </c>
      <c r="K23" s="3">
        <v>24</v>
      </c>
      <c r="L23" s="3">
        <v>99</v>
      </c>
      <c r="M23" s="3">
        <f>L23-K23</f>
        <v>75</v>
      </c>
      <c r="O23" s="3">
        <f t="shared" si="2"/>
        <v>8</v>
      </c>
      <c r="P23" s="3">
        <f t="shared" si="3"/>
        <v>99</v>
      </c>
      <c r="Q23" s="3">
        <f t="shared" si="4"/>
        <v>91</v>
      </c>
      <c r="S23" s="3">
        <v>29</v>
      </c>
      <c r="T23" s="3">
        <v>106</v>
      </c>
      <c r="U23" s="3">
        <f>T23-S23</f>
        <v>77</v>
      </c>
      <c r="W23" s="3">
        <v>27</v>
      </c>
      <c r="X23" s="3">
        <v>114</v>
      </c>
      <c r="Y23" s="3">
        <f>X23-W23</f>
        <v>87</v>
      </c>
      <c r="AA23" s="3">
        <v>21</v>
      </c>
      <c r="AB23" s="3">
        <v>213</v>
      </c>
      <c r="AC23" s="3">
        <f>AB23-AA23</f>
        <v>192</v>
      </c>
      <c r="AE23" s="3">
        <f t="shared" si="26"/>
        <v>25.666666666666668</v>
      </c>
      <c r="AF23" s="3">
        <f t="shared" si="26"/>
        <v>144.33333333333334</v>
      </c>
      <c r="AG23" s="3">
        <f>AF23-AE23-0.2</f>
        <v>118.46666666666667</v>
      </c>
      <c r="AI23" s="3">
        <v>40</v>
      </c>
      <c r="AJ23" s="3">
        <v>0</v>
      </c>
      <c r="AK23" s="3">
        <f>AJ23-AI23</f>
        <v>-40</v>
      </c>
      <c r="AM23" s="3">
        <v>49</v>
      </c>
      <c r="AN23" s="3">
        <v>0</v>
      </c>
      <c r="AO23" s="3">
        <f>AN23-AM23</f>
        <v>-49</v>
      </c>
      <c r="AQ23" s="3">
        <v>49</v>
      </c>
      <c r="AR23" s="3">
        <v>0</v>
      </c>
      <c r="AS23" s="3">
        <f>AR23-AQ23</f>
        <v>-49</v>
      </c>
      <c r="AU23" s="3">
        <f t="shared" si="27"/>
        <v>46</v>
      </c>
      <c r="AV23" s="3">
        <f t="shared" si="27"/>
        <v>0</v>
      </c>
      <c r="AW23" s="3">
        <f>AV23-AU23</f>
        <v>-46</v>
      </c>
      <c r="AY23" s="3">
        <v>79</v>
      </c>
      <c r="AZ23" s="3">
        <v>0</v>
      </c>
      <c r="BA23" s="3">
        <f>AZ23-AY23</f>
        <v>-79</v>
      </c>
      <c r="BC23" s="3">
        <v>77</v>
      </c>
      <c r="BD23" s="3">
        <v>0</v>
      </c>
      <c r="BE23" s="3">
        <f>BD23-BC23</f>
        <v>-77</v>
      </c>
      <c r="BG23" s="3">
        <v>45</v>
      </c>
      <c r="BH23" s="3">
        <v>0</v>
      </c>
      <c r="BI23" s="3">
        <f>BH23-BG23</f>
        <v>-45</v>
      </c>
      <c r="BK23" s="3">
        <f t="shared" si="28"/>
        <v>67</v>
      </c>
      <c r="BL23" s="3">
        <f t="shared" si="28"/>
        <v>0</v>
      </c>
      <c r="BM23" s="3">
        <f>BL23-BK23</f>
        <v>-67</v>
      </c>
      <c r="BO23" s="3">
        <f t="shared" si="29"/>
        <v>17</v>
      </c>
      <c r="BP23" s="3">
        <f t="shared" si="29"/>
        <v>122</v>
      </c>
      <c r="BQ23" s="3">
        <f>BP23-BO23</f>
        <v>105</v>
      </c>
      <c r="BR23" s="5">
        <f>BQ23/BP23</f>
        <v>0.86065573770491799</v>
      </c>
    </row>
    <row r="24" spans="1:70" x14ac:dyDescent="0.2">
      <c r="A24" s="9" t="s">
        <v>10</v>
      </c>
      <c r="C24" s="3">
        <v>0</v>
      </c>
      <c r="D24" s="3">
        <v>139</v>
      </c>
      <c r="E24" s="3">
        <f>D24-C24</f>
        <v>139</v>
      </c>
      <c r="F24" s="5"/>
      <c r="G24" s="3">
        <v>0</v>
      </c>
      <c r="H24" s="3">
        <v>153</v>
      </c>
      <c r="I24" s="3">
        <f>H24-G24</f>
        <v>153</v>
      </c>
      <c r="K24" s="3">
        <v>26</v>
      </c>
      <c r="L24" s="3">
        <v>147</v>
      </c>
      <c r="M24" s="3">
        <f>L24-K24</f>
        <v>121</v>
      </c>
      <c r="O24" s="3">
        <f t="shared" si="2"/>
        <v>9</v>
      </c>
      <c r="P24" s="3">
        <f t="shared" si="3"/>
        <v>146</v>
      </c>
      <c r="Q24" s="3">
        <f t="shared" si="4"/>
        <v>137</v>
      </c>
      <c r="S24" s="3">
        <v>18</v>
      </c>
      <c r="T24" s="3">
        <v>207</v>
      </c>
      <c r="U24" s="3">
        <f>T24-S24</f>
        <v>189</v>
      </c>
      <c r="W24" s="3">
        <v>16</v>
      </c>
      <c r="X24" s="3">
        <v>191</v>
      </c>
      <c r="Y24" s="3">
        <f>X24-W24</f>
        <v>175</v>
      </c>
      <c r="AA24" s="3">
        <v>16</v>
      </c>
      <c r="AB24" s="3">
        <v>326</v>
      </c>
      <c r="AC24" s="3">
        <f>AB24-AA24</f>
        <v>310</v>
      </c>
      <c r="AE24" s="3">
        <f t="shared" si="26"/>
        <v>16.666666666666668</v>
      </c>
      <c r="AF24" s="3">
        <f t="shared" si="26"/>
        <v>241.33333333333334</v>
      </c>
      <c r="AG24" s="3">
        <f>AF24-AE24-0.2</f>
        <v>224.4666666666667</v>
      </c>
      <c r="AI24" s="3">
        <v>26</v>
      </c>
      <c r="AJ24" s="3">
        <v>0</v>
      </c>
      <c r="AK24" s="3">
        <f>AJ24-AI24</f>
        <v>-26</v>
      </c>
      <c r="AM24" s="3">
        <v>40</v>
      </c>
      <c r="AN24" s="3">
        <v>0</v>
      </c>
      <c r="AO24" s="3">
        <f>AN24-AM24</f>
        <v>-40</v>
      </c>
      <c r="AQ24" s="3">
        <v>70</v>
      </c>
      <c r="AR24" s="3">
        <v>0</v>
      </c>
      <c r="AS24" s="3">
        <f>AR24-AQ24</f>
        <v>-70</v>
      </c>
      <c r="AU24" s="3">
        <f t="shared" si="27"/>
        <v>45.333333333333336</v>
      </c>
      <c r="AV24" s="3">
        <f t="shared" si="27"/>
        <v>0</v>
      </c>
      <c r="AW24" s="3">
        <f>AV24-AU24</f>
        <v>-45.333333333333336</v>
      </c>
      <c r="AY24" s="3">
        <v>69</v>
      </c>
      <c r="AZ24" s="3">
        <v>0</v>
      </c>
      <c r="BA24" s="3">
        <f>AZ24-AY24</f>
        <v>-69</v>
      </c>
      <c r="BC24" s="3">
        <v>71</v>
      </c>
      <c r="BD24" s="3">
        <v>0</v>
      </c>
      <c r="BE24" s="3">
        <f>BD24-BC24</f>
        <v>-71</v>
      </c>
      <c r="BG24" s="3">
        <v>59</v>
      </c>
      <c r="BH24" s="3">
        <v>0</v>
      </c>
      <c r="BI24" s="3">
        <f>BH24-BG24</f>
        <v>-59</v>
      </c>
      <c r="BK24" s="3">
        <f t="shared" si="28"/>
        <v>66.333333333333329</v>
      </c>
      <c r="BL24" s="3">
        <f t="shared" si="28"/>
        <v>0</v>
      </c>
      <c r="BM24" s="3">
        <f>BL24-BK24</f>
        <v>-66.333333333333329</v>
      </c>
      <c r="BO24" s="3">
        <f t="shared" si="29"/>
        <v>13</v>
      </c>
      <c r="BP24" s="3">
        <f t="shared" si="29"/>
        <v>194</v>
      </c>
      <c r="BQ24" s="3">
        <f>BP24-BO24</f>
        <v>181</v>
      </c>
      <c r="BR24" s="5">
        <f>BQ24/BP24</f>
        <v>0.9329896907216495</v>
      </c>
    </row>
    <row r="25" spans="1:70" x14ac:dyDescent="0.2">
      <c r="A25" s="9"/>
      <c r="C25" s="3"/>
      <c r="D25" s="3"/>
      <c r="E25" s="3"/>
      <c r="F25" s="5"/>
      <c r="G25" s="3"/>
      <c r="H25" s="3"/>
      <c r="I25" s="3"/>
      <c r="K25" s="3"/>
      <c r="L25" s="3"/>
      <c r="M25" s="3"/>
      <c r="O25" s="3"/>
      <c r="P25" s="3"/>
      <c r="Q25" s="3"/>
      <c r="S25" s="3"/>
      <c r="T25" s="3"/>
      <c r="U25" s="3"/>
      <c r="W25" s="3"/>
      <c r="X25" s="3"/>
      <c r="Y25" s="3"/>
      <c r="AA25" s="3"/>
      <c r="AB25" s="3"/>
      <c r="AC25" s="3"/>
      <c r="AE25" s="3"/>
      <c r="AF25" s="3"/>
      <c r="AG25" s="3"/>
      <c r="AI25" s="3"/>
      <c r="AJ25" s="3"/>
      <c r="AK25" s="3"/>
      <c r="AM25" s="3"/>
      <c r="AN25" s="3"/>
      <c r="AO25" s="3"/>
      <c r="AQ25" s="3"/>
      <c r="AR25" s="3"/>
      <c r="AS25" s="3"/>
      <c r="AU25" s="3"/>
      <c r="AV25" s="3"/>
      <c r="AW25" s="3"/>
      <c r="AY25" s="3"/>
      <c r="AZ25" s="3"/>
      <c r="BA25" s="3"/>
      <c r="BC25" s="3"/>
      <c r="BD25" s="3"/>
      <c r="BE25" s="3"/>
      <c r="BG25" s="3"/>
      <c r="BH25" s="3"/>
      <c r="BI25" s="3"/>
      <c r="BK25" s="3"/>
      <c r="BL25" s="3"/>
      <c r="BM25" s="3"/>
      <c r="BO25" s="3"/>
      <c r="BP25" s="3"/>
      <c r="BQ25" s="3"/>
      <c r="BR25" s="5"/>
    </row>
    <row r="26" spans="1:70" x14ac:dyDescent="0.2">
      <c r="A26" s="1" t="s">
        <v>3</v>
      </c>
      <c r="C26" s="3"/>
      <c r="D26" s="3"/>
      <c r="E26" s="3"/>
      <c r="F26" s="5"/>
      <c r="G26" s="3"/>
      <c r="H26" s="3"/>
      <c r="I26" s="3"/>
      <c r="K26" s="3"/>
      <c r="L26" s="3"/>
      <c r="M26" s="3"/>
      <c r="O26" s="3"/>
      <c r="P26" s="3"/>
      <c r="Q26" s="3"/>
      <c r="S26" s="3"/>
      <c r="T26" s="3"/>
      <c r="U26" s="3"/>
      <c r="W26" s="3"/>
      <c r="X26" s="3"/>
      <c r="Y26" s="3"/>
      <c r="AA26" s="3"/>
      <c r="AB26" s="3"/>
      <c r="AC26" s="3"/>
      <c r="AE26" s="3"/>
      <c r="AF26" s="3"/>
      <c r="AG26" s="3"/>
      <c r="AI26" s="3"/>
      <c r="AJ26" s="3"/>
      <c r="AK26" s="3"/>
      <c r="AM26" s="3"/>
      <c r="AN26" s="3"/>
      <c r="AO26" s="3"/>
      <c r="AQ26" s="3"/>
      <c r="AR26" s="3"/>
      <c r="AS26" s="3"/>
      <c r="AU26" s="3"/>
      <c r="AV26" s="3"/>
      <c r="AW26" s="3"/>
      <c r="AY26" s="3"/>
      <c r="AZ26" s="3"/>
      <c r="BA26" s="3"/>
      <c r="BC26" s="3"/>
      <c r="BD26" s="3"/>
      <c r="BE26" s="3"/>
      <c r="BG26" s="3"/>
      <c r="BH26" s="3"/>
      <c r="BI26" s="3"/>
      <c r="BK26" s="3"/>
      <c r="BL26" s="3"/>
      <c r="BM26" s="3"/>
      <c r="BO26" s="3"/>
      <c r="BP26" s="3"/>
      <c r="BQ26" s="3"/>
      <c r="BR26" s="5"/>
    </row>
    <row r="27" spans="1:70" x14ac:dyDescent="0.2">
      <c r="A27" t="s">
        <v>68</v>
      </c>
      <c r="C27" s="4">
        <v>0</v>
      </c>
      <c r="D27" s="4">
        <v>81</v>
      </c>
      <c r="E27" s="4">
        <f>D27-C27</f>
        <v>81</v>
      </c>
      <c r="F27" s="5"/>
      <c r="G27" s="4">
        <v>0</v>
      </c>
      <c r="H27" s="4">
        <v>90</v>
      </c>
      <c r="I27" s="4">
        <f>H27-G27</f>
        <v>90</v>
      </c>
      <c r="K27" s="4">
        <f>7+17+18</f>
        <v>42</v>
      </c>
      <c r="L27" s="4">
        <v>147</v>
      </c>
      <c r="M27" s="4">
        <f>L27-K27</f>
        <v>105</v>
      </c>
      <c r="O27" s="4">
        <f t="shared" si="2"/>
        <v>14</v>
      </c>
      <c r="P27" s="4">
        <f t="shared" si="3"/>
        <v>106</v>
      </c>
      <c r="Q27" s="4">
        <f t="shared" si="4"/>
        <v>92</v>
      </c>
      <c r="S27" s="4">
        <f>10+34+22</f>
        <v>66</v>
      </c>
      <c r="T27" s="4">
        <f>76+36+65</f>
        <v>177</v>
      </c>
      <c r="U27" s="4">
        <f>T27-S27</f>
        <v>111</v>
      </c>
      <c r="W27" s="4">
        <f>12+13+10</f>
        <v>35</v>
      </c>
      <c r="X27" s="4">
        <f>79+73+42</f>
        <v>194</v>
      </c>
      <c r="Y27" s="4">
        <f>X27-W27</f>
        <v>159</v>
      </c>
      <c r="AA27" s="4">
        <f>16+14+17</f>
        <v>47</v>
      </c>
      <c r="AB27" s="4">
        <f>123+108+72</f>
        <v>303</v>
      </c>
      <c r="AC27" s="4">
        <f>AB27-AA27</f>
        <v>256</v>
      </c>
      <c r="AE27" s="4">
        <f>((S27*30)+(W27*30)+(AA27*30))/90</f>
        <v>49.333333333333336</v>
      </c>
      <c r="AF27" s="4">
        <f>((T27*30)+(X27*30)+(AB27*30))/90</f>
        <v>224.66666666666666</v>
      </c>
      <c r="AG27" s="4">
        <f>AF27-AE27+0.25</f>
        <v>175.58333333333331</v>
      </c>
      <c r="AI27" s="3">
        <f>16+21+26</f>
        <v>63</v>
      </c>
      <c r="AJ27" s="3">
        <v>0</v>
      </c>
      <c r="AK27" s="3">
        <f>AJ27-AI27</f>
        <v>-63</v>
      </c>
      <c r="AM27" s="3">
        <f>20+23+33</f>
        <v>76</v>
      </c>
      <c r="AN27" s="3">
        <v>0</v>
      </c>
      <c r="AO27" s="3">
        <f>AN27-AM27</f>
        <v>-76</v>
      </c>
      <c r="AQ27" s="3">
        <f>42+31+40</f>
        <v>113</v>
      </c>
      <c r="AR27" s="3">
        <v>0</v>
      </c>
      <c r="AS27" s="3">
        <f>AR27-AQ27</f>
        <v>-113</v>
      </c>
      <c r="AU27" s="3">
        <f>((AI27*30)+(AM27*30)+(AQ27*30))/90</f>
        <v>84</v>
      </c>
      <c r="AV27" s="3">
        <f>((AJ27*30)+(AN27*30)+(AR27*30))/90</f>
        <v>0</v>
      </c>
      <c r="AW27" s="3">
        <f>AV27-AU27</f>
        <v>-84</v>
      </c>
      <c r="AY27" s="3">
        <f>69+43+49</f>
        <v>161</v>
      </c>
      <c r="AZ27" s="3">
        <v>0</v>
      </c>
      <c r="BA27" s="3">
        <f>AZ27-AY27</f>
        <v>-161</v>
      </c>
      <c r="BC27" s="3">
        <f>90+36+61</f>
        <v>187</v>
      </c>
      <c r="BD27" s="3">
        <v>0</v>
      </c>
      <c r="BE27" s="3">
        <f>BD27-BC27</f>
        <v>-187</v>
      </c>
      <c r="BG27" s="3">
        <v>0</v>
      </c>
      <c r="BH27" s="3">
        <v>0</v>
      </c>
      <c r="BI27" s="3">
        <f>BH27-BG27</f>
        <v>0</v>
      </c>
      <c r="BK27" s="3">
        <f>((AY27*30)+(BC27*30)+(BG27*30))/90</f>
        <v>116</v>
      </c>
      <c r="BL27" s="3">
        <f>((AZ27*30)+(BD27*30)+(BH27*30))/90</f>
        <v>0</v>
      </c>
      <c r="BM27" s="3">
        <f>BL27-BK27</f>
        <v>-116</v>
      </c>
      <c r="BN27" s="17"/>
      <c r="BO27" s="4">
        <f>ROUND((((C27*30)+(G27*30)+(K27*30)+(S27*30)+(W27*30)+(AA27*30))/180),0)</f>
        <v>32</v>
      </c>
      <c r="BP27" s="4">
        <f>ROUND((((D27*30)+(H27*30)+(L27*30)+(T27*30)+(X27*30)+(AB27*30))/180),0)</f>
        <v>165</v>
      </c>
      <c r="BQ27" s="4">
        <f>BP27-BO27</f>
        <v>133</v>
      </c>
      <c r="BR27" s="5"/>
    </row>
    <row r="28" spans="1:70" s="1" customFormat="1" x14ac:dyDescent="0.2">
      <c r="C28" s="10">
        <f>SUM(C9:C27)</f>
        <v>0</v>
      </c>
      <c r="D28" s="10">
        <f>SUM(D9:D27)</f>
        <v>3003</v>
      </c>
      <c r="E28" s="10">
        <f>SUM(E9:E27)</f>
        <v>3003</v>
      </c>
      <c r="F28" s="11"/>
      <c r="G28" s="10">
        <f>SUM(G9:G27)</f>
        <v>0</v>
      </c>
      <c r="H28" s="10">
        <f>SUM(H9:H27)</f>
        <v>3374</v>
      </c>
      <c r="I28" s="10">
        <f>SUM(I9:I27)</f>
        <v>3374</v>
      </c>
      <c r="K28" s="10">
        <f>SUM(K9:K27)</f>
        <v>1149</v>
      </c>
      <c r="L28" s="10">
        <f>SUM(L9:L27)</f>
        <v>3511</v>
      </c>
      <c r="M28" s="10">
        <f>SUM(M9:M27)</f>
        <v>2362</v>
      </c>
      <c r="O28" s="10">
        <f>SUM(O9:O27)</f>
        <v>384</v>
      </c>
      <c r="P28" s="10">
        <f>SUM(P9:P27)</f>
        <v>3296</v>
      </c>
      <c r="Q28" s="10">
        <f>SUM(Q9:Q27)</f>
        <v>2912</v>
      </c>
      <c r="S28" s="10">
        <f>SUM(S9:S27)</f>
        <v>1207</v>
      </c>
      <c r="T28" s="10">
        <f>SUM(T9:T27)</f>
        <v>3529</v>
      </c>
      <c r="U28" s="10">
        <f>SUM(U9:U27)</f>
        <v>2322</v>
      </c>
      <c r="W28" s="10">
        <f>SUM(W9:W27)</f>
        <v>1675</v>
      </c>
      <c r="X28" s="10">
        <f>SUM(X9:X27)</f>
        <v>3815</v>
      </c>
      <c r="Y28" s="10">
        <f>SUM(Y9:Y27)</f>
        <v>2140</v>
      </c>
      <c r="AA28" s="10">
        <f>SUM(AA9:AA27)</f>
        <v>2048</v>
      </c>
      <c r="AB28" s="10">
        <f>SUM(AB9:AB27)</f>
        <v>4992</v>
      </c>
      <c r="AC28" s="10">
        <f>SUM(AC9:AC27)</f>
        <v>2944</v>
      </c>
      <c r="AE28" s="10">
        <f>SUM(AE9:AE27)</f>
        <v>1643.3333333333333</v>
      </c>
      <c r="AF28" s="10">
        <f>SUM(AF9:AF27)</f>
        <v>4156.083333333333</v>
      </c>
      <c r="AG28" s="10">
        <f>SUM(AG9:AG27)</f>
        <v>2513.25</v>
      </c>
      <c r="AI28" s="10">
        <f>SUM(AI9:AI27)</f>
        <v>1997</v>
      </c>
      <c r="AJ28" s="10">
        <f>SUM(AJ9:AJ27)</f>
        <v>0</v>
      </c>
      <c r="AK28" s="10">
        <f>SUM(AK9:AK27)</f>
        <v>-1997</v>
      </c>
      <c r="AM28" s="10">
        <f>SUM(AM9:AM27)</f>
        <v>2107</v>
      </c>
      <c r="AN28" s="10">
        <f>SUM(AN9:AN27)</f>
        <v>0</v>
      </c>
      <c r="AO28" s="10">
        <f>SUM(AO9:AO27)</f>
        <v>-2107</v>
      </c>
      <c r="AQ28" s="10">
        <f>SUM(AQ9:AQ27)</f>
        <v>2547</v>
      </c>
      <c r="AR28" s="10">
        <f>SUM(AR9:AR27)</f>
        <v>0</v>
      </c>
      <c r="AS28" s="10">
        <f>SUM(AS9:AS27)</f>
        <v>-2547</v>
      </c>
      <c r="AU28" s="10">
        <f>SUM(AU9:AU27)</f>
        <v>2217.0000000000005</v>
      </c>
      <c r="AV28" s="10">
        <f>SUM(AV9:AV27)</f>
        <v>0</v>
      </c>
      <c r="AW28" s="10">
        <f>SUM(AW9:AW27)</f>
        <v>-2217.0000000000005</v>
      </c>
      <c r="AY28" s="10">
        <f>SUM(AY9:AY27)</f>
        <v>2511</v>
      </c>
      <c r="AZ28" s="10">
        <f>SUM(AZ9:AZ27)</f>
        <v>0</v>
      </c>
      <c r="BA28" s="10">
        <f>SUM(BA9:BA27)</f>
        <v>-2511</v>
      </c>
      <c r="BC28" s="10">
        <f>SUM(BC9:BC27)</f>
        <v>3484</v>
      </c>
      <c r="BD28" s="10">
        <f>SUM(BD9:BD27)</f>
        <v>0</v>
      </c>
      <c r="BE28" s="10">
        <f>SUM(BE9:BE27)</f>
        <v>-3484</v>
      </c>
      <c r="BG28" s="10">
        <f>SUM(BG9:BG27)</f>
        <v>2759</v>
      </c>
      <c r="BH28" s="10">
        <f>SUM(BH9:BH27)</f>
        <v>0</v>
      </c>
      <c r="BI28" s="10">
        <f>SUM(BI9:BI27)</f>
        <v>-2759</v>
      </c>
      <c r="BK28" s="10">
        <f>SUM(BK9:BK27)</f>
        <v>2918</v>
      </c>
      <c r="BL28" s="10">
        <f>SUM(BL9:BL27)</f>
        <v>0</v>
      </c>
      <c r="BM28" s="10">
        <f>SUM(BM9:BM27)</f>
        <v>-2918</v>
      </c>
      <c r="BO28" s="10">
        <f>SUM(BO9:BO27)</f>
        <v>1015</v>
      </c>
      <c r="BP28" s="10">
        <f>SUM(BP9:BP27)</f>
        <v>3704</v>
      </c>
      <c r="BQ28" s="10">
        <f>SUM(BQ9:BQ27)</f>
        <v>2689</v>
      </c>
      <c r="BR28" s="11">
        <f>BQ28/BP28</f>
        <v>0.72597192224622031</v>
      </c>
    </row>
  </sheetData>
  <mergeCells count="2">
    <mergeCell ref="O6:P6"/>
    <mergeCell ref="BO6:BP6"/>
  </mergeCells>
  <phoneticPr fontId="0" type="noConversion"/>
  <printOptions horizontalCentered="1"/>
  <pageMargins left="0.2" right="0.2" top="0.22" bottom="0.23" header="0.17" footer="0.19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32"/>
  <sheetViews>
    <sheetView workbookViewId="0">
      <pane xSplit="1" topLeftCell="O1" activePane="topRight" state="frozen"/>
      <selection activeCell="D4" sqref="D4"/>
      <selection pane="topRight"/>
    </sheetView>
  </sheetViews>
  <sheetFormatPr defaultRowHeight="12.75" x14ac:dyDescent="0.2"/>
  <cols>
    <col min="1" max="1" width="33.5703125" customWidth="1"/>
    <col min="2" max="2" width="10.42578125" hidden="1" customWidth="1"/>
    <col min="3" max="5" width="11.7109375" hidden="1" customWidth="1"/>
    <col min="6" max="6" width="2.28515625" hidden="1" customWidth="1"/>
    <col min="7" max="9" width="11.7109375" hidden="1" customWidth="1"/>
    <col min="10" max="10" width="2.28515625" hidden="1" customWidth="1"/>
    <col min="11" max="13" width="11.7109375" hidden="1" customWidth="1"/>
    <col min="14" max="14" width="2.28515625" hidden="1" customWidth="1"/>
    <col min="15" max="17" width="11.7109375" customWidth="1"/>
    <col min="18" max="18" width="2.28515625" customWidth="1"/>
    <col min="19" max="21" width="11.7109375" hidden="1" customWidth="1"/>
    <col min="22" max="22" width="2.28515625" hidden="1" customWidth="1"/>
    <col min="23" max="25" width="11.7109375" hidden="1" customWidth="1"/>
    <col min="26" max="26" width="2.28515625" hidden="1" customWidth="1"/>
    <col min="27" max="29" width="11.7109375" hidden="1" customWidth="1"/>
    <col min="30" max="30" width="2.28515625" hidden="1" customWidth="1"/>
    <col min="31" max="33" width="11.7109375" customWidth="1"/>
    <col min="34" max="34" width="2.28515625" customWidth="1"/>
    <col min="35" max="37" width="11.7109375" hidden="1" customWidth="1"/>
    <col min="38" max="38" width="2.28515625" hidden="1" customWidth="1"/>
    <col min="39" max="41" width="11.7109375" hidden="1" customWidth="1"/>
    <col min="42" max="42" width="2.28515625" hidden="1" customWidth="1"/>
    <col min="43" max="45" width="11.7109375" hidden="1" customWidth="1"/>
    <col min="46" max="46" width="2.28515625" hidden="1" customWidth="1"/>
    <col min="47" max="49" width="11.7109375" hidden="1" customWidth="1"/>
    <col min="50" max="50" width="2.28515625" hidden="1" customWidth="1"/>
    <col min="51" max="53" width="11.7109375" hidden="1" customWidth="1"/>
    <col min="54" max="54" width="2.28515625" hidden="1" customWidth="1"/>
    <col min="55" max="57" width="11.7109375" hidden="1" customWidth="1"/>
    <col min="58" max="58" width="2.28515625" hidden="1" customWidth="1"/>
    <col min="59" max="61" width="11.7109375" hidden="1" customWidth="1"/>
    <col min="62" max="62" width="2.28515625" hidden="1" customWidth="1"/>
    <col min="63" max="65" width="11.7109375" hidden="1" customWidth="1"/>
    <col min="66" max="66" width="2.140625" hidden="1" customWidth="1"/>
    <col min="67" max="67" width="11.140625" customWidth="1"/>
    <col min="68" max="69" width="11.7109375" customWidth="1"/>
    <col min="70" max="70" width="7.7109375" hidden="1" customWidth="1"/>
    <col min="71" max="71" width="9.7109375" customWidth="1"/>
  </cols>
  <sheetData>
    <row r="1" spans="1:72" x14ac:dyDescent="0.2">
      <c r="A1" s="1" t="s">
        <v>0</v>
      </c>
      <c r="B1" s="1"/>
    </row>
    <row r="2" spans="1:72" x14ac:dyDescent="0.2">
      <c r="A2" s="1" t="s">
        <v>54</v>
      </c>
      <c r="B2" s="1"/>
    </row>
    <row r="3" spans="1:72" x14ac:dyDescent="0.2">
      <c r="A3" s="1" t="s">
        <v>13</v>
      </c>
      <c r="B3" s="1"/>
    </row>
    <row r="6" spans="1:72" x14ac:dyDescent="0.2">
      <c r="A6" s="16" t="str">
        <f>'Year Over Year'!A6</f>
        <v>Number of Transactions Per Day</v>
      </c>
      <c r="B6" s="2"/>
      <c r="C6" s="2"/>
      <c r="D6" s="2"/>
      <c r="E6" s="2"/>
      <c r="F6" s="2"/>
      <c r="G6" s="2"/>
      <c r="H6" s="2"/>
      <c r="I6" s="2"/>
      <c r="K6" s="2"/>
      <c r="L6" s="2"/>
      <c r="M6" s="2"/>
      <c r="O6" s="22" t="s">
        <v>66</v>
      </c>
      <c r="P6" s="22"/>
      <c r="Q6" s="2"/>
      <c r="S6" s="2"/>
      <c r="T6" s="2"/>
      <c r="U6" s="2"/>
      <c r="W6" s="2"/>
      <c r="X6" s="2"/>
      <c r="Y6" s="2"/>
      <c r="AA6" s="2"/>
      <c r="AB6" s="2"/>
      <c r="AC6" s="2"/>
      <c r="AE6" s="2"/>
      <c r="AF6" s="2"/>
      <c r="AG6" s="2"/>
      <c r="AI6" s="2"/>
      <c r="AJ6" s="2"/>
      <c r="AK6" s="2"/>
      <c r="AM6" s="2"/>
      <c r="AN6" s="2"/>
      <c r="AO6" s="2"/>
      <c r="AQ6" s="2"/>
      <c r="AR6" s="2"/>
      <c r="AS6" s="2"/>
      <c r="AU6" s="2"/>
      <c r="AV6" s="2"/>
      <c r="AW6" s="2"/>
      <c r="AY6" s="2"/>
      <c r="AZ6" s="2"/>
      <c r="BA6" s="2"/>
      <c r="BC6" s="2"/>
      <c r="BD6" s="2"/>
      <c r="BE6" s="2"/>
      <c r="BG6" s="2"/>
      <c r="BH6" s="2"/>
      <c r="BI6" s="2"/>
      <c r="BK6" s="2"/>
      <c r="BL6" s="2"/>
      <c r="BM6" s="2"/>
      <c r="BO6" s="22" t="s">
        <v>66</v>
      </c>
      <c r="BP6" s="22"/>
      <c r="BQ6" s="2"/>
      <c r="BR6" s="2"/>
    </row>
    <row r="7" spans="1:72" ht="27" customHeight="1" x14ac:dyDescent="0.2">
      <c r="C7" s="12" t="s">
        <v>14</v>
      </c>
      <c r="D7" s="12" t="s">
        <v>15</v>
      </c>
      <c r="E7" s="7" t="s">
        <v>19</v>
      </c>
      <c r="F7" s="8"/>
      <c r="G7" s="12" t="s">
        <v>16</v>
      </c>
      <c r="H7" s="12" t="s">
        <v>17</v>
      </c>
      <c r="I7" s="7" t="s">
        <v>19</v>
      </c>
      <c r="J7" s="9"/>
      <c r="K7" s="12" t="s">
        <v>28</v>
      </c>
      <c r="L7" s="12" t="s">
        <v>29</v>
      </c>
      <c r="M7" s="7" t="s">
        <v>19</v>
      </c>
      <c r="N7" s="9"/>
      <c r="O7" s="12" t="s">
        <v>30</v>
      </c>
      <c r="P7" s="12" t="s">
        <v>31</v>
      </c>
      <c r="Q7" s="7" t="s">
        <v>19</v>
      </c>
      <c r="R7" s="9"/>
      <c r="S7" s="12" t="s">
        <v>32</v>
      </c>
      <c r="T7" s="12" t="s">
        <v>33</v>
      </c>
      <c r="U7" s="7" t="s">
        <v>19</v>
      </c>
      <c r="V7" s="9"/>
      <c r="W7" s="12" t="s">
        <v>34</v>
      </c>
      <c r="X7" s="12" t="s">
        <v>35</v>
      </c>
      <c r="Y7" s="7" t="s">
        <v>19</v>
      </c>
      <c r="Z7" s="9"/>
      <c r="AA7" s="12" t="s">
        <v>36</v>
      </c>
      <c r="AB7" s="12" t="s">
        <v>37</v>
      </c>
      <c r="AC7" s="7" t="s">
        <v>19</v>
      </c>
      <c r="AD7" s="9"/>
      <c r="AE7" s="12" t="s">
        <v>73</v>
      </c>
      <c r="AF7" s="12" t="s">
        <v>74</v>
      </c>
      <c r="AG7" s="7" t="s">
        <v>19</v>
      </c>
      <c r="AH7" s="9"/>
      <c r="AI7" s="12" t="s">
        <v>38</v>
      </c>
      <c r="AJ7" s="12" t="s">
        <v>39</v>
      </c>
      <c r="AK7" s="7" t="s">
        <v>19</v>
      </c>
      <c r="AL7" s="9"/>
      <c r="AM7" s="12" t="s">
        <v>40</v>
      </c>
      <c r="AN7" s="12" t="s">
        <v>41</v>
      </c>
      <c r="AO7" s="7" t="s">
        <v>19</v>
      </c>
      <c r="AP7" s="9"/>
      <c r="AQ7" s="12" t="s">
        <v>42</v>
      </c>
      <c r="AR7" s="12" t="s">
        <v>43</v>
      </c>
      <c r="AS7" s="7" t="s">
        <v>19</v>
      </c>
      <c r="AT7" s="9"/>
      <c r="AU7" s="12" t="s">
        <v>44</v>
      </c>
      <c r="AV7" s="12" t="s">
        <v>45</v>
      </c>
      <c r="AW7" s="7" t="s">
        <v>19</v>
      </c>
      <c r="AX7" s="9"/>
      <c r="AY7" s="12" t="s">
        <v>46</v>
      </c>
      <c r="AZ7" s="12" t="s">
        <v>47</v>
      </c>
      <c r="BA7" s="7" t="s">
        <v>19</v>
      </c>
      <c r="BB7" s="9"/>
      <c r="BC7" s="12" t="s">
        <v>48</v>
      </c>
      <c r="BD7" s="12" t="s">
        <v>49</v>
      </c>
      <c r="BE7" s="7" t="s">
        <v>19</v>
      </c>
      <c r="BF7" s="9"/>
      <c r="BG7" s="12" t="s">
        <v>50</v>
      </c>
      <c r="BH7" s="12" t="s">
        <v>51</v>
      </c>
      <c r="BI7" s="7" t="s">
        <v>19</v>
      </c>
      <c r="BJ7" s="9"/>
      <c r="BK7" s="12" t="s">
        <v>52</v>
      </c>
      <c r="BL7" s="12" t="s">
        <v>53</v>
      </c>
      <c r="BM7" s="7" t="s">
        <v>19</v>
      </c>
      <c r="BN7" s="9"/>
      <c r="BO7" s="12" t="s">
        <v>11</v>
      </c>
      <c r="BP7" s="12" t="s">
        <v>12</v>
      </c>
      <c r="BQ7" s="7" t="s">
        <v>19</v>
      </c>
      <c r="BR7" s="7" t="s">
        <v>4</v>
      </c>
      <c r="BT7" s="7" t="s">
        <v>18</v>
      </c>
    </row>
    <row r="8" spans="1:72" ht="12.75" customHeight="1" x14ac:dyDescent="0.2">
      <c r="A8" s="1" t="s">
        <v>56</v>
      </c>
      <c r="C8" s="18"/>
      <c r="D8" s="18"/>
      <c r="E8" s="8"/>
      <c r="F8" s="8"/>
      <c r="G8" s="18"/>
      <c r="H8" s="18"/>
      <c r="I8" s="8"/>
      <c r="J8" s="9"/>
      <c r="K8" s="18"/>
      <c r="L8" s="18"/>
      <c r="M8" s="8"/>
      <c r="N8" s="9"/>
      <c r="O8" s="18"/>
      <c r="P8" s="18"/>
      <c r="Q8" s="8"/>
      <c r="R8" s="9"/>
      <c r="S8" s="18"/>
      <c r="T8" s="18"/>
      <c r="U8" s="8"/>
      <c r="V8" s="9"/>
      <c r="W8" s="18"/>
      <c r="X8" s="18"/>
      <c r="Y8" s="8"/>
      <c r="Z8" s="9"/>
      <c r="AA8" s="18"/>
      <c r="AB8" s="18"/>
      <c r="AC8" s="8"/>
      <c r="AD8" s="9"/>
      <c r="AE8" s="18"/>
      <c r="AF8" s="18"/>
      <c r="AG8" s="8"/>
      <c r="AH8" s="9"/>
      <c r="AI8" s="18"/>
      <c r="AJ8" s="18"/>
      <c r="AK8" s="8"/>
      <c r="AL8" s="9"/>
      <c r="AM8" s="18"/>
      <c r="AN8" s="18"/>
      <c r="AO8" s="8"/>
      <c r="AP8" s="9"/>
      <c r="AQ8" s="18"/>
      <c r="AR8" s="18"/>
      <c r="AS8" s="8"/>
      <c r="AT8" s="9"/>
      <c r="AU8" s="18"/>
      <c r="AV8" s="18"/>
      <c r="AW8" s="8"/>
      <c r="AX8" s="9"/>
      <c r="AY8" s="18"/>
      <c r="AZ8" s="18"/>
      <c r="BA8" s="8"/>
      <c r="BB8" s="9"/>
      <c r="BC8" s="18"/>
      <c r="BD8" s="18"/>
      <c r="BE8" s="8"/>
      <c r="BF8" s="9"/>
      <c r="BG8" s="18"/>
      <c r="BH8" s="18"/>
      <c r="BI8" s="8"/>
      <c r="BJ8" s="9"/>
      <c r="BK8" s="18"/>
      <c r="BL8" s="18"/>
      <c r="BM8" s="8"/>
      <c r="BN8" s="9"/>
      <c r="BO8" s="18"/>
      <c r="BP8" s="18"/>
      <c r="BQ8" s="8"/>
      <c r="BR8" s="8"/>
      <c r="BT8" s="8"/>
    </row>
    <row r="9" spans="1:72" ht="12.75" customHeight="1" x14ac:dyDescent="0.2">
      <c r="A9" t="s">
        <v>57</v>
      </c>
      <c r="C9" s="3">
        <f>'Year Over Year'!D9</f>
        <v>7</v>
      </c>
      <c r="D9" s="13">
        <v>9</v>
      </c>
      <c r="E9" s="13">
        <f>-(D9-C9)</f>
        <v>-2</v>
      </c>
      <c r="F9" s="14"/>
      <c r="G9" s="3">
        <f>'Year Over Year'!H9</f>
        <v>6</v>
      </c>
      <c r="H9" s="13">
        <v>9</v>
      </c>
      <c r="I9" s="13">
        <f>-(H9-G9)</f>
        <v>-3</v>
      </c>
      <c r="K9" s="3">
        <f>'Year Over Year'!L9</f>
        <v>3</v>
      </c>
      <c r="L9" s="13">
        <v>9</v>
      </c>
      <c r="M9" s="13">
        <f>-(L9-K9)</f>
        <v>-6</v>
      </c>
      <c r="O9" s="3">
        <f t="shared" ref="O9:P11" si="0">ROUND((((C9*30)+(G9*30)+(K9*30))/90),0)</f>
        <v>5</v>
      </c>
      <c r="P9" s="3">
        <f t="shared" si="0"/>
        <v>9</v>
      </c>
      <c r="Q9" s="13">
        <f>-(P9-O9)</f>
        <v>-4</v>
      </c>
      <c r="S9" s="3">
        <f>'Year Over Year'!T9</f>
        <v>10</v>
      </c>
      <c r="T9" s="13">
        <f>$BT9</f>
        <v>9</v>
      </c>
      <c r="U9" s="13">
        <f>-(T9-S9)</f>
        <v>1</v>
      </c>
      <c r="W9" s="3">
        <f>'Year Over Year'!X9</f>
        <v>9</v>
      </c>
      <c r="X9" s="13">
        <f>$BT9</f>
        <v>9</v>
      </c>
      <c r="Y9" s="13">
        <f>-(X9-W9)</f>
        <v>0</v>
      </c>
      <c r="AA9" s="3">
        <f>'Year Over Year'!AB9</f>
        <v>12</v>
      </c>
      <c r="AB9" s="13">
        <f>$BT9</f>
        <v>9</v>
      </c>
      <c r="AC9" s="13">
        <f>-(AB9-AA9)</f>
        <v>3</v>
      </c>
      <c r="AE9" s="3">
        <f>'Year Over Year'!AF9</f>
        <v>10.333333333333334</v>
      </c>
      <c r="AF9" s="3">
        <f>((T9+X9+AB9)*30)/90</f>
        <v>9</v>
      </c>
      <c r="AG9" s="13">
        <f>-(AF9-AE9)</f>
        <v>1.3333333333333339</v>
      </c>
      <c r="AI9" s="3">
        <f>'Year Over Year'!AF9</f>
        <v>10.333333333333334</v>
      </c>
      <c r="AJ9" s="13">
        <f>$BT9</f>
        <v>9</v>
      </c>
      <c r="AK9" s="13">
        <f>-(AJ9-AI9)</f>
        <v>1.3333333333333339</v>
      </c>
      <c r="AM9" s="3">
        <f>'Year Over Year'!AN9</f>
        <v>0</v>
      </c>
      <c r="AN9" s="13">
        <f>$BT9</f>
        <v>9</v>
      </c>
      <c r="AO9" s="13">
        <f>-(AN9-AM9)</f>
        <v>-9</v>
      </c>
      <c r="AQ9" s="3">
        <f>'Year Over Year'!AR9</f>
        <v>0</v>
      </c>
      <c r="AR9" s="13">
        <f>$BT9</f>
        <v>9</v>
      </c>
      <c r="AS9" s="13">
        <f>-(AR9-AQ9)</f>
        <v>-9</v>
      </c>
      <c r="AU9" s="3">
        <f>AI9+AM9+AQ9</f>
        <v>10.333333333333334</v>
      </c>
      <c r="AV9" s="3">
        <f>AJ9+AN9+AR9</f>
        <v>27</v>
      </c>
      <c r="AW9" s="13">
        <f>-(AV9-AU9)</f>
        <v>-16.666666666666664</v>
      </c>
      <c r="AY9" s="3">
        <f>'Year Over Year'!AZ9</f>
        <v>0</v>
      </c>
      <c r="AZ9" s="13">
        <f>$BT9</f>
        <v>9</v>
      </c>
      <c r="BA9" s="13">
        <f>-(AZ9-AY9)</f>
        <v>-9</v>
      </c>
      <c r="BC9" s="3">
        <f>'Year Over Year'!BD9</f>
        <v>0</v>
      </c>
      <c r="BD9" s="13">
        <f>$BT9</f>
        <v>9</v>
      </c>
      <c r="BE9" s="13">
        <f>-(BD9-BC9)</f>
        <v>-9</v>
      </c>
      <c r="BG9" s="3">
        <f>'Year Over Year'!BH9</f>
        <v>0</v>
      </c>
      <c r="BH9" s="13">
        <f>$BT9</f>
        <v>9</v>
      </c>
      <c r="BI9" s="13">
        <f>-(BH9-BG9)</f>
        <v>-9</v>
      </c>
      <c r="BK9" s="3">
        <f>AY9+BC9+BG9</f>
        <v>0</v>
      </c>
      <c r="BL9" s="3">
        <f>AZ9+BD9+BH9</f>
        <v>27</v>
      </c>
      <c r="BM9" s="13">
        <f>-(BL9-BK9)</f>
        <v>-27</v>
      </c>
      <c r="BO9" s="13">
        <f>'Year Over Year'!BP9</f>
        <v>8</v>
      </c>
      <c r="BP9" s="13">
        <f>ROUND((((D9*30)+(H9*30)+(L9*30)+(T9*30))/120),0)</f>
        <v>9</v>
      </c>
      <c r="BQ9" s="13">
        <f>-(BP9-BO9)</f>
        <v>-1</v>
      </c>
      <c r="BR9" s="14">
        <f>BQ9/BP9</f>
        <v>-0.1111111111111111</v>
      </c>
      <c r="BT9" s="13">
        <v>9</v>
      </c>
    </row>
    <row r="10" spans="1:72" ht="12.75" hidden="1" customHeight="1" x14ac:dyDescent="0.2">
      <c r="A10" t="s">
        <v>58</v>
      </c>
      <c r="C10" s="3">
        <f>'Year Over Year'!D10</f>
        <v>0</v>
      </c>
      <c r="D10" s="13">
        <f>$BT10</f>
        <v>0</v>
      </c>
      <c r="E10" s="13">
        <f t="shared" ref="E10:E18" si="1">-(D10-C10)</f>
        <v>0</v>
      </c>
      <c r="F10" s="14"/>
      <c r="G10" s="3">
        <f>'Year Over Year'!H10</f>
        <v>0</v>
      </c>
      <c r="H10" s="13">
        <f>$BT10</f>
        <v>0</v>
      </c>
      <c r="I10" s="13">
        <f t="shared" ref="I10:I18" si="2">-(H10-G10)</f>
        <v>0</v>
      </c>
      <c r="K10" s="3">
        <f>'Year Over Year'!L10</f>
        <v>0</v>
      </c>
      <c r="L10" s="13">
        <f>$BT10</f>
        <v>0</v>
      </c>
      <c r="M10" s="13">
        <f t="shared" ref="M10:M18" si="3">-(L10-K10)</f>
        <v>0</v>
      </c>
      <c r="O10" s="3">
        <f t="shared" si="0"/>
        <v>0</v>
      </c>
      <c r="P10" s="3">
        <f t="shared" si="0"/>
        <v>0</v>
      </c>
      <c r="Q10" s="13">
        <f t="shared" ref="Q10:Q18" si="4">-(P10-O10)</f>
        <v>0</v>
      </c>
      <c r="S10" s="3">
        <f>'Year Over Year'!T10</f>
        <v>0</v>
      </c>
      <c r="T10" s="13">
        <f>$BT10</f>
        <v>0</v>
      </c>
      <c r="U10" s="13">
        <f t="shared" ref="U10:U18" si="5">-(T10-S10)</f>
        <v>0</v>
      </c>
      <c r="W10" s="3">
        <f>'Year Over Year'!X10</f>
        <v>0</v>
      </c>
      <c r="X10" s="13">
        <f>$BT10</f>
        <v>0</v>
      </c>
      <c r="Y10" s="13">
        <f t="shared" ref="Y10:Y18" si="6">-(X10-W10)</f>
        <v>0</v>
      </c>
      <c r="AA10" s="3">
        <f>'Year Over Year'!AB10</f>
        <v>0</v>
      </c>
      <c r="AB10" s="13">
        <f>$BT10</f>
        <v>0</v>
      </c>
      <c r="AC10" s="13">
        <f t="shared" ref="AC10:AC18" si="7">-(AB10-AA10)</f>
        <v>0</v>
      </c>
      <c r="AE10" s="3">
        <f>S10+W10+AA10</f>
        <v>0</v>
      </c>
      <c r="AF10" s="3">
        <f>T10+X10+AB10</f>
        <v>0</v>
      </c>
      <c r="AG10" s="13">
        <f t="shared" ref="AG10:AG18" si="8">-(AF10-AE10)</f>
        <v>0</v>
      </c>
      <c r="AI10" s="3">
        <f>'Year Over Year'!AF10</f>
        <v>0</v>
      </c>
      <c r="AJ10" s="13">
        <f>$BT10</f>
        <v>0</v>
      </c>
      <c r="AK10" s="13">
        <f t="shared" ref="AK10:AK18" si="9">-(AJ10-AI10)</f>
        <v>0</v>
      </c>
      <c r="AM10" s="3">
        <f>'Year Over Year'!AN10</f>
        <v>0</v>
      </c>
      <c r="AN10" s="13">
        <f>$BT10</f>
        <v>0</v>
      </c>
      <c r="AO10" s="13">
        <f t="shared" ref="AO10:AO18" si="10">-(AN10-AM10)</f>
        <v>0</v>
      </c>
      <c r="AQ10" s="3">
        <f>'Year Over Year'!AR10</f>
        <v>0</v>
      </c>
      <c r="AR10" s="13">
        <f>$BT10</f>
        <v>0</v>
      </c>
      <c r="AS10" s="13">
        <f t="shared" ref="AS10:AS18" si="11">-(AR10-AQ10)</f>
        <v>0</v>
      </c>
      <c r="AU10" s="3">
        <f t="shared" ref="AU10:AU27" si="12">AI10+AM10+AQ10</f>
        <v>0</v>
      </c>
      <c r="AV10" s="3">
        <f t="shared" ref="AV10:AV27" si="13">AJ10+AN10+AR10</f>
        <v>0</v>
      </c>
      <c r="AW10" s="13">
        <f t="shared" ref="AW10:AW18" si="14">-(AV10-AU10)</f>
        <v>0</v>
      </c>
      <c r="AY10" s="3">
        <f>'Year Over Year'!AZ10</f>
        <v>0</v>
      </c>
      <c r="AZ10" s="13">
        <f>$BT10</f>
        <v>0</v>
      </c>
      <c r="BA10" s="13">
        <f t="shared" ref="BA10:BA18" si="15">-(AZ10-AY10)</f>
        <v>0</v>
      </c>
      <c r="BC10" s="3">
        <f>'Year Over Year'!BD10</f>
        <v>0</v>
      </c>
      <c r="BD10" s="13">
        <f>$BT10</f>
        <v>0</v>
      </c>
      <c r="BE10" s="13">
        <f t="shared" ref="BE10:BE18" si="16">-(BD10-BC10)</f>
        <v>0</v>
      </c>
      <c r="BG10" s="3">
        <f>'Year Over Year'!BH10</f>
        <v>0</v>
      </c>
      <c r="BH10" s="13">
        <f>$BT10</f>
        <v>0</v>
      </c>
      <c r="BI10" s="13">
        <f t="shared" ref="BI10:BI18" si="17">-(BH10-BG10)</f>
        <v>0</v>
      </c>
      <c r="BK10" s="3">
        <f t="shared" ref="BK10:BK27" si="18">AY10+BC10+BG10</f>
        <v>0</v>
      </c>
      <c r="BL10" s="3">
        <f t="shared" ref="BL10:BL27" si="19">AZ10+BD10+BH10</f>
        <v>0</v>
      </c>
      <c r="BM10" s="13">
        <f t="shared" ref="BM10:BM18" si="20">-(BL10-BK10)</f>
        <v>0</v>
      </c>
      <c r="BO10" s="13">
        <f>ROUND((((C10*30)+(G10*30)+(K10*30))/90),0)</f>
        <v>0</v>
      </c>
      <c r="BP10" s="13">
        <f>ROUND((((D10*30)+(H10*30)+(L10*30))/90),0)</f>
        <v>0</v>
      </c>
      <c r="BQ10" s="13">
        <f t="shared" ref="BQ10:BQ24" si="21">-(BP10-BO10)</f>
        <v>0</v>
      </c>
      <c r="BR10" s="14">
        <v>0</v>
      </c>
      <c r="BT10" s="13">
        <v>0</v>
      </c>
    </row>
    <row r="11" spans="1:72" x14ac:dyDescent="0.2">
      <c r="A11" t="s">
        <v>59</v>
      </c>
      <c r="C11" s="3">
        <f>'Year Over Year'!D11</f>
        <v>196</v>
      </c>
      <c r="D11" s="13">
        <v>220</v>
      </c>
      <c r="E11" s="13">
        <f t="shared" si="1"/>
        <v>-24</v>
      </c>
      <c r="F11" s="14"/>
      <c r="G11" s="3">
        <f>'Year Over Year'!H11</f>
        <v>186</v>
      </c>
      <c r="H11" s="13">
        <v>220</v>
      </c>
      <c r="I11" s="13">
        <f t="shared" si="2"/>
        <v>-34</v>
      </c>
      <c r="K11" s="3">
        <f>'Year Over Year'!L11</f>
        <v>227</v>
      </c>
      <c r="L11" s="13">
        <v>220</v>
      </c>
      <c r="M11" s="13">
        <f t="shared" si="3"/>
        <v>7</v>
      </c>
      <c r="O11" s="3">
        <f t="shared" si="0"/>
        <v>203</v>
      </c>
      <c r="P11" s="3">
        <f t="shared" si="0"/>
        <v>220</v>
      </c>
      <c r="Q11" s="13">
        <f t="shared" si="4"/>
        <v>-17</v>
      </c>
      <c r="S11" s="3">
        <f>'Year Over Year'!T11</f>
        <v>196</v>
      </c>
      <c r="T11" s="13">
        <f t="shared" ref="T11:T27" si="22">$BT11</f>
        <v>220</v>
      </c>
      <c r="U11" s="13">
        <f t="shared" si="5"/>
        <v>-24</v>
      </c>
      <c r="W11" s="3">
        <f>'Year Over Year'!X11</f>
        <v>222</v>
      </c>
      <c r="X11" s="13">
        <f t="shared" ref="X11:X27" si="23">$BT11</f>
        <v>220</v>
      </c>
      <c r="Y11" s="13">
        <f t="shared" si="6"/>
        <v>2</v>
      </c>
      <c r="AA11" s="3">
        <f>'Year Over Year'!AB11</f>
        <v>272</v>
      </c>
      <c r="AB11" s="13">
        <f t="shared" ref="AB11:AB27" si="24">$BT11</f>
        <v>220</v>
      </c>
      <c r="AC11" s="13">
        <f t="shared" si="7"/>
        <v>52</v>
      </c>
      <c r="AE11" s="3">
        <f>'Year Over Year'!AF11</f>
        <v>230</v>
      </c>
      <c r="AF11" s="3">
        <f>((T11+X11+AB11)*30)/90</f>
        <v>220</v>
      </c>
      <c r="AG11" s="13">
        <f t="shared" si="8"/>
        <v>10</v>
      </c>
      <c r="AI11" s="3">
        <f>'Year Over Year'!AF11</f>
        <v>230</v>
      </c>
      <c r="AJ11" s="13">
        <f t="shared" ref="AJ11:AJ27" si="25">$BT11</f>
        <v>220</v>
      </c>
      <c r="AK11" s="13">
        <f t="shared" si="9"/>
        <v>10</v>
      </c>
      <c r="AM11" s="3">
        <f>'Year Over Year'!AN11</f>
        <v>0</v>
      </c>
      <c r="AN11" s="13">
        <f t="shared" ref="AN11:AN27" si="26">$BT11</f>
        <v>220</v>
      </c>
      <c r="AO11" s="13">
        <f t="shared" si="10"/>
        <v>-220</v>
      </c>
      <c r="AQ11" s="3">
        <f>'Year Over Year'!AR11</f>
        <v>0</v>
      </c>
      <c r="AR11" s="13">
        <f t="shared" ref="AR11:AR27" si="27">$BT11</f>
        <v>220</v>
      </c>
      <c r="AS11" s="13">
        <f t="shared" si="11"/>
        <v>-220</v>
      </c>
      <c r="AU11" s="3">
        <f t="shared" si="12"/>
        <v>230</v>
      </c>
      <c r="AV11" s="3">
        <f t="shared" si="13"/>
        <v>660</v>
      </c>
      <c r="AW11" s="13">
        <f t="shared" si="14"/>
        <v>-430</v>
      </c>
      <c r="AY11" s="3">
        <f>'Year Over Year'!AZ11</f>
        <v>0</v>
      </c>
      <c r="AZ11" s="13">
        <f t="shared" ref="AZ11:AZ27" si="28">$BT11</f>
        <v>220</v>
      </c>
      <c r="BA11" s="13">
        <f t="shared" si="15"/>
        <v>-220</v>
      </c>
      <c r="BC11" s="3">
        <f>'Year Over Year'!BD11</f>
        <v>0</v>
      </c>
      <c r="BD11" s="13">
        <f t="shared" ref="BD11:BD27" si="29">$BT11</f>
        <v>220</v>
      </c>
      <c r="BE11" s="13">
        <f t="shared" si="16"/>
        <v>-220</v>
      </c>
      <c r="BG11" s="3">
        <f>'Year Over Year'!BH11</f>
        <v>0</v>
      </c>
      <c r="BH11" s="13">
        <f t="shared" ref="BH11:BH27" si="30">$BT11</f>
        <v>220</v>
      </c>
      <c r="BI11" s="13">
        <f t="shared" si="17"/>
        <v>-220</v>
      </c>
      <c r="BK11" s="3">
        <f t="shared" si="18"/>
        <v>0</v>
      </c>
      <c r="BL11" s="3">
        <f t="shared" si="19"/>
        <v>660</v>
      </c>
      <c r="BM11" s="13">
        <f t="shared" si="20"/>
        <v>-660</v>
      </c>
      <c r="BO11" s="13">
        <f>'Year Over Year'!BP11</f>
        <v>217</v>
      </c>
      <c r="BP11" s="13">
        <f>ROUND((((D11*30)+(H11*30)+(L11*30)+(T11*30))/120),0)</f>
        <v>220</v>
      </c>
      <c r="BQ11" s="13">
        <f t="shared" si="21"/>
        <v>-3</v>
      </c>
      <c r="BR11" s="14">
        <f t="shared" ref="BR11:BR24" si="31">BQ11/BP11</f>
        <v>-1.3636363636363636E-2</v>
      </c>
      <c r="BT11" s="13">
        <v>220</v>
      </c>
    </row>
    <row r="12" spans="1:72" x14ac:dyDescent="0.2">
      <c r="C12" s="3"/>
      <c r="D12" s="13"/>
      <c r="E12" s="13"/>
      <c r="F12" s="14"/>
      <c r="G12" s="3"/>
      <c r="H12" s="13"/>
      <c r="I12" s="13"/>
      <c r="K12" s="3"/>
      <c r="L12" s="13"/>
      <c r="M12" s="13"/>
      <c r="O12" s="3"/>
      <c r="P12" s="3"/>
      <c r="Q12" s="13"/>
      <c r="S12" s="3"/>
      <c r="T12" s="13"/>
      <c r="U12" s="13"/>
      <c r="W12" s="3"/>
      <c r="X12" s="13"/>
      <c r="Y12" s="13"/>
      <c r="AA12" s="3"/>
      <c r="AB12" s="13"/>
      <c r="AC12" s="13"/>
      <c r="AE12" s="3"/>
      <c r="AF12" s="3"/>
      <c r="AG12" s="13"/>
      <c r="AI12" s="3"/>
      <c r="AJ12" s="13"/>
      <c r="AK12" s="13"/>
      <c r="AM12" s="3"/>
      <c r="AN12" s="13"/>
      <c r="AO12" s="13"/>
      <c r="AQ12" s="3"/>
      <c r="AR12" s="13"/>
      <c r="AS12" s="13"/>
      <c r="AU12" s="3"/>
      <c r="AV12" s="3"/>
      <c r="AW12" s="13"/>
      <c r="AY12" s="3"/>
      <c r="AZ12" s="13"/>
      <c r="BA12" s="13"/>
      <c r="BC12" s="3"/>
      <c r="BD12" s="13"/>
      <c r="BE12" s="13"/>
      <c r="BG12" s="3"/>
      <c r="BH12" s="13"/>
      <c r="BI12" s="13"/>
      <c r="BK12" s="3"/>
      <c r="BL12" s="3"/>
      <c r="BM12" s="13"/>
      <c r="BO12" s="13"/>
      <c r="BP12" s="13"/>
      <c r="BQ12" s="13"/>
      <c r="BR12" s="14"/>
      <c r="BT12" s="13"/>
    </row>
    <row r="13" spans="1:72" x14ac:dyDescent="0.2">
      <c r="A13" s="1" t="s">
        <v>60</v>
      </c>
      <c r="C13" s="3"/>
      <c r="D13" s="13"/>
      <c r="E13" s="13"/>
      <c r="F13" s="14"/>
      <c r="G13" s="3"/>
      <c r="H13" s="13"/>
      <c r="I13" s="13"/>
      <c r="K13" s="3"/>
      <c r="L13" s="13"/>
      <c r="M13" s="13"/>
      <c r="O13" s="3"/>
      <c r="P13" s="3"/>
      <c r="Q13" s="13"/>
      <c r="S13" s="3"/>
      <c r="T13" s="13"/>
      <c r="U13" s="13"/>
      <c r="W13" s="3"/>
      <c r="X13" s="13"/>
      <c r="Y13" s="13"/>
      <c r="AA13" s="3"/>
      <c r="AB13" s="13"/>
      <c r="AC13" s="13"/>
      <c r="AE13" s="3"/>
      <c r="AF13" s="3"/>
      <c r="AG13" s="13"/>
      <c r="AI13" s="3"/>
      <c r="AJ13" s="13"/>
      <c r="AK13" s="13"/>
      <c r="AM13" s="3"/>
      <c r="AN13" s="13"/>
      <c r="AO13" s="13"/>
      <c r="AQ13" s="3"/>
      <c r="AR13" s="13"/>
      <c r="AS13" s="13"/>
      <c r="AU13" s="3"/>
      <c r="AV13" s="3"/>
      <c r="AW13" s="13"/>
      <c r="AY13" s="3"/>
      <c r="AZ13" s="13"/>
      <c r="BA13" s="13"/>
      <c r="BC13" s="3"/>
      <c r="BD13" s="13"/>
      <c r="BE13" s="13"/>
      <c r="BG13" s="3"/>
      <c r="BH13" s="13"/>
      <c r="BI13" s="13"/>
      <c r="BK13" s="3"/>
      <c r="BL13" s="3"/>
      <c r="BM13" s="13"/>
      <c r="BO13" s="13"/>
      <c r="BP13" s="13"/>
      <c r="BQ13" s="13"/>
      <c r="BR13" s="14"/>
      <c r="BT13" s="13"/>
    </row>
    <row r="14" spans="1:72" x14ac:dyDescent="0.2">
      <c r="A14" t="s">
        <v>61</v>
      </c>
      <c r="C14" s="3">
        <f>'Year Over Year'!D14</f>
        <v>656</v>
      </c>
      <c r="D14" s="13">
        <v>660</v>
      </c>
      <c r="E14" s="13">
        <f t="shared" si="1"/>
        <v>-4</v>
      </c>
      <c r="F14" s="14"/>
      <c r="G14" s="3">
        <f>'Year Over Year'!H14</f>
        <v>906</v>
      </c>
      <c r="H14" s="13">
        <f>660*1.1</f>
        <v>726.00000000000011</v>
      </c>
      <c r="I14" s="13">
        <f t="shared" si="2"/>
        <v>179.99999999999989</v>
      </c>
      <c r="K14" s="3">
        <f>'Year Over Year'!L14</f>
        <v>912</v>
      </c>
      <c r="L14" s="13">
        <f>726*1.1</f>
        <v>798.6</v>
      </c>
      <c r="M14" s="13">
        <f t="shared" si="3"/>
        <v>113.39999999999998</v>
      </c>
      <c r="O14" s="3">
        <f t="shared" ref="O14:P18" si="32">ROUND((((C14*30)+(G14*30)+(K14*30))/90),0)</f>
        <v>825</v>
      </c>
      <c r="P14" s="3">
        <f t="shared" si="32"/>
        <v>728</v>
      </c>
      <c r="Q14" s="13">
        <f t="shared" si="4"/>
        <v>97</v>
      </c>
      <c r="S14" s="3">
        <f>'Year Over Year'!T14</f>
        <v>759</v>
      </c>
      <c r="T14" s="13">
        <f>799*1.1</f>
        <v>878.90000000000009</v>
      </c>
      <c r="U14" s="13">
        <f t="shared" si="5"/>
        <v>-119.90000000000009</v>
      </c>
      <c r="W14" s="3">
        <f>'Year Over Year'!X14</f>
        <v>880</v>
      </c>
      <c r="X14" s="13">
        <f>879*1.1</f>
        <v>966.90000000000009</v>
      </c>
      <c r="Y14" s="13">
        <f t="shared" si="6"/>
        <v>-86.900000000000091</v>
      </c>
      <c r="AA14" s="3">
        <f>'Year Over Year'!AB14</f>
        <v>1208</v>
      </c>
      <c r="AB14" s="13">
        <f>967*1.1</f>
        <v>1063.7</v>
      </c>
      <c r="AC14" s="13">
        <f t="shared" si="7"/>
        <v>144.29999999999995</v>
      </c>
      <c r="AE14" s="3">
        <f>'Year Over Year'!AF14</f>
        <v>949</v>
      </c>
      <c r="AF14" s="3">
        <f>((T14+X14+AB14)*30)/90</f>
        <v>969.83333333333337</v>
      </c>
      <c r="AG14" s="13">
        <f t="shared" si="8"/>
        <v>-20.833333333333371</v>
      </c>
      <c r="AI14" s="3">
        <f>'Year Over Year'!AF14</f>
        <v>949</v>
      </c>
      <c r="AJ14" s="13">
        <f>1064*1.1</f>
        <v>1170.4000000000001</v>
      </c>
      <c r="AK14" s="13">
        <f t="shared" si="9"/>
        <v>-221.40000000000009</v>
      </c>
      <c r="AM14" s="3">
        <f>'Year Over Year'!AN14</f>
        <v>0</v>
      </c>
      <c r="AN14" s="13">
        <f>1170*1.1</f>
        <v>1287</v>
      </c>
      <c r="AO14" s="13">
        <f t="shared" si="10"/>
        <v>-1287</v>
      </c>
      <c r="AQ14" s="3">
        <f>'Year Over Year'!AR14</f>
        <v>0</v>
      </c>
      <c r="AR14" s="13">
        <f>1287*1.1</f>
        <v>1415.7</v>
      </c>
      <c r="AS14" s="13">
        <f t="shared" si="11"/>
        <v>-1415.7</v>
      </c>
      <c r="AU14" s="3">
        <f t="shared" si="12"/>
        <v>949</v>
      </c>
      <c r="AV14" s="3">
        <f t="shared" si="13"/>
        <v>3873.1000000000004</v>
      </c>
      <c r="AW14" s="13">
        <f t="shared" si="14"/>
        <v>-2924.1000000000004</v>
      </c>
      <c r="AY14" s="3">
        <f>'Year Over Year'!AZ14</f>
        <v>0</v>
      </c>
      <c r="AZ14" s="13">
        <f>1416*1.1</f>
        <v>1557.6000000000001</v>
      </c>
      <c r="BA14" s="13">
        <f t="shared" si="15"/>
        <v>-1557.6000000000001</v>
      </c>
      <c r="BC14" s="3">
        <f>'Year Over Year'!BD14</f>
        <v>0</v>
      </c>
      <c r="BD14" s="13">
        <f>1558*1.1</f>
        <v>1713.8000000000002</v>
      </c>
      <c r="BE14" s="13">
        <f t="shared" si="16"/>
        <v>-1713.8000000000002</v>
      </c>
      <c r="BG14" s="3">
        <f>'Year Over Year'!BH14</f>
        <v>0</v>
      </c>
      <c r="BH14" s="13">
        <v>1883</v>
      </c>
      <c r="BI14" s="13">
        <f t="shared" si="17"/>
        <v>-1883</v>
      </c>
      <c r="BK14" s="3">
        <f t="shared" si="18"/>
        <v>0</v>
      </c>
      <c r="BL14" s="3">
        <f t="shared" si="19"/>
        <v>5154.4000000000005</v>
      </c>
      <c r="BM14" s="13">
        <f t="shared" si="20"/>
        <v>-5154.4000000000005</v>
      </c>
      <c r="BO14" s="13">
        <f>'Year Over Year'!BP14</f>
        <v>887</v>
      </c>
      <c r="BP14" s="13">
        <f>ROUND((((D14*30)+(H14*30)+(L14*30)+(T14*30))/120),0)</f>
        <v>766</v>
      </c>
      <c r="BQ14" s="13">
        <f t="shared" si="21"/>
        <v>121</v>
      </c>
      <c r="BR14" s="14">
        <v>0</v>
      </c>
      <c r="BT14" s="13">
        <v>1883</v>
      </c>
    </row>
    <row r="15" spans="1:72" x14ac:dyDescent="0.2">
      <c r="A15" t="s">
        <v>62</v>
      </c>
      <c r="C15" s="3">
        <f>'Year Over Year'!D15</f>
        <v>632</v>
      </c>
      <c r="D15" s="13">
        <f t="shared" ref="D15:D27" si="33">$BT15</f>
        <v>650</v>
      </c>
      <c r="E15" s="13">
        <f t="shared" si="1"/>
        <v>-18</v>
      </c>
      <c r="F15" s="14"/>
      <c r="G15" s="3">
        <f>'Year Over Year'!H15</f>
        <v>773</v>
      </c>
      <c r="H15" s="13">
        <f t="shared" ref="H15:H27" si="34">$BT15</f>
        <v>650</v>
      </c>
      <c r="I15" s="13">
        <f t="shared" si="2"/>
        <v>123</v>
      </c>
      <c r="K15" s="3">
        <f>'Year Over Year'!L15</f>
        <v>850</v>
      </c>
      <c r="L15" s="13">
        <f t="shared" ref="L15:L27" si="35">$BT15</f>
        <v>650</v>
      </c>
      <c r="M15" s="13">
        <f t="shared" si="3"/>
        <v>200</v>
      </c>
      <c r="O15" s="3">
        <f t="shared" si="32"/>
        <v>752</v>
      </c>
      <c r="P15" s="3">
        <f t="shared" si="32"/>
        <v>650</v>
      </c>
      <c r="Q15" s="13">
        <f t="shared" si="4"/>
        <v>102</v>
      </c>
      <c r="S15" s="3">
        <f>'Year Over Year'!T15</f>
        <v>873</v>
      </c>
      <c r="T15" s="13">
        <f t="shared" si="22"/>
        <v>650</v>
      </c>
      <c r="U15" s="13">
        <f t="shared" si="5"/>
        <v>223</v>
      </c>
      <c r="W15" s="3">
        <f>'Year Over Year'!X15</f>
        <v>858</v>
      </c>
      <c r="X15" s="13">
        <f t="shared" si="23"/>
        <v>650</v>
      </c>
      <c r="Y15" s="13">
        <f t="shared" si="6"/>
        <v>208</v>
      </c>
      <c r="AA15" s="3">
        <f>'Year Over Year'!AB15</f>
        <v>1086</v>
      </c>
      <c r="AB15" s="13">
        <f t="shared" si="24"/>
        <v>650</v>
      </c>
      <c r="AC15" s="13">
        <f t="shared" si="7"/>
        <v>436</v>
      </c>
      <c r="AE15" s="3">
        <f>'Year Over Year'!AF15</f>
        <v>939</v>
      </c>
      <c r="AF15" s="3">
        <f>((T15+X15+AB15)*30)/90</f>
        <v>650</v>
      </c>
      <c r="AG15" s="13">
        <f t="shared" si="8"/>
        <v>289</v>
      </c>
      <c r="AI15" s="3">
        <f>'Year Over Year'!AF15</f>
        <v>939</v>
      </c>
      <c r="AJ15" s="13">
        <f t="shared" si="25"/>
        <v>650</v>
      </c>
      <c r="AK15" s="13">
        <f t="shared" si="9"/>
        <v>289</v>
      </c>
      <c r="AM15" s="3">
        <f>'Year Over Year'!AN15</f>
        <v>0</v>
      </c>
      <c r="AN15" s="13">
        <f t="shared" si="26"/>
        <v>650</v>
      </c>
      <c r="AO15" s="13">
        <f t="shared" si="10"/>
        <v>-650</v>
      </c>
      <c r="AQ15" s="3">
        <f>'Year Over Year'!AR15</f>
        <v>0</v>
      </c>
      <c r="AR15" s="13">
        <f t="shared" si="27"/>
        <v>650</v>
      </c>
      <c r="AS15" s="13">
        <f t="shared" si="11"/>
        <v>-650</v>
      </c>
      <c r="AU15" s="3">
        <f t="shared" si="12"/>
        <v>939</v>
      </c>
      <c r="AV15" s="3">
        <f t="shared" si="13"/>
        <v>1950</v>
      </c>
      <c r="AW15" s="13">
        <f t="shared" si="14"/>
        <v>-1011</v>
      </c>
      <c r="AY15" s="3">
        <f>'Year Over Year'!AZ15</f>
        <v>0</v>
      </c>
      <c r="AZ15" s="13">
        <f t="shared" si="28"/>
        <v>650</v>
      </c>
      <c r="BA15" s="13">
        <f t="shared" si="15"/>
        <v>-650</v>
      </c>
      <c r="BC15" s="3">
        <f>'Year Over Year'!BD15</f>
        <v>0</v>
      </c>
      <c r="BD15" s="13">
        <f t="shared" si="29"/>
        <v>650</v>
      </c>
      <c r="BE15" s="13">
        <f t="shared" si="16"/>
        <v>-650</v>
      </c>
      <c r="BG15" s="3">
        <f>'Year Over Year'!BH15</f>
        <v>0</v>
      </c>
      <c r="BH15" s="13">
        <f t="shared" si="30"/>
        <v>650</v>
      </c>
      <c r="BI15" s="13">
        <f t="shared" si="17"/>
        <v>-650</v>
      </c>
      <c r="BK15" s="3">
        <f t="shared" si="18"/>
        <v>0</v>
      </c>
      <c r="BL15" s="3">
        <f t="shared" si="19"/>
        <v>1950</v>
      </c>
      <c r="BM15" s="13">
        <f t="shared" si="20"/>
        <v>-1950</v>
      </c>
      <c r="BO15" s="13">
        <f>'Year Over Year'!BP15</f>
        <v>845</v>
      </c>
      <c r="BP15" s="13">
        <f>ROUND((((D15*30)+(H15*30)+(L15*30)+(T15*30))/120),0)</f>
        <v>650</v>
      </c>
      <c r="BQ15" s="13">
        <f t="shared" si="21"/>
        <v>195</v>
      </c>
      <c r="BR15" s="14">
        <f t="shared" si="31"/>
        <v>0.3</v>
      </c>
      <c r="BT15" s="13">
        <v>650</v>
      </c>
    </row>
    <row r="16" spans="1:72" x14ac:dyDescent="0.2">
      <c r="A16" t="s">
        <v>63</v>
      </c>
      <c r="C16" s="3">
        <f>'Year Over Year'!D16</f>
        <v>453</v>
      </c>
      <c r="D16" s="13">
        <f t="shared" si="33"/>
        <v>440</v>
      </c>
      <c r="E16" s="13">
        <f t="shared" si="1"/>
        <v>13</v>
      </c>
      <c r="F16" s="14"/>
      <c r="G16" s="3">
        <f>'Year Over Year'!H16</f>
        <v>421</v>
      </c>
      <c r="H16" s="13">
        <f t="shared" si="34"/>
        <v>440</v>
      </c>
      <c r="I16" s="13">
        <f t="shared" si="2"/>
        <v>-19</v>
      </c>
      <c r="K16" s="3">
        <f>'Year Over Year'!L16</f>
        <v>413</v>
      </c>
      <c r="L16" s="13">
        <f t="shared" si="35"/>
        <v>440</v>
      </c>
      <c r="M16" s="13">
        <f t="shared" si="3"/>
        <v>-27</v>
      </c>
      <c r="O16" s="3">
        <f t="shared" si="32"/>
        <v>429</v>
      </c>
      <c r="P16" s="3">
        <f t="shared" si="32"/>
        <v>440</v>
      </c>
      <c r="Q16" s="13">
        <f t="shared" si="4"/>
        <v>-11</v>
      </c>
      <c r="S16" s="3">
        <f>'Year Over Year'!T16</f>
        <v>461</v>
      </c>
      <c r="T16" s="13">
        <f t="shared" si="22"/>
        <v>440</v>
      </c>
      <c r="U16" s="13">
        <f t="shared" si="5"/>
        <v>21</v>
      </c>
      <c r="W16" s="3">
        <f>'Year Over Year'!X16</f>
        <v>508</v>
      </c>
      <c r="X16" s="13">
        <f t="shared" si="23"/>
        <v>440</v>
      </c>
      <c r="Y16" s="13">
        <f t="shared" si="6"/>
        <v>68</v>
      </c>
      <c r="AA16" s="3">
        <f>'Year Over Year'!AB16</f>
        <v>515</v>
      </c>
      <c r="AB16" s="13">
        <f t="shared" si="24"/>
        <v>440</v>
      </c>
      <c r="AC16" s="13">
        <f t="shared" si="7"/>
        <v>75</v>
      </c>
      <c r="AE16" s="3">
        <f>'Year Over Year'!AF16</f>
        <v>494.66666666666669</v>
      </c>
      <c r="AF16" s="3">
        <f>((T16+X16+AB16)*30)/90</f>
        <v>440</v>
      </c>
      <c r="AG16" s="13">
        <f t="shared" si="8"/>
        <v>54.666666666666686</v>
      </c>
      <c r="AI16" s="3">
        <f>'Year Over Year'!AF16</f>
        <v>494.66666666666669</v>
      </c>
      <c r="AJ16" s="13">
        <f t="shared" si="25"/>
        <v>440</v>
      </c>
      <c r="AK16" s="13">
        <f t="shared" si="9"/>
        <v>54.666666666666686</v>
      </c>
      <c r="AM16" s="3">
        <f>'Year Over Year'!AN16</f>
        <v>0</v>
      </c>
      <c r="AN16" s="13">
        <f t="shared" si="26"/>
        <v>440</v>
      </c>
      <c r="AO16" s="13">
        <f t="shared" si="10"/>
        <v>-440</v>
      </c>
      <c r="AQ16" s="3">
        <f>'Year Over Year'!AR16</f>
        <v>0</v>
      </c>
      <c r="AR16" s="13">
        <f t="shared" si="27"/>
        <v>440</v>
      </c>
      <c r="AS16" s="13">
        <f t="shared" si="11"/>
        <v>-440</v>
      </c>
      <c r="AU16" s="3">
        <f t="shared" si="12"/>
        <v>494.66666666666669</v>
      </c>
      <c r="AV16" s="3">
        <f t="shared" si="13"/>
        <v>1320</v>
      </c>
      <c r="AW16" s="13">
        <f t="shared" si="14"/>
        <v>-825.33333333333326</v>
      </c>
      <c r="AY16" s="3">
        <f>'Year Over Year'!AZ16</f>
        <v>0</v>
      </c>
      <c r="AZ16" s="13">
        <f t="shared" si="28"/>
        <v>440</v>
      </c>
      <c r="BA16" s="13">
        <f t="shared" si="15"/>
        <v>-440</v>
      </c>
      <c r="BC16" s="3">
        <f>'Year Over Year'!BD16</f>
        <v>0</v>
      </c>
      <c r="BD16" s="13">
        <f t="shared" si="29"/>
        <v>440</v>
      </c>
      <c r="BE16" s="13">
        <f t="shared" si="16"/>
        <v>-440</v>
      </c>
      <c r="BG16" s="3">
        <f>'Year Over Year'!BH16</f>
        <v>0</v>
      </c>
      <c r="BH16" s="13">
        <f t="shared" si="30"/>
        <v>440</v>
      </c>
      <c r="BI16" s="13">
        <f t="shared" si="17"/>
        <v>-440</v>
      </c>
      <c r="BK16" s="3">
        <f t="shared" si="18"/>
        <v>0</v>
      </c>
      <c r="BL16" s="3">
        <f t="shared" si="19"/>
        <v>1320</v>
      </c>
      <c r="BM16" s="13">
        <f t="shared" si="20"/>
        <v>-1320</v>
      </c>
      <c r="BO16" s="13">
        <f>'Year Over Year'!BP16</f>
        <v>462</v>
      </c>
      <c r="BP16" s="13">
        <f>ROUND((((D16*30)+(H16*30)+(L16*30)+(T16*30))/120),0)</f>
        <v>440</v>
      </c>
      <c r="BQ16" s="13">
        <f t="shared" si="21"/>
        <v>22</v>
      </c>
      <c r="BR16" s="14">
        <f t="shared" si="31"/>
        <v>0.05</v>
      </c>
      <c r="BT16" s="13">
        <v>440</v>
      </c>
    </row>
    <row r="17" spans="1:72" x14ac:dyDescent="0.2">
      <c r="A17" t="s">
        <v>64</v>
      </c>
      <c r="C17" s="3">
        <f>'Year Over Year'!D17</f>
        <v>109</v>
      </c>
      <c r="D17" s="13">
        <f t="shared" si="33"/>
        <v>80</v>
      </c>
      <c r="E17" s="13">
        <f t="shared" si="1"/>
        <v>29</v>
      </c>
      <c r="F17" s="14"/>
      <c r="G17" s="3">
        <f>'Year Over Year'!H17</f>
        <v>84</v>
      </c>
      <c r="H17" s="13">
        <f t="shared" si="34"/>
        <v>80</v>
      </c>
      <c r="I17" s="13">
        <f t="shared" si="2"/>
        <v>4</v>
      </c>
      <c r="K17" s="3">
        <f>'Year Over Year'!L17</f>
        <v>79</v>
      </c>
      <c r="L17" s="13">
        <f t="shared" si="35"/>
        <v>80</v>
      </c>
      <c r="M17" s="13">
        <f t="shared" si="3"/>
        <v>-1</v>
      </c>
      <c r="O17" s="3">
        <f t="shared" si="32"/>
        <v>91</v>
      </c>
      <c r="P17" s="3">
        <f t="shared" si="32"/>
        <v>80</v>
      </c>
      <c r="Q17" s="13">
        <f t="shared" si="4"/>
        <v>11</v>
      </c>
      <c r="S17" s="3">
        <f>'Year Over Year'!T17</f>
        <v>73</v>
      </c>
      <c r="T17" s="13">
        <f t="shared" si="22"/>
        <v>80</v>
      </c>
      <c r="U17" s="13">
        <f t="shared" si="5"/>
        <v>-7</v>
      </c>
      <c r="W17" s="3">
        <f>'Year Over Year'!X17</f>
        <v>81</v>
      </c>
      <c r="X17" s="13">
        <f t="shared" si="23"/>
        <v>80</v>
      </c>
      <c r="Y17" s="13">
        <f t="shared" si="6"/>
        <v>1</v>
      </c>
      <c r="AA17" s="3">
        <f>'Year Over Year'!AB17</f>
        <v>109</v>
      </c>
      <c r="AB17" s="13">
        <f t="shared" si="24"/>
        <v>80</v>
      </c>
      <c r="AC17" s="13">
        <f t="shared" si="7"/>
        <v>29</v>
      </c>
      <c r="AE17" s="3">
        <f>'Year Over Year'!AF17</f>
        <v>131.75</v>
      </c>
      <c r="AF17" s="3">
        <f>((T17+X17+AB17)*30)/90</f>
        <v>80</v>
      </c>
      <c r="AG17" s="13">
        <f t="shared" si="8"/>
        <v>51.75</v>
      </c>
      <c r="AI17" s="3">
        <f>'Year Over Year'!AF17</f>
        <v>131.75</v>
      </c>
      <c r="AJ17" s="13">
        <f t="shared" si="25"/>
        <v>80</v>
      </c>
      <c r="AK17" s="13">
        <f t="shared" si="9"/>
        <v>51.75</v>
      </c>
      <c r="AM17" s="3">
        <f>'Year Over Year'!AN17</f>
        <v>0</v>
      </c>
      <c r="AN17" s="13">
        <f t="shared" si="26"/>
        <v>80</v>
      </c>
      <c r="AO17" s="13">
        <f t="shared" si="10"/>
        <v>-80</v>
      </c>
      <c r="AQ17" s="3">
        <f>'Year Over Year'!AR17</f>
        <v>0</v>
      </c>
      <c r="AR17" s="13">
        <f t="shared" si="27"/>
        <v>80</v>
      </c>
      <c r="AS17" s="13">
        <f t="shared" si="11"/>
        <v>-80</v>
      </c>
      <c r="AU17" s="3">
        <f t="shared" si="12"/>
        <v>131.75</v>
      </c>
      <c r="AV17" s="3">
        <f t="shared" si="13"/>
        <v>240</v>
      </c>
      <c r="AW17" s="13">
        <f t="shared" si="14"/>
        <v>-108.25</v>
      </c>
      <c r="AY17" s="3">
        <f>'Year Over Year'!AZ17</f>
        <v>0</v>
      </c>
      <c r="AZ17" s="13">
        <f t="shared" si="28"/>
        <v>80</v>
      </c>
      <c r="BA17" s="13">
        <f t="shared" si="15"/>
        <v>-80</v>
      </c>
      <c r="BC17" s="3">
        <f>'Year Over Year'!BD17</f>
        <v>0</v>
      </c>
      <c r="BD17" s="13">
        <f t="shared" si="29"/>
        <v>80</v>
      </c>
      <c r="BE17" s="13">
        <f t="shared" si="16"/>
        <v>-80</v>
      </c>
      <c r="BG17" s="3">
        <f>'Year Over Year'!BH17</f>
        <v>0</v>
      </c>
      <c r="BH17" s="13">
        <f t="shared" si="30"/>
        <v>80</v>
      </c>
      <c r="BI17" s="13">
        <f t="shared" si="17"/>
        <v>-80</v>
      </c>
      <c r="BK17" s="3">
        <f t="shared" si="18"/>
        <v>0</v>
      </c>
      <c r="BL17" s="3">
        <f t="shared" si="19"/>
        <v>240</v>
      </c>
      <c r="BM17" s="13">
        <f t="shared" si="20"/>
        <v>-240</v>
      </c>
      <c r="BO17" s="13">
        <f>'Year Over Year'!BP17</f>
        <v>89</v>
      </c>
      <c r="BP17" s="13">
        <f>ROUND((((D17*30)+(H17*30)+(L17*30)+(T17*30))/120),0)</f>
        <v>80</v>
      </c>
      <c r="BQ17" s="13">
        <f t="shared" si="21"/>
        <v>9</v>
      </c>
      <c r="BR17" s="14">
        <f t="shared" si="31"/>
        <v>0.1125</v>
      </c>
      <c r="BT17" s="13">
        <v>80</v>
      </c>
    </row>
    <row r="18" spans="1:72" x14ac:dyDescent="0.2">
      <c r="A18" t="s">
        <v>65</v>
      </c>
      <c r="C18" s="3">
        <f>'Year Over Year'!D18</f>
        <v>619</v>
      </c>
      <c r="D18" s="13">
        <f t="shared" si="33"/>
        <v>1136</v>
      </c>
      <c r="E18" s="13">
        <f t="shared" si="1"/>
        <v>-517</v>
      </c>
      <c r="F18" s="14"/>
      <c r="G18" s="3">
        <f>'Year Over Year'!H18</f>
        <v>586</v>
      </c>
      <c r="H18" s="13">
        <f t="shared" si="34"/>
        <v>1136</v>
      </c>
      <c r="I18" s="13">
        <f t="shared" si="2"/>
        <v>-550</v>
      </c>
      <c r="K18" s="3">
        <f>'Year Over Year'!L18</f>
        <v>566</v>
      </c>
      <c r="L18" s="13">
        <f t="shared" si="35"/>
        <v>1136</v>
      </c>
      <c r="M18" s="13">
        <f t="shared" si="3"/>
        <v>-570</v>
      </c>
      <c r="O18" s="3">
        <f t="shared" si="32"/>
        <v>590</v>
      </c>
      <c r="P18" s="3">
        <f t="shared" si="32"/>
        <v>1136</v>
      </c>
      <c r="Q18" s="13">
        <f t="shared" si="4"/>
        <v>-546</v>
      </c>
      <c r="S18" s="3">
        <f>'Year Over Year'!T18</f>
        <v>591</v>
      </c>
      <c r="T18" s="13">
        <f t="shared" si="22"/>
        <v>1136</v>
      </c>
      <c r="U18" s="13">
        <f t="shared" si="5"/>
        <v>-545</v>
      </c>
      <c r="W18" s="3">
        <f>'Year Over Year'!X18</f>
        <v>679</v>
      </c>
      <c r="X18" s="13">
        <f t="shared" si="23"/>
        <v>1136</v>
      </c>
      <c r="Y18" s="13">
        <f t="shared" si="6"/>
        <v>-457</v>
      </c>
      <c r="AA18" s="3">
        <f>'Year Over Year'!AB18</f>
        <v>825</v>
      </c>
      <c r="AB18" s="13">
        <f t="shared" si="24"/>
        <v>1136</v>
      </c>
      <c r="AC18" s="13">
        <f t="shared" si="7"/>
        <v>-311</v>
      </c>
      <c r="AE18" s="3">
        <f>'Year Over Year'!AF18</f>
        <v>698.33333333333337</v>
      </c>
      <c r="AF18" s="3">
        <f>((T18+X18+AB18)*30)/90</f>
        <v>1136</v>
      </c>
      <c r="AG18" s="13">
        <f t="shared" si="8"/>
        <v>-437.66666666666663</v>
      </c>
      <c r="AI18" s="3">
        <f>'Year Over Year'!AF18</f>
        <v>698.33333333333337</v>
      </c>
      <c r="AJ18" s="13">
        <f t="shared" si="25"/>
        <v>1136</v>
      </c>
      <c r="AK18" s="13">
        <f t="shared" si="9"/>
        <v>-437.66666666666663</v>
      </c>
      <c r="AM18" s="3">
        <f>'Year Over Year'!AN18</f>
        <v>0</v>
      </c>
      <c r="AN18" s="13">
        <f t="shared" si="26"/>
        <v>1136</v>
      </c>
      <c r="AO18" s="13">
        <f t="shared" si="10"/>
        <v>-1136</v>
      </c>
      <c r="AQ18" s="3">
        <f>'Year Over Year'!AR18</f>
        <v>0</v>
      </c>
      <c r="AR18" s="13">
        <f t="shared" si="27"/>
        <v>1136</v>
      </c>
      <c r="AS18" s="13">
        <f t="shared" si="11"/>
        <v>-1136</v>
      </c>
      <c r="AU18" s="3">
        <f t="shared" si="12"/>
        <v>698.33333333333337</v>
      </c>
      <c r="AV18" s="3">
        <f t="shared" si="13"/>
        <v>3408</v>
      </c>
      <c r="AW18" s="13">
        <f t="shared" si="14"/>
        <v>-2709.6666666666665</v>
      </c>
      <c r="AY18" s="3">
        <f>'Year Over Year'!AZ18</f>
        <v>0</v>
      </c>
      <c r="AZ18" s="13">
        <f t="shared" si="28"/>
        <v>1136</v>
      </c>
      <c r="BA18" s="13">
        <f t="shared" si="15"/>
        <v>-1136</v>
      </c>
      <c r="BC18" s="3">
        <f>'Year Over Year'!BD18</f>
        <v>0</v>
      </c>
      <c r="BD18" s="13">
        <f t="shared" si="29"/>
        <v>1136</v>
      </c>
      <c r="BE18" s="13">
        <f t="shared" si="16"/>
        <v>-1136</v>
      </c>
      <c r="BG18" s="3">
        <f>'Year Over Year'!BH18</f>
        <v>0</v>
      </c>
      <c r="BH18" s="13">
        <f t="shared" si="30"/>
        <v>1136</v>
      </c>
      <c r="BI18" s="13">
        <f t="shared" si="17"/>
        <v>-1136</v>
      </c>
      <c r="BK18" s="3">
        <f t="shared" si="18"/>
        <v>0</v>
      </c>
      <c r="BL18" s="3">
        <f t="shared" si="19"/>
        <v>3408</v>
      </c>
      <c r="BM18" s="13">
        <f t="shared" si="20"/>
        <v>-3408</v>
      </c>
      <c r="BO18" s="13">
        <f>'Year Over Year'!BP18</f>
        <v>644</v>
      </c>
      <c r="BP18" s="13">
        <f>ROUND((((D18*30)+(H18*30)+(L18*30)+(T18*30))/120),0)</f>
        <v>1136</v>
      </c>
      <c r="BQ18" s="13">
        <f>-(BP18-BO18)</f>
        <v>-492</v>
      </c>
      <c r="BR18" s="14"/>
      <c r="BT18" s="13">
        <v>1136</v>
      </c>
    </row>
    <row r="19" spans="1:72" x14ac:dyDescent="0.2">
      <c r="C19" s="3"/>
      <c r="D19" s="13"/>
      <c r="E19" s="13"/>
      <c r="F19" s="14"/>
      <c r="G19" s="3"/>
      <c r="H19" s="13"/>
      <c r="I19" s="13"/>
      <c r="K19" s="3"/>
      <c r="L19" s="13"/>
      <c r="M19" s="13"/>
      <c r="O19" s="3"/>
      <c r="P19" s="3"/>
      <c r="Q19" s="13"/>
      <c r="S19" s="3"/>
      <c r="T19" s="13"/>
      <c r="U19" s="13"/>
      <c r="W19" s="3"/>
      <c r="X19" s="13"/>
      <c r="Y19" s="13"/>
      <c r="AA19" s="3"/>
      <c r="AB19" s="13"/>
      <c r="AC19" s="13"/>
      <c r="AE19" s="3"/>
      <c r="AF19" s="3"/>
      <c r="AG19" s="13"/>
      <c r="AI19" s="3"/>
      <c r="AJ19" s="13"/>
      <c r="AK19" s="13"/>
      <c r="AM19" s="3"/>
      <c r="AN19" s="13"/>
      <c r="AO19" s="13"/>
      <c r="AQ19" s="3"/>
      <c r="AR19" s="13"/>
      <c r="AS19" s="13"/>
      <c r="AU19" s="3"/>
      <c r="AV19" s="3"/>
      <c r="AW19" s="13"/>
      <c r="AY19" s="3"/>
      <c r="AZ19" s="13"/>
      <c r="BA19" s="13"/>
      <c r="BC19" s="3"/>
      <c r="BD19" s="13"/>
      <c r="BE19" s="13"/>
      <c r="BG19" s="3"/>
      <c r="BH19" s="13"/>
      <c r="BI19" s="13"/>
      <c r="BK19" s="3"/>
      <c r="BL19" s="3"/>
      <c r="BM19" s="13"/>
      <c r="BO19" s="13"/>
      <c r="BP19" s="13"/>
      <c r="BQ19" s="13"/>
      <c r="BR19" s="14"/>
      <c r="BT19" s="13"/>
    </row>
    <row r="20" spans="1:72" x14ac:dyDescent="0.2">
      <c r="A20" s="1" t="s">
        <v>2</v>
      </c>
      <c r="C20" s="3"/>
      <c r="D20" s="13"/>
      <c r="E20" s="13"/>
      <c r="F20" s="14"/>
      <c r="G20" s="3"/>
      <c r="H20" s="13"/>
      <c r="I20" s="13"/>
      <c r="K20" s="3"/>
      <c r="L20" s="13"/>
      <c r="M20" s="13"/>
      <c r="O20" s="3"/>
      <c r="P20" s="3"/>
      <c r="Q20" s="13"/>
      <c r="S20" s="3"/>
      <c r="T20" s="13"/>
      <c r="U20" s="13"/>
      <c r="W20" s="3"/>
      <c r="X20" s="13"/>
      <c r="Y20" s="13"/>
      <c r="AA20" s="3"/>
      <c r="AB20" s="13"/>
      <c r="AC20" s="13"/>
      <c r="AE20" s="3"/>
      <c r="AF20" s="3"/>
      <c r="AG20" s="13"/>
      <c r="AI20" s="3"/>
      <c r="AJ20" s="13"/>
      <c r="AK20" s="13"/>
      <c r="AM20" s="3"/>
      <c r="AN20" s="13"/>
      <c r="AO20" s="13"/>
      <c r="AQ20" s="3"/>
      <c r="AR20" s="13"/>
      <c r="AS20" s="13"/>
      <c r="AU20" s="3"/>
      <c r="AV20" s="3"/>
      <c r="AW20" s="13"/>
      <c r="AY20" s="3"/>
      <c r="AZ20" s="13"/>
      <c r="BA20" s="13"/>
      <c r="BC20" s="3"/>
      <c r="BD20" s="13"/>
      <c r="BE20" s="13"/>
      <c r="BG20" s="3"/>
      <c r="BH20" s="13"/>
      <c r="BI20" s="13"/>
      <c r="BK20" s="3"/>
      <c r="BL20" s="3"/>
      <c r="BM20" s="13"/>
      <c r="BO20" s="13"/>
      <c r="BP20" s="13"/>
      <c r="BQ20" s="13"/>
      <c r="BR20" s="14"/>
      <c r="BT20" s="13"/>
    </row>
    <row r="21" spans="1:72" x14ac:dyDescent="0.2">
      <c r="A21" s="9" t="s">
        <v>7</v>
      </c>
      <c r="C21" s="3">
        <f>'Year Over Year'!D21</f>
        <v>0</v>
      </c>
      <c r="D21" s="13">
        <f t="shared" si="33"/>
        <v>20</v>
      </c>
      <c r="E21" s="13">
        <f>-(D21-C21)</f>
        <v>-20</v>
      </c>
      <c r="F21" s="14"/>
      <c r="G21" s="3">
        <f>'Year Over Year'!H21</f>
        <v>0</v>
      </c>
      <c r="H21" s="13">
        <f t="shared" si="34"/>
        <v>20</v>
      </c>
      <c r="I21" s="13">
        <f>-(H21-G21)</f>
        <v>-20</v>
      </c>
      <c r="K21" s="3">
        <f>'Year Over Year'!L21</f>
        <v>0</v>
      </c>
      <c r="L21" s="13">
        <f t="shared" si="35"/>
        <v>20</v>
      </c>
      <c r="M21" s="13">
        <f>-(L21-K21)</f>
        <v>-20</v>
      </c>
      <c r="O21" s="3">
        <f t="shared" ref="O21:P24" si="36">ROUND((((C21*30)+(G21*30)+(K21*30))/90),0)</f>
        <v>0</v>
      </c>
      <c r="P21" s="3">
        <f t="shared" si="36"/>
        <v>20</v>
      </c>
      <c r="Q21" s="13">
        <f>-(P21-O21)</f>
        <v>-20</v>
      </c>
      <c r="S21" s="3">
        <f>'Year Over Year'!T21</f>
        <v>0</v>
      </c>
      <c r="T21" s="13">
        <f t="shared" si="22"/>
        <v>20</v>
      </c>
      <c r="U21" s="13">
        <f>-(T21-S21)</f>
        <v>-20</v>
      </c>
      <c r="W21" s="3">
        <f>'Year Over Year'!X21</f>
        <v>0</v>
      </c>
      <c r="X21" s="13">
        <f t="shared" si="23"/>
        <v>20</v>
      </c>
      <c r="Y21" s="13">
        <f>-(X21-W21)</f>
        <v>-20</v>
      </c>
      <c r="AA21" s="3">
        <f>'Year Over Year'!AB21</f>
        <v>0</v>
      </c>
      <c r="AB21" s="13">
        <f t="shared" si="24"/>
        <v>20</v>
      </c>
      <c r="AC21" s="13">
        <f>-(AB21-AA21)</f>
        <v>-20</v>
      </c>
      <c r="AE21" s="3">
        <f>'Year Over Year'!AF21</f>
        <v>0</v>
      </c>
      <c r="AF21" s="3">
        <f>((T21+X21+AB21)*30)/90</f>
        <v>20</v>
      </c>
      <c r="AG21" s="13">
        <f>-(AF21-AE21)</f>
        <v>-20</v>
      </c>
      <c r="AI21" s="3">
        <f>'Year Over Year'!AF21</f>
        <v>0</v>
      </c>
      <c r="AJ21" s="13">
        <f t="shared" si="25"/>
        <v>20</v>
      </c>
      <c r="AK21" s="13">
        <f>-(AJ21-AI21)</f>
        <v>-20</v>
      </c>
      <c r="AM21" s="3">
        <f>'Year Over Year'!AN21</f>
        <v>0</v>
      </c>
      <c r="AN21" s="13">
        <f t="shared" si="26"/>
        <v>20</v>
      </c>
      <c r="AO21" s="13">
        <f>-(AN21-AM21)</f>
        <v>-20</v>
      </c>
      <c r="AQ21" s="3">
        <f>'Year Over Year'!AR21</f>
        <v>0</v>
      </c>
      <c r="AR21" s="13">
        <f t="shared" si="27"/>
        <v>20</v>
      </c>
      <c r="AS21" s="13">
        <f>-(AR21-AQ21)</f>
        <v>-20</v>
      </c>
      <c r="AU21" s="3">
        <f t="shared" si="12"/>
        <v>0</v>
      </c>
      <c r="AV21" s="3">
        <f t="shared" si="13"/>
        <v>60</v>
      </c>
      <c r="AW21" s="13">
        <f>-(AV21-AU21)</f>
        <v>-60</v>
      </c>
      <c r="AY21" s="3">
        <f>'Year Over Year'!AZ21</f>
        <v>0</v>
      </c>
      <c r="AZ21" s="13">
        <f t="shared" si="28"/>
        <v>20</v>
      </c>
      <c r="BA21" s="13">
        <f>-(AZ21-AY21)</f>
        <v>-20</v>
      </c>
      <c r="BC21" s="3">
        <f>'Year Over Year'!BD21</f>
        <v>0</v>
      </c>
      <c r="BD21" s="13">
        <f t="shared" si="29"/>
        <v>20</v>
      </c>
      <c r="BE21" s="13">
        <f>-(BD21-BC21)</f>
        <v>-20</v>
      </c>
      <c r="BG21" s="3">
        <f>'Year Over Year'!BH21</f>
        <v>0</v>
      </c>
      <c r="BH21" s="13">
        <f t="shared" si="30"/>
        <v>20</v>
      </c>
      <c r="BI21" s="13">
        <f>-(BH21-BG21)</f>
        <v>-20</v>
      </c>
      <c r="BK21" s="3">
        <f t="shared" si="18"/>
        <v>0</v>
      </c>
      <c r="BL21" s="3">
        <f t="shared" si="19"/>
        <v>60</v>
      </c>
      <c r="BM21" s="13">
        <f>-(BL21-BK21)</f>
        <v>-60</v>
      </c>
      <c r="BO21" s="13">
        <f>'Year Over Year'!BP21</f>
        <v>0</v>
      </c>
      <c r="BP21" s="13">
        <f>ROUND((((D21*30)+(H21*30)+(L21*30)+(T21*30))/120),0)</f>
        <v>20</v>
      </c>
      <c r="BQ21" s="13">
        <f t="shared" si="21"/>
        <v>-20</v>
      </c>
      <c r="BR21" s="14">
        <f t="shared" si="31"/>
        <v>-1</v>
      </c>
      <c r="BT21" s="13">
        <v>20</v>
      </c>
    </row>
    <row r="22" spans="1:72" x14ac:dyDescent="0.2">
      <c r="A22" s="9" t="s">
        <v>8</v>
      </c>
      <c r="C22" s="3">
        <f>'Year Over Year'!D22</f>
        <v>40</v>
      </c>
      <c r="D22" s="13">
        <f t="shared" si="33"/>
        <v>100</v>
      </c>
      <c r="E22" s="13">
        <f>-(D22-C22)</f>
        <v>-60</v>
      </c>
      <c r="F22" s="14"/>
      <c r="G22" s="3">
        <f>'Year Over Year'!H22</f>
        <v>42</v>
      </c>
      <c r="H22" s="13">
        <f t="shared" si="34"/>
        <v>100</v>
      </c>
      <c r="I22" s="13">
        <f>-(H22-G22)</f>
        <v>-58</v>
      </c>
      <c r="K22" s="3">
        <f>'Year Over Year'!L22</f>
        <v>68</v>
      </c>
      <c r="L22" s="13">
        <f t="shared" si="35"/>
        <v>100</v>
      </c>
      <c r="M22" s="13">
        <f>-(L22-K22)</f>
        <v>-32</v>
      </c>
      <c r="O22" s="3">
        <f t="shared" si="36"/>
        <v>50</v>
      </c>
      <c r="P22" s="3">
        <f t="shared" si="36"/>
        <v>100</v>
      </c>
      <c r="Q22" s="13">
        <f>-(P22-O22)</f>
        <v>-50</v>
      </c>
      <c r="S22" s="3">
        <f>'Year Over Year'!T22</f>
        <v>76</v>
      </c>
      <c r="T22" s="13">
        <f t="shared" si="22"/>
        <v>100</v>
      </c>
      <c r="U22" s="13">
        <f>-(T22-S22)</f>
        <v>-24</v>
      </c>
      <c r="W22" s="3">
        <f>'Year Over Year'!X22</f>
        <v>79</v>
      </c>
      <c r="X22" s="13">
        <f t="shared" si="23"/>
        <v>100</v>
      </c>
      <c r="Y22" s="13">
        <f>-(X22-W22)</f>
        <v>-21</v>
      </c>
      <c r="AA22" s="3">
        <f>'Year Over Year'!AB22</f>
        <v>123</v>
      </c>
      <c r="AB22" s="13">
        <f t="shared" si="24"/>
        <v>100</v>
      </c>
      <c r="AC22" s="13">
        <f>-(AB22-AA22)</f>
        <v>23</v>
      </c>
      <c r="AE22" s="3">
        <f>'Year Over Year'!AF22</f>
        <v>92.666666666666671</v>
      </c>
      <c r="AF22" s="3">
        <f>((T22+X22+AB22)*30)/90</f>
        <v>100</v>
      </c>
      <c r="AG22" s="13">
        <f>-(AF22-AE22)</f>
        <v>-7.3333333333333286</v>
      </c>
      <c r="AI22" s="3">
        <f>'Year Over Year'!AF22</f>
        <v>92.666666666666671</v>
      </c>
      <c r="AJ22" s="13">
        <f t="shared" si="25"/>
        <v>100</v>
      </c>
      <c r="AK22" s="13">
        <f>-(AJ22-AI22)</f>
        <v>-7.3333333333333286</v>
      </c>
      <c r="AM22" s="3">
        <f>'Year Over Year'!AN22</f>
        <v>0</v>
      </c>
      <c r="AN22" s="13">
        <f t="shared" si="26"/>
        <v>100</v>
      </c>
      <c r="AO22" s="13">
        <f>-(AN22-AM22)</f>
        <v>-100</v>
      </c>
      <c r="AQ22" s="3">
        <f>'Year Over Year'!AR22</f>
        <v>0</v>
      </c>
      <c r="AR22" s="13">
        <f t="shared" si="27"/>
        <v>100</v>
      </c>
      <c r="AS22" s="13">
        <f>-(AR22-AQ22)</f>
        <v>-100</v>
      </c>
      <c r="AU22" s="3">
        <f t="shared" si="12"/>
        <v>92.666666666666671</v>
      </c>
      <c r="AV22" s="3">
        <f t="shared" si="13"/>
        <v>300</v>
      </c>
      <c r="AW22" s="13">
        <f>-(AV22-AU22)</f>
        <v>-207.33333333333331</v>
      </c>
      <c r="AY22" s="3">
        <f>'Year Over Year'!AZ22</f>
        <v>0</v>
      </c>
      <c r="AZ22" s="13">
        <f t="shared" si="28"/>
        <v>100</v>
      </c>
      <c r="BA22" s="13">
        <f>-(AZ22-AY22)</f>
        <v>-100</v>
      </c>
      <c r="BC22" s="3">
        <f>'Year Over Year'!BD22</f>
        <v>0</v>
      </c>
      <c r="BD22" s="13">
        <f t="shared" si="29"/>
        <v>100</v>
      </c>
      <c r="BE22" s="13">
        <f>-(BD22-BC22)</f>
        <v>-100</v>
      </c>
      <c r="BG22" s="3">
        <f>'Year Over Year'!BH22</f>
        <v>0</v>
      </c>
      <c r="BH22" s="13">
        <f t="shared" si="30"/>
        <v>100</v>
      </c>
      <c r="BI22" s="13">
        <f>-(BH22-BG22)</f>
        <v>-100</v>
      </c>
      <c r="BK22" s="3">
        <f t="shared" si="18"/>
        <v>0</v>
      </c>
      <c r="BL22" s="3">
        <f t="shared" si="19"/>
        <v>300</v>
      </c>
      <c r="BM22" s="13">
        <f>-(BL22-BK22)</f>
        <v>-300</v>
      </c>
      <c r="BO22" s="13">
        <f>'Year Over Year'!BP22</f>
        <v>71</v>
      </c>
      <c r="BP22" s="13">
        <f>ROUND((((D22*30)+(H22*30)+(L22*30)+(T22*30))/120),0)</f>
        <v>100</v>
      </c>
      <c r="BQ22" s="13">
        <f t="shared" si="21"/>
        <v>-29</v>
      </c>
      <c r="BR22" s="14">
        <f t="shared" si="31"/>
        <v>-0.28999999999999998</v>
      </c>
      <c r="BT22" s="13">
        <v>100</v>
      </c>
    </row>
    <row r="23" spans="1:72" x14ac:dyDescent="0.2">
      <c r="A23" s="9" t="s">
        <v>9</v>
      </c>
      <c r="C23" s="3">
        <f>'Year Over Year'!D23</f>
        <v>71</v>
      </c>
      <c r="D23" s="13">
        <f t="shared" si="33"/>
        <v>130</v>
      </c>
      <c r="E23" s="13">
        <f>-(D23-C23)</f>
        <v>-59</v>
      </c>
      <c r="F23" s="14"/>
      <c r="G23" s="3">
        <f>'Year Over Year'!H23</f>
        <v>127</v>
      </c>
      <c r="H23" s="13">
        <f t="shared" si="34"/>
        <v>130</v>
      </c>
      <c r="I23" s="13">
        <f>-(H23-G23)</f>
        <v>-3</v>
      </c>
      <c r="K23" s="3">
        <f>'Year Over Year'!L23</f>
        <v>99</v>
      </c>
      <c r="L23" s="13">
        <f t="shared" si="35"/>
        <v>130</v>
      </c>
      <c r="M23" s="13">
        <f>-(L23-K23)</f>
        <v>-31</v>
      </c>
      <c r="O23" s="3">
        <f t="shared" si="36"/>
        <v>99</v>
      </c>
      <c r="P23" s="3">
        <f t="shared" si="36"/>
        <v>130</v>
      </c>
      <c r="Q23" s="13">
        <f>-(P23-O23)</f>
        <v>-31</v>
      </c>
      <c r="S23" s="3">
        <f>'Year Over Year'!T23</f>
        <v>106</v>
      </c>
      <c r="T23" s="13">
        <f t="shared" si="22"/>
        <v>130</v>
      </c>
      <c r="U23" s="13">
        <f>-(T23-S23)</f>
        <v>-24</v>
      </c>
      <c r="W23" s="3">
        <f>'Year Over Year'!X23</f>
        <v>114</v>
      </c>
      <c r="X23" s="13">
        <f t="shared" si="23"/>
        <v>130</v>
      </c>
      <c r="Y23" s="13">
        <f>-(X23-W23)</f>
        <v>-16</v>
      </c>
      <c r="AA23" s="3">
        <f>'Year Over Year'!AB23</f>
        <v>213</v>
      </c>
      <c r="AB23" s="13">
        <f t="shared" si="24"/>
        <v>130</v>
      </c>
      <c r="AC23" s="13">
        <f>-(AB23-AA23)</f>
        <v>83</v>
      </c>
      <c r="AE23" s="3">
        <f>'Year Over Year'!AF23</f>
        <v>144.33333333333334</v>
      </c>
      <c r="AF23" s="3">
        <f>((T23+X23+AB23)*30)/90</f>
        <v>130</v>
      </c>
      <c r="AG23" s="13">
        <f>-(AF23-AE23)</f>
        <v>14.333333333333343</v>
      </c>
      <c r="AI23" s="3">
        <f>'Year Over Year'!AF23</f>
        <v>144.33333333333334</v>
      </c>
      <c r="AJ23" s="13">
        <f t="shared" si="25"/>
        <v>130</v>
      </c>
      <c r="AK23" s="13">
        <f>-(AJ23-AI23)</f>
        <v>14.333333333333343</v>
      </c>
      <c r="AM23" s="3">
        <f>'Year Over Year'!AN23</f>
        <v>0</v>
      </c>
      <c r="AN23" s="13">
        <f t="shared" si="26"/>
        <v>130</v>
      </c>
      <c r="AO23" s="13">
        <f>-(AN23-AM23)</f>
        <v>-130</v>
      </c>
      <c r="AQ23" s="3">
        <f>'Year Over Year'!AR23</f>
        <v>0</v>
      </c>
      <c r="AR23" s="13">
        <f t="shared" si="27"/>
        <v>130</v>
      </c>
      <c r="AS23" s="13">
        <f>-(AR23-AQ23)</f>
        <v>-130</v>
      </c>
      <c r="AU23" s="3">
        <f t="shared" si="12"/>
        <v>144.33333333333334</v>
      </c>
      <c r="AV23" s="3">
        <f t="shared" si="13"/>
        <v>390</v>
      </c>
      <c r="AW23" s="13">
        <f>-(AV23-AU23)</f>
        <v>-245.66666666666666</v>
      </c>
      <c r="AY23" s="3">
        <f>'Year Over Year'!AZ23</f>
        <v>0</v>
      </c>
      <c r="AZ23" s="13">
        <f t="shared" si="28"/>
        <v>130</v>
      </c>
      <c r="BA23" s="13">
        <f>-(AZ23-AY23)</f>
        <v>-130</v>
      </c>
      <c r="BC23" s="3">
        <f>'Year Over Year'!BD23</f>
        <v>0</v>
      </c>
      <c r="BD23" s="13">
        <f t="shared" si="29"/>
        <v>130</v>
      </c>
      <c r="BE23" s="13">
        <f>-(BD23-BC23)</f>
        <v>-130</v>
      </c>
      <c r="BG23" s="3">
        <f>'Year Over Year'!BH23</f>
        <v>0</v>
      </c>
      <c r="BH23" s="13">
        <f t="shared" si="30"/>
        <v>130</v>
      </c>
      <c r="BI23" s="13">
        <f>-(BH23-BG23)</f>
        <v>-130</v>
      </c>
      <c r="BK23" s="3">
        <f t="shared" si="18"/>
        <v>0</v>
      </c>
      <c r="BL23" s="3">
        <f t="shared" si="19"/>
        <v>390</v>
      </c>
      <c r="BM23" s="13">
        <f>-(BL23-BK23)</f>
        <v>-390</v>
      </c>
      <c r="BO23" s="13">
        <f>'Year Over Year'!BP23</f>
        <v>122</v>
      </c>
      <c r="BP23" s="13">
        <f>ROUND((((D23*30)+(H23*30)+(L23*30)+(T23*30))/120),0)</f>
        <v>130</v>
      </c>
      <c r="BQ23" s="13">
        <f t="shared" si="21"/>
        <v>-8</v>
      </c>
      <c r="BR23" s="14">
        <f t="shared" si="31"/>
        <v>-6.1538461538461542E-2</v>
      </c>
      <c r="BT23" s="13">
        <v>130</v>
      </c>
    </row>
    <row r="24" spans="1:72" x14ac:dyDescent="0.2">
      <c r="A24" s="9" t="s">
        <v>10</v>
      </c>
      <c r="C24" s="3">
        <f>'Year Over Year'!D24</f>
        <v>139</v>
      </c>
      <c r="D24" s="13">
        <f t="shared" si="33"/>
        <v>250</v>
      </c>
      <c r="E24" s="13">
        <f>-(D24-C24)</f>
        <v>-111</v>
      </c>
      <c r="F24" s="14"/>
      <c r="G24" s="3">
        <f>'Year Over Year'!H24</f>
        <v>153</v>
      </c>
      <c r="H24" s="13">
        <f t="shared" si="34"/>
        <v>250</v>
      </c>
      <c r="I24" s="13">
        <f>-(H24-G24)</f>
        <v>-97</v>
      </c>
      <c r="K24" s="3">
        <f>'Year Over Year'!L24</f>
        <v>147</v>
      </c>
      <c r="L24" s="13">
        <f t="shared" si="35"/>
        <v>250</v>
      </c>
      <c r="M24" s="13">
        <f>-(L24-K24)</f>
        <v>-103</v>
      </c>
      <c r="O24" s="3">
        <f t="shared" si="36"/>
        <v>146</v>
      </c>
      <c r="P24" s="3">
        <f t="shared" si="36"/>
        <v>250</v>
      </c>
      <c r="Q24" s="13">
        <f>-(P24-O24)</f>
        <v>-104</v>
      </c>
      <c r="S24" s="3">
        <f>'Year Over Year'!T24</f>
        <v>207</v>
      </c>
      <c r="T24" s="13">
        <f t="shared" si="22"/>
        <v>250</v>
      </c>
      <c r="U24" s="13">
        <f>-(T24-S24)</f>
        <v>-43</v>
      </c>
      <c r="W24" s="3">
        <f>'Year Over Year'!X24</f>
        <v>191</v>
      </c>
      <c r="X24" s="13">
        <f t="shared" si="23"/>
        <v>250</v>
      </c>
      <c r="Y24" s="13">
        <f>-(X24-W24)</f>
        <v>-59</v>
      </c>
      <c r="AA24" s="3">
        <f>'Year Over Year'!AB24</f>
        <v>326</v>
      </c>
      <c r="AB24" s="13">
        <f t="shared" si="24"/>
        <v>250</v>
      </c>
      <c r="AC24" s="13">
        <f>-(AB24-AA24)</f>
        <v>76</v>
      </c>
      <c r="AE24" s="3">
        <f>'Year Over Year'!AF24</f>
        <v>241.33333333333334</v>
      </c>
      <c r="AF24" s="3">
        <f>((T24+X24+AB24)*30)/90</f>
        <v>250</v>
      </c>
      <c r="AG24" s="13">
        <f>-(AF24-AE24)</f>
        <v>-8.6666666666666572</v>
      </c>
      <c r="AI24" s="3">
        <f>'Year Over Year'!AF24</f>
        <v>241.33333333333334</v>
      </c>
      <c r="AJ24" s="13">
        <f t="shared" si="25"/>
        <v>250</v>
      </c>
      <c r="AK24" s="13">
        <f>-(AJ24-AI24)</f>
        <v>-8.6666666666666572</v>
      </c>
      <c r="AM24" s="3">
        <f>'Year Over Year'!AN24</f>
        <v>0</v>
      </c>
      <c r="AN24" s="13">
        <f t="shared" si="26"/>
        <v>250</v>
      </c>
      <c r="AO24" s="13">
        <f>-(AN24-AM24)</f>
        <v>-250</v>
      </c>
      <c r="AQ24" s="3">
        <f>'Year Over Year'!AR24</f>
        <v>0</v>
      </c>
      <c r="AR24" s="13">
        <f t="shared" si="27"/>
        <v>250</v>
      </c>
      <c r="AS24" s="13">
        <f>-(AR24-AQ24)</f>
        <v>-250</v>
      </c>
      <c r="AU24" s="3">
        <f t="shared" si="12"/>
        <v>241.33333333333334</v>
      </c>
      <c r="AV24" s="3">
        <f t="shared" si="13"/>
        <v>750</v>
      </c>
      <c r="AW24" s="13">
        <f>-(AV24-AU24)</f>
        <v>-508.66666666666663</v>
      </c>
      <c r="AY24" s="3">
        <f>'Year Over Year'!AZ24</f>
        <v>0</v>
      </c>
      <c r="AZ24" s="13">
        <f t="shared" si="28"/>
        <v>250</v>
      </c>
      <c r="BA24" s="13">
        <f>-(AZ24-AY24)</f>
        <v>-250</v>
      </c>
      <c r="BC24" s="3">
        <f>'Year Over Year'!BD24</f>
        <v>0</v>
      </c>
      <c r="BD24" s="13">
        <f t="shared" si="29"/>
        <v>250</v>
      </c>
      <c r="BE24" s="13">
        <f>-(BD24-BC24)</f>
        <v>-250</v>
      </c>
      <c r="BG24" s="3">
        <f>'Year Over Year'!BH24</f>
        <v>0</v>
      </c>
      <c r="BH24" s="13">
        <f t="shared" si="30"/>
        <v>250</v>
      </c>
      <c r="BI24" s="13">
        <f>-(BH24-BG24)</f>
        <v>-250</v>
      </c>
      <c r="BK24" s="3">
        <f t="shared" si="18"/>
        <v>0</v>
      </c>
      <c r="BL24" s="3">
        <f t="shared" si="19"/>
        <v>750</v>
      </c>
      <c r="BM24" s="13">
        <f>-(BL24-BK24)</f>
        <v>-750</v>
      </c>
      <c r="BO24" s="13">
        <f>'Year Over Year'!BP24</f>
        <v>194</v>
      </c>
      <c r="BP24" s="13">
        <f>ROUND((((D24*30)+(H24*30)+(L24*30)+(T24*30))/120),0)</f>
        <v>250</v>
      </c>
      <c r="BQ24" s="13">
        <f t="shared" si="21"/>
        <v>-56</v>
      </c>
      <c r="BR24" s="14">
        <f t="shared" si="31"/>
        <v>-0.224</v>
      </c>
      <c r="BT24" s="13">
        <v>250</v>
      </c>
    </row>
    <row r="25" spans="1:72" x14ac:dyDescent="0.2">
      <c r="A25" s="9"/>
      <c r="C25" s="3"/>
      <c r="D25" s="13"/>
      <c r="E25" s="13"/>
      <c r="F25" s="14"/>
      <c r="G25" s="3"/>
      <c r="H25" s="13"/>
      <c r="I25" s="13"/>
      <c r="K25" s="3"/>
      <c r="L25" s="13"/>
      <c r="M25" s="13"/>
      <c r="O25" s="3"/>
      <c r="P25" s="3"/>
      <c r="Q25" s="13"/>
      <c r="S25" s="3"/>
      <c r="T25" s="13"/>
      <c r="U25" s="13"/>
      <c r="W25" s="3"/>
      <c r="X25" s="13"/>
      <c r="Y25" s="13"/>
      <c r="AA25" s="3"/>
      <c r="AB25" s="13"/>
      <c r="AC25" s="13"/>
      <c r="AE25" s="3"/>
      <c r="AF25" s="3"/>
      <c r="AG25" s="13"/>
      <c r="AI25" s="3"/>
      <c r="AJ25" s="13"/>
      <c r="AK25" s="13"/>
      <c r="AM25" s="3"/>
      <c r="AN25" s="13"/>
      <c r="AO25" s="13"/>
      <c r="AQ25" s="3"/>
      <c r="AR25" s="13"/>
      <c r="AS25" s="13"/>
      <c r="AU25" s="3"/>
      <c r="AV25" s="3"/>
      <c r="AW25" s="13"/>
      <c r="AY25" s="3"/>
      <c r="AZ25" s="13"/>
      <c r="BA25" s="13"/>
      <c r="BC25" s="3"/>
      <c r="BD25" s="13"/>
      <c r="BE25" s="13"/>
      <c r="BG25" s="3"/>
      <c r="BH25" s="13"/>
      <c r="BI25" s="13"/>
      <c r="BK25" s="3"/>
      <c r="BL25" s="3"/>
      <c r="BM25" s="13"/>
      <c r="BO25" s="13"/>
      <c r="BP25" s="13"/>
      <c r="BQ25" s="13"/>
      <c r="BR25" s="14"/>
      <c r="BT25" s="13"/>
    </row>
    <row r="26" spans="1:72" x14ac:dyDescent="0.2">
      <c r="A26" s="1" t="s">
        <v>3</v>
      </c>
      <c r="C26" s="3"/>
      <c r="D26" s="13"/>
      <c r="E26" s="13"/>
      <c r="F26" s="14"/>
      <c r="G26" s="3"/>
      <c r="H26" s="13"/>
      <c r="I26" s="13"/>
      <c r="K26" s="3"/>
      <c r="L26" s="13"/>
      <c r="M26" s="13"/>
      <c r="O26" s="3"/>
      <c r="P26" s="3"/>
      <c r="Q26" s="13"/>
      <c r="S26" s="3"/>
      <c r="T26" s="13"/>
      <c r="U26" s="13"/>
      <c r="W26" s="3"/>
      <c r="X26" s="13"/>
      <c r="Y26" s="13"/>
      <c r="AA26" s="3">
        <f>'Year Over Year'!AB26</f>
        <v>0</v>
      </c>
      <c r="AB26" s="13">
        <f t="shared" si="24"/>
        <v>0</v>
      </c>
      <c r="AC26" s="13"/>
      <c r="AE26" s="3"/>
      <c r="AF26" s="3"/>
      <c r="AG26" s="13"/>
      <c r="AI26" s="3">
        <f>'Year Over Year'!AF26</f>
        <v>0</v>
      </c>
      <c r="AJ26" s="13">
        <f t="shared" si="25"/>
        <v>0</v>
      </c>
      <c r="AK26" s="13"/>
      <c r="AM26" s="3">
        <f>'Year Over Year'!AN26</f>
        <v>0</v>
      </c>
      <c r="AN26" s="13">
        <f t="shared" si="26"/>
        <v>0</v>
      </c>
      <c r="AO26" s="13"/>
      <c r="AQ26" s="3">
        <f>'Year Over Year'!AR26</f>
        <v>0</v>
      </c>
      <c r="AR26" s="13">
        <f t="shared" si="27"/>
        <v>0</v>
      </c>
      <c r="AS26" s="13"/>
      <c r="AU26" s="3">
        <f t="shared" si="12"/>
        <v>0</v>
      </c>
      <c r="AV26" s="3">
        <f t="shared" si="13"/>
        <v>0</v>
      </c>
      <c r="AW26" s="13"/>
      <c r="AY26" s="3">
        <f>'Year Over Year'!AZ26</f>
        <v>0</v>
      </c>
      <c r="AZ26" s="13">
        <f t="shared" si="28"/>
        <v>0</v>
      </c>
      <c r="BA26" s="13"/>
      <c r="BC26" s="3">
        <f>'Year Over Year'!BD26</f>
        <v>0</v>
      </c>
      <c r="BD26" s="13">
        <f t="shared" si="29"/>
        <v>0</v>
      </c>
      <c r="BE26" s="13"/>
      <c r="BG26" s="3">
        <f>'Year Over Year'!BH26</f>
        <v>0</v>
      </c>
      <c r="BH26" s="13">
        <f t="shared" si="30"/>
        <v>0</v>
      </c>
      <c r="BI26" s="13"/>
      <c r="BK26" s="3">
        <f t="shared" si="18"/>
        <v>0</v>
      </c>
      <c r="BL26" s="3">
        <f t="shared" si="19"/>
        <v>0</v>
      </c>
      <c r="BM26" s="13"/>
      <c r="BO26" s="13"/>
      <c r="BP26" s="13"/>
      <c r="BQ26" s="13"/>
      <c r="BR26" s="14"/>
      <c r="BT26" s="13"/>
    </row>
    <row r="27" spans="1:72" x14ac:dyDescent="0.2">
      <c r="A27" t="s">
        <v>67</v>
      </c>
      <c r="C27" s="4">
        <f>'Year Over Year'!D27</f>
        <v>81</v>
      </c>
      <c r="D27" s="15">
        <f t="shared" si="33"/>
        <v>100</v>
      </c>
      <c r="E27" s="15">
        <f>-(D27-C27)</f>
        <v>-19</v>
      </c>
      <c r="F27" s="14"/>
      <c r="G27" s="4">
        <f>'Year Over Year'!H27</f>
        <v>90</v>
      </c>
      <c r="H27" s="15">
        <f t="shared" si="34"/>
        <v>100</v>
      </c>
      <c r="I27" s="15">
        <f>-(H27-G27)</f>
        <v>-10</v>
      </c>
      <c r="K27" s="4">
        <f>'Year Over Year'!L27</f>
        <v>147</v>
      </c>
      <c r="L27" s="15">
        <f t="shared" si="35"/>
        <v>100</v>
      </c>
      <c r="M27" s="15">
        <f>-(L27-K27)</f>
        <v>47</v>
      </c>
      <c r="O27" s="4">
        <f>ROUND((((C27*30)+(G27*30)+(K27*30))/90),0)</f>
        <v>106</v>
      </c>
      <c r="P27" s="4">
        <f>ROUND((((D27*30)+(H27*30)+(L27*30))/90),0)</f>
        <v>100</v>
      </c>
      <c r="Q27" s="15">
        <f>-(P27-O27)</f>
        <v>6</v>
      </c>
      <c r="S27" s="4">
        <f>'Year Over Year'!T27</f>
        <v>177</v>
      </c>
      <c r="T27" s="15">
        <f t="shared" si="22"/>
        <v>100</v>
      </c>
      <c r="U27" s="15">
        <f>-(T27-S27)</f>
        <v>77</v>
      </c>
      <c r="W27" s="4">
        <f>'Year Over Year'!X27</f>
        <v>194</v>
      </c>
      <c r="X27" s="15">
        <f t="shared" si="23"/>
        <v>100</v>
      </c>
      <c r="Y27" s="15">
        <f>-(X27-W27)</f>
        <v>94</v>
      </c>
      <c r="AA27" s="4">
        <f>'Year Over Year'!AB27</f>
        <v>303</v>
      </c>
      <c r="AB27" s="15">
        <f t="shared" si="24"/>
        <v>100</v>
      </c>
      <c r="AC27" s="13">
        <f>-(AB27-AA27)</f>
        <v>203</v>
      </c>
      <c r="AE27" s="4">
        <f>'Year Over Year'!AF27</f>
        <v>224.66666666666666</v>
      </c>
      <c r="AF27" s="4">
        <f>((T27+X27+AB27)*30)/90</f>
        <v>100</v>
      </c>
      <c r="AG27" s="15">
        <f>-(AF27-AE27)</f>
        <v>124.66666666666666</v>
      </c>
      <c r="AI27" s="3">
        <f>'Year Over Year'!AF27</f>
        <v>224.66666666666666</v>
      </c>
      <c r="AJ27" s="13">
        <f t="shared" si="25"/>
        <v>100</v>
      </c>
      <c r="AK27" s="13">
        <f>-(AJ27-AI27)</f>
        <v>124.66666666666666</v>
      </c>
      <c r="AM27" s="3">
        <f>'Year Over Year'!AN27</f>
        <v>0</v>
      </c>
      <c r="AN27" s="13">
        <f t="shared" si="26"/>
        <v>100</v>
      </c>
      <c r="AO27" s="13">
        <f>-(AN27-AM27)</f>
        <v>-100</v>
      </c>
      <c r="AQ27" s="3">
        <f>'Year Over Year'!AR27</f>
        <v>0</v>
      </c>
      <c r="AR27" s="13">
        <f t="shared" si="27"/>
        <v>100</v>
      </c>
      <c r="AS27" s="13">
        <f>-(AR27-AQ27)</f>
        <v>-100</v>
      </c>
      <c r="AU27" s="3">
        <f t="shared" si="12"/>
        <v>224.66666666666666</v>
      </c>
      <c r="AV27" s="3">
        <f t="shared" si="13"/>
        <v>300</v>
      </c>
      <c r="AW27" s="13">
        <f>-(AV27-AU27)</f>
        <v>-75.333333333333343</v>
      </c>
      <c r="AY27" s="3">
        <f>'Year Over Year'!AZ27</f>
        <v>0</v>
      </c>
      <c r="AZ27" s="13">
        <f t="shared" si="28"/>
        <v>100</v>
      </c>
      <c r="BA27" s="13">
        <f>-(AZ27-AY27)</f>
        <v>-100</v>
      </c>
      <c r="BC27" s="3">
        <f>'Year Over Year'!BD27</f>
        <v>0</v>
      </c>
      <c r="BD27" s="13">
        <f t="shared" si="29"/>
        <v>100</v>
      </c>
      <c r="BE27" s="13">
        <f>-(BD27-BC27)</f>
        <v>-100</v>
      </c>
      <c r="BG27" s="3">
        <f>'Year Over Year'!BH27</f>
        <v>0</v>
      </c>
      <c r="BH27" s="13">
        <f t="shared" si="30"/>
        <v>100</v>
      </c>
      <c r="BI27" s="13">
        <f>-(BH27-BG27)</f>
        <v>-100</v>
      </c>
      <c r="BK27" s="3">
        <f t="shared" si="18"/>
        <v>0</v>
      </c>
      <c r="BL27" s="3">
        <f t="shared" si="19"/>
        <v>300</v>
      </c>
      <c r="BM27" s="13">
        <f>-(BL27-BK27)</f>
        <v>-300</v>
      </c>
      <c r="BO27" s="15">
        <f>'Year Over Year'!BP27</f>
        <v>165</v>
      </c>
      <c r="BP27" s="15">
        <f>ROUND((((D27*30)+(H27*30)+(L27*30)+(T27*30))/120),0)</f>
        <v>100</v>
      </c>
      <c r="BQ27" s="15">
        <f>-(BP27-BO27)</f>
        <v>65</v>
      </c>
      <c r="BR27" s="14"/>
      <c r="BT27" s="15">
        <v>100</v>
      </c>
    </row>
    <row r="28" spans="1:72" s="1" customFormat="1" x14ac:dyDescent="0.2">
      <c r="C28" s="10">
        <f>SUM(C9:C27)</f>
        <v>3003</v>
      </c>
      <c r="D28" s="10">
        <f>SUM(D9:D27)</f>
        <v>3795</v>
      </c>
      <c r="E28" s="10">
        <f>SUM(E9:E27)</f>
        <v>-792</v>
      </c>
      <c r="F28" s="11"/>
      <c r="G28" s="10">
        <f>SUM(G9:G27)</f>
        <v>3374</v>
      </c>
      <c r="H28" s="10">
        <f>SUM(H9:H27)</f>
        <v>3861</v>
      </c>
      <c r="I28" s="10">
        <f>SUM(I9:I27)</f>
        <v>-487.00000000000011</v>
      </c>
      <c r="K28" s="10">
        <f>SUM(K9:K27)</f>
        <v>3511</v>
      </c>
      <c r="L28" s="10">
        <f>SUM(L9:L27)</f>
        <v>3933.6</v>
      </c>
      <c r="M28" s="10">
        <f>SUM(M9:M27)</f>
        <v>-422.6</v>
      </c>
      <c r="O28" s="10">
        <f>SUM(O9:O27)</f>
        <v>3296</v>
      </c>
      <c r="P28" s="10">
        <f>SUM(P9:P27)</f>
        <v>3863</v>
      </c>
      <c r="Q28" s="10">
        <f>SUM(Q9:Q27)</f>
        <v>-567</v>
      </c>
      <c r="S28" s="10">
        <f>SUM(S9:S27)</f>
        <v>3529</v>
      </c>
      <c r="T28" s="10">
        <f>SUM(T9:T27)</f>
        <v>4013.9</v>
      </c>
      <c r="U28" s="10">
        <f>SUM(U9:U27)</f>
        <v>-484.90000000000009</v>
      </c>
      <c r="W28" s="10">
        <f>SUM(W9:W27)</f>
        <v>3815</v>
      </c>
      <c r="X28" s="10">
        <f>SUM(X9:X27)</f>
        <v>4101.8999999999996</v>
      </c>
      <c r="Y28" s="10">
        <f>SUM(Y9:Y27)</f>
        <v>-286.90000000000009</v>
      </c>
      <c r="AA28" s="10">
        <f>SUM(AA9:AA27)</f>
        <v>4992</v>
      </c>
      <c r="AB28" s="10">
        <f>SUM(AB9:AB27)</f>
        <v>4198.7</v>
      </c>
      <c r="AC28" s="10">
        <f>SUM(AC9:AC27)</f>
        <v>793.3</v>
      </c>
      <c r="AE28" s="10">
        <f>SUM(AE9:AE27)</f>
        <v>4156.083333333333</v>
      </c>
      <c r="AF28" s="10">
        <f>SUM(AF9:AF27)</f>
        <v>4104.8333333333339</v>
      </c>
      <c r="AG28" s="10">
        <f>SUM(AG9:AG27)</f>
        <v>51.250000000000014</v>
      </c>
      <c r="AI28" s="10">
        <f>SUM(AI9:AI27)</f>
        <v>4156.083333333333</v>
      </c>
      <c r="AJ28" s="10">
        <f>SUM(AJ9:AJ27)</f>
        <v>4305.3999999999996</v>
      </c>
      <c r="AK28" s="10">
        <f>SUM(AK9:AK27)</f>
        <v>-149.31666666666669</v>
      </c>
      <c r="AM28" s="10">
        <f>SUM(AM9:AM27)</f>
        <v>0</v>
      </c>
      <c r="AN28" s="10">
        <f>SUM(AN9:AN27)</f>
        <v>4422</v>
      </c>
      <c r="AO28" s="10">
        <f>SUM(AO9:AO27)</f>
        <v>-4422</v>
      </c>
      <c r="AQ28" s="10">
        <f>SUM(AQ9:AQ27)</f>
        <v>0</v>
      </c>
      <c r="AR28" s="10">
        <f>SUM(AR9:AR27)</f>
        <v>4550.7</v>
      </c>
      <c r="AS28" s="10">
        <f>SUM(AS9:AS27)</f>
        <v>-4550.7</v>
      </c>
      <c r="AU28" s="10">
        <f>SUM(AU9:AU27)</f>
        <v>4156.083333333333</v>
      </c>
      <c r="AV28" s="10">
        <f>SUM(AV9:AV27)</f>
        <v>13278.1</v>
      </c>
      <c r="AW28" s="10">
        <f>SUM(AW9:AW27)</f>
        <v>-9122.0166666666664</v>
      </c>
      <c r="AY28" s="10">
        <f>SUM(AY9:AY27)</f>
        <v>0</v>
      </c>
      <c r="AZ28" s="10">
        <f>SUM(AZ9:AZ27)</f>
        <v>4692.6000000000004</v>
      </c>
      <c r="BA28" s="10">
        <f>SUM(BA9:BA27)</f>
        <v>-4692.6000000000004</v>
      </c>
      <c r="BC28" s="10">
        <f>SUM(BC9:BC27)</f>
        <v>0</v>
      </c>
      <c r="BD28" s="10">
        <f>SUM(BD9:BD27)</f>
        <v>4848.8</v>
      </c>
      <c r="BE28" s="10">
        <f>SUM(BE9:BE27)</f>
        <v>-4848.8</v>
      </c>
      <c r="BG28" s="10">
        <f>SUM(BG9:BG27)</f>
        <v>0</v>
      </c>
      <c r="BH28" s="10">
        <f>SUM(BH9:BH27)</f>
        <v>5018</v>
      </c>
      <c r="BI28" s="10">
        <f>SUM(BI9:BI27)</f>
        <v>-5018</v>
      </c>
      <c r="BK28" s="10">
        <f>SUM(BK9:BK27)</f>
        <v>0</v>
      </c>
      <c r="BL28" s="10">
        <f>SUM(BL9:BL27)</f>
        <v>14559.400000000001</v>
      </c>
      <c r="BM28" s="10">
        <f>SUM(BM9:BM27)</f>
        <v>-14559.400000000001</v>
      </c>
      <c r="BO28" s="10">
        <f>SUM(BO9:BO27)</f>
        <v>3704</v>
      </c>
      <c r="BP28" s="10">
        <f>SUM(BP9:BP27)</f>
        <v>3901</v>
      </c>
      <c r="BQ28" s="10">
        <f>SUM(BQ9:BQ27)</f>
        <v>-197</v>
      </c>
      <c r="BR28" s="11">
        <f>BQ28/BP28</f>
        <v>-5.0499871827736478E-2</v>
      </c>
      <c r="BT28" s="10">
        <f>SUM(BT9:BT27)</f>
        <v>5018</v>
      </c>
    </row>
    <row r="31" spans="1:72" x14ac:dyDescent="0.2">
      <c r="A31" t="s">
        <v>69</v>
      </c>
    </row>
    <row r="32" spans="1:72" x14ac:dyDescent="0.2">
      <c r="A32" t="s">
        <v>70</v>
      </c>
    </row>
  </sheetData>
  <mergeCells count="2">
    <mergeCell ref="O6:P6"/>
    <mergeCell ref="BO6:BP6"/>
  </mergeCells>
  <phoneticPr fontId="0" type="noConversion"/>
  <printOptions horizontalCentered="1"/>
  <pageMargins left="0.27" right="0.2" top="0.21" bottom="0.25" header="0.17" footer="0.19"/>
  <pageSetup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chart</vt:lpstr>
      <vt:lpstr>Year Over Year</vt:lpstr>
      <vt:lpstr>Plan Comp</vt:lpstr>
      <vt:lpstr>'Plan Comp'!Print_Area</vt:lpstr>
      <vt:lpstr>'Year Over Year'!Print_Area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2001-07-18T14:17:53Z</cp:lastPrinted>
  <dcterms:created xsi:type="dcterms:W3CDTF">2001-02-23T21:22:57Z</dcterms:created>
  <dcterms:modified xsi:type="dcterms:W3CDTF">2014-09-04T14:04:51Z</dcterms:modified>
</cp:coreProperties>
</file>