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activeTab="1"/>
  </bookViews>
  <sheets>
    <sheet name="Template" sheetId="154" r:id="rId1"/>
    <sheet name="0201" sheetId="24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28" i="245" l="1"/>
  <c r="C28" i="245"/>
  <c r="D28" i="245"/>
  <c r="E28" i="245"/>
  <c r="F28" i="245"/>
  <c r="G28" i="245"/>
  <c r="H28" i="245"/>
  <c r="J28" i="245"/>
  <c r="L28" i="245"/>
  <c r="B8" i="154"/>
  <c r="D8" i="154" s="1"/>
  <c r="D28" i="154" s="1"/>
  <c r="F8" i="154"/>
  <c r="F28" i="154" s="1"/>
  <c r="H8" i="154"/>
  <c r="P8" i="154"/>
  <c r="B9" i="154"/>
  <c r="D9" i="154" s="1"/>
  <c r="F9" i="154"/>
  <c r="H9" i="154" s="1"/>
  <c r="B10" i="154"/>
  <c r="L10" i="154" s="1"/>
  <c r="F10" i="154"/>
  <c r="H10" i="154"/>
  <c r="B11" i="154"/>
  <c r="D11" i="154" s="1"/>
  <c r="F11" i="154"/>
  <c r="H11" i="154"/>
  <c r="B12" i="154"/>
  <c r="L12" i="154" s="1"/>
  <c r="D12" i="154"/>
  <c r="F12" i="154"/>
  <c r="H12" i="154"/>
  <c r="P12" i="154"/>
  <c r="B13" i="154"/>
  <c r="L13" i="154" s="1"/>
  <c r="F13" i="154"/>
  <c r="H13" i="154"/>
  <c r="P13" i="154"/>
  <c r="B14" i="154"/>
  <c r="D14" i="154"/>
  <c r="E14" i="154"/>
  <c r="E28" i="154" s="1"/>
  <c r="F14" i="154"/>
  <c r="H14" i="154"/>
  <c r="P14" i="154"/>
  <c r="B15" i="154"/>
  <c r="D15" i="154" s="1"/>
  <c r="F15" i="154"/>
  <c r="H15" i="154"/>
  <c r="P15" i="154"/>
  <c r="B16" i="154"/>
  <c r="D16" i="154" s="1"/>
  <c r="F16" i="154"/>
  <c r="H16" i="154" s="1"/>
  <c r="P16" i="154"/>
  <c r="D17" i="154"/>
  <c r="H17" i="154"/>
  <c r="L17" i="154"/>
  <c r="N17" i="154"/>
  <c r="O17" i="154"/>
  <c r="B18" i="154"/>
  <c r="D18" i="154"/>
  <c r="F18" i="154"/>
  <c r="H18" i="154" s="1"/>
  <c r="B19" i="154"/>
  <c r="D19" i="154" s="1"/>
  <c r="F19" i="154"/>
  <c r="H19" i="154" s="1"/>
  <c r="B20" i="154"/>
  <c r="L20" i="154" s="1"/>
  <c r="F20" i="154"/>
  <c r="H20" i="154"/>
  <c r="P20" i="154"/>
  <c r="B21" i="154"/>
  <c r="D21" i="154"/>
  <c r="F21" i="154"/>
  <c r="H21" i="154" s="1"/>
  <c r="P21" i="154"/>
  <c r="B22" i="154"/>
  <c r="D22" i="154"/>
  <c r="F22" i="154"/>
  <c r="H22" i="154"/>
  <c r="L22" i="154"/>
  <c r="P22" i="154"/>
  <c r="B23" i="154"/>
  <c r="L23" i="154" s="1"/>
  <c r="D23" i="154"/>
  <c r="F23" i="154"/>
  <c r="H23" i="154"/>
  <c r="B24" i="154"/>
  <c r="D24" i="154"/>
  <c r="F24" i="154"/>
  <c r="H24" i="154"/>
  <c r="L24" i="154"/>
  <c r="P24" i="154"/>
  <c r="B25" i="154"/>
  <c r="D25" i="154" s="1"/>
  <c r="F25" i="154"/>
  <c r="H25" i="154" s="1"/>
  <c r="G25" i="154"/>
  <c r="D36" i="154" s="1"/>
  <c r="E36" i="154" s="1"/>
  <c r="F36" i="154" s="1"/>
  <c r="P25" i="154"/>
  <c r="D26" i="154"/>
  <c r="F26" i="154"/>
  <c r="H26" i="154" s="1"/>
  <c r="L26" i="154"/>
  <c r="P26" i="154"/>
  <c r="C28" i="154"/>
  <c r="J28" i="154"/>
  <c r="N28" i="154"/>
  <c r="O28" i="154"/>
  <c r="P28" i="154"/>
  <c r="H28" i="154" l="1"/>
  <c r="L14" i="154"/>
  <c r="L25" i="154"/>
  <c r="L21" i="154"/>
  <c r="L18" i="154"/>
  <c r="B28" i="154"/>
  <c r="D20" i="154"/>
  <c r="L15" i="154"/>
  <c r="D13" i="154"/>
  <c r="L11" i="154"/>
  <c r="D10" i="154"/>
  <c r="L8" i="154"/>
  <c r="L28" i="154" s="1"/>
  <c r="G28" i="154"/>
  <c r="L9" i="154"/>
  <c r="L19" i="154"/>
  <c r="L16" i="154"/>
  <c r="B32" i="154" l="1"/>
  <c r="N33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<sst xmlns="http://schemas.openxmlformats.org/spreadsheetml/2006/main" count="100" uniqueCount="46">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</sst>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2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2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Jan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2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2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2275938.1600000006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2275938.1600000006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2275938.1600000006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2275938.1600000006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2275938.1600000006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2275938.1600000006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2275938.1600000006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2275938.1600000006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2275938.1600000006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37318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37288</v>
          </cell>
          <cell r="BX5">
            <v>37288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372881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37289</v>
          </cell>
          <cell r="BX47">
            <v>37289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372891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37290</v>
          </cell>
          <cell r="BX89">
            <v>37290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372901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37291</v>
          </cell>
          <cell r="BX131">
            <v>37291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372911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37292</v>
          </cell>
          <cell r="BX173">
            <v>37292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372921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37293</v>
          </cell>
          <cell r="BX215">
            <v>37293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372931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37294</v>
          </cell>
          <cell r="BX257">
            <v>37294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372941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37295</v>
          </cell>
          <cell r="BX299">
            <v>37295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372951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37296</v>
          </cell>
          <cell r="BX341">
            <v>37296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372961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37297</v>
          </cell>
          <cell r="BX383">
            <v>37297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372971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37298</v>
          </cell>
          <cell r="BX425">
            <v>37298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372981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37299</v>
          </cell>
          <cell r="BX467">
            <v>37299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372991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37300</v>
          </cell>
          <cell r="BX509">
            <v>37300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373001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37301</v>
          </cell>
          <cell r="BX551">
            <v>37301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373011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37302</v>
          </cell>
          <cell r="BX593">
            <v>37302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373021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37303</v>
          </cell>
          <cell r="BX635">
            <v>37303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373031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37304</v>
          </cell>
          <cell r="BX677">
            <v>37304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373041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37305</v>
          </cell>
          <cell r="BX719">
            <v>37305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373051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37306</v>
          </cell>
          <cell r="BX761">
            <v>37306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373061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37307</v>
          </cell>
          <cell r="BX803">
            <v>37307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373071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37308</v>
          </cell>
          <cell r="BX845">
            <v>37308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373081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37309</v>
          </cell>
          <cell r="BX887">
            <v>37309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373091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37310</v>
          </cell>
          <cell r="BX929">
            <v>37310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373101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37311</v>
          </cell>
          <cell r="BX971">
            <v>37311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373111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37312</v>
          </cell>
          <cell r="BX1013">
            <v>37312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373121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37313</v>
          </cell>
          <cell r="BX1055">
            <v>37313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373131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37314</v>
          </cell>
          <cell r="BX1097">
            <v>37314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373141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37315</v>
          </cell>
          <cell r="BX1139">
            <v>37315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373151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37316</v>
          </cell>
          <cell r="BX1181">
            <v>37316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373161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37317</v>
          </cell>
          <cell r="BX1223">
            <v>37317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373171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37318</v>
          </cell>
          <cell r="BX1265">
            <v>37318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373181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80439442.160000056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37289</v>
          </cell>
          <cell r="DB47">
            <v>80439442.160000056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37290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37291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37292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37293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37294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37295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37296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37297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37298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37299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37300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37301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37302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37303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37304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37305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37306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37307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37308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37309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37310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37311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37312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37313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37314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37315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37316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37317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37318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EC5">
            <v>0</v>
          </cell>
          <cell r="EQ5">
            <v>-537931.60715758137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37289</v>
          </cell>
          <cell r="EC47">
            <v>0</v>
          </cell>
          <cell r="EQ47">
            <v>-537931.60715758137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37290</v>
          </cell>
          <cell r="EC89">
            <v>0</v>
          </cell>
          <cell r="EQ89">
            <v>-537931.60715758137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37291</v>
          </cell>
          <cell r="EC131">
            <v>0</v>
          </cell>
          <cell r="EQ131">
            <v>-537931.60715758137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37292</v>
          </cell>
          <cell r="EC173">
            <v>0</v>
          </cell>
          <cell r="EQ173">
            <v>-537931.60715758137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37293</v>
          </cell>
          <cell r="EC215">
            <v>0</v>
          </cell>
          <cell r="EQ215">
            <v>-537931.60715758137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37294</v>
          </cell>
          <cell r="EC257">
            <v>0</v>
          </cell>
          <cell r="EQ257">
            <v>-537931.60715758137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37295</v>
          </cell>
          <cell r="EC299">
            <v>0</v>
          </cell>
          <cell r="EQ299">
            <v>-537931.60715758137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37296</v>
          </cell>
          <cell r="EC341">
            <v>0</v>
          </cell>
          <cell r="EQ341">
            <v>-537931.60715758137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37297</v>
          </cell>
          <cell r="EC383">
            <v>-30600</v>
          </cell>
          <cell r="EQ383">
            <v>-568531.60715758137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37298</v>
          </cell>
          <cell r="EC425">
            <v>0</v>
          </cell>
          <cell r="EQ425">
            <v>-537931.60715758137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37299</v>
          </cell>
          <cell r="EC467">
            <v>0</v>
          </cell>
          <cell r="EQ467">
            <v>-537931.60715758137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37300</v>
          </cell>
          <cell r="EC509">
            <v>0</v>
          </cell>
          <cell r="EQ509">
            <v>-537931.60715758137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37301</v>
          </cell>
          <cell r="EC551">
            <v>0</v>
          </cell>
          <cell r="EQ551">
            <v>-537931.60715758137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37302</v>
          </cell>
          <cell r="EC593">
            <v>0</v>
          </cell>
          <cell r="EQ593">
            <v>-537931.60715758137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37303</v>
          </cell>
          <cell r="EC635">
            <v>0</v>
          </cell>
          <cell r="EQ635">
            <v>-537931.60715758137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37304</v>
          </cell>
          <cell r="EC677">
            <v>0</v>
          </cell>
          <cell r="EQ677">
            <v>-537931.60715758137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37305</v>
          </cell>
          <cell r="EC719">
            <v>0</v>
          </cell>
          <cell r="EQ719">
            <v>-537931.60715758137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37306</v>
          </cell>
          <cell r="EC761">
            <v>0</v>
          </cell>
          <cell r="EQ761">
            <v>-537931.60715758137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37307</v>
          </cell>
          <cell r="EC803">
            <v>0</v>
          </cell>
          <cell r="EQ803">
            <v>-537931.60715758137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37308</v>
          </cell>
          <cell r="EC845">
            <v>0</v>
          </cell>
          <cell r="EQ845">
            <v>-537931.60715758137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37309</v>
          </cell>
          <cell r="EC887">
            <v>0</v>
          </cell>
          <cell r="EQ887">
            <v>-537931.60715758137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37310</v>
          </cell>
          <cell r="EC929">
            <v>0</v>
          </cell>
          <cell r="EQ929">
            <v>-537931.60715758137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37311</v>
          </cell>
          <cell r="EC971">
            <v>0</v>
          </cell>
          <cell r="EQ971">
            <v>-537931.60715758137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37312</v>
          </cell>
          <cell r="EC1013">
            <v>0</v>
          </cell>
          <cell r="EQ1013">
            <v>-537931.60715758137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37313</v>
          </cell>
          <cell r="EC1055">
            <v>0</v>
          </cell>
          <cell r="EQ1055">
            <v>-537931.60715758137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37314</v>
          </cell>
          <cell r="EC1097">
            <v>0</v>
          </cell>
          <cell r="EQ1097">
            <v>-537931.60715758137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37315</v>
          </cell>
          <cell r="EC1139">
            <v>0</v>
          </cell>
          <cell r="EQ1139">
            <v>-537931.60715758137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37316</v>
          </cell>
          <cell r="EC1181">
            <v>0</v>
          </cell>
          <cell r="EQ1181">
            <v>-537931.60715758137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37289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37290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37291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37292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37293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37294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37295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37296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37297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37298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37299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37300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37301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37302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37303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37304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37305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37306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37307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37308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37309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37310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37311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37312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37313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37314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37315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37316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37317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37318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37289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37290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37291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37292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37293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37294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37295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37296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37297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37298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37299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37300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37301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37302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37303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37304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37305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37306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37307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37308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37309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37310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37311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37312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37313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37314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37315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37316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37317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37318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37289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37290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37291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37292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37293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37294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37295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37296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37297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37298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37299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37300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37301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37302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37303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37304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37305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37306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37307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37308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37309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37310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37311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37312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37313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37314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37315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37316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37317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37318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37289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37290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37291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37292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37293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37294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37295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37296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37297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37298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37299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37300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37301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37302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37303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37304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37305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37306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37307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37308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37309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37310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37311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37312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37313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37314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37315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37316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37317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37318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37289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37290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37291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37292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37293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37294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37295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37296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37297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37298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37299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37300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37301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37302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37303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37304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37305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37306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37307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37308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37309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37310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37311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37312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37313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37314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37315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37316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37317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37318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148574.63600002788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37289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37290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37291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37292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37293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37294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37295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37296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37297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37298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37299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37300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37301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37302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37303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37304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37305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37306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37307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37308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37309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37310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37311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37312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37313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37314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37315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37316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37317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37318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37288</v>
          </cell>
          <cell r="FF5">
            <v>3690174.411521438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37289</v>
          </cell>
          <cell r="FF47">
            <v>3385088.1587957083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37290</v>
          </cell>
          <cell r="FF89">
            <v>3389848.153234568</v>
          </cell>
          <cell r="FJ89">
            <v>0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37291</v>
          </cell>
          <cell r="FF131">
            <v>3720610.9699143679</v>
          </cell>
          <cell r="FJ131">
            <v>0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37292</v>
          </cell>
          <cell r="FF173">
            <v>3712653.4770195987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37293</v>
          </cell>
          <cell r="FF215">
            <v>3723846.5772744585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37294</v>
          </cell>
          <cell r="FF257">
            <v>3720776.4705114178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37295</v>
          </cell>
          <cell r="FF299">
            <v>3721319.6382915983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37296</v>
          </cell>
          <cell r="FF341">
            <v>3389848.153234568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37297</v>
          </cell>
          <cell r="FF383">
            <v>3389848.153234568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37298</v>
          </cell>
          <cell r="FF425">
            <v>3732447.7519710972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37299</v>
          </cell>
          <cell r="FF467">
            <v>3725385.7780932491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37300</v>
          </cell>
          <cell r="FF509">
            <v>3714783.0460901777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37301</v>
          </cell>
          <cell r="FF551">
            <v>3699692.4698274476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37302</v>
          </cell>
          <cell r="FF593">
            <v>3699360.9490863676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37303</v>
          </cell>
          <cell r="FF635">
            <v>3389878.7032345678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37304</v>
          </cell>
          <cell r="FF677">
            <v>3389878.7032345678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37305</v>
          </cell>
          <cell r="FF719">
            <v>3700223.7674193974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37306</v>
          </cell>
          <cell r="FF761">
            <v>3710805.7179944878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37307</v>
          </cell>
          <cell r="FF803">
            <v>3710278.1824631272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37308</v>
          </cell>
          <cell r="FF845">
            <v>3703396.4267360475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37309</v>
          </cell>
          <cell r="FF887">
            <v>3704242.9611256178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37310</v>
          </cell>
          <cell r="FF929">
            <v>3389878.7032345678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37311</v>
          </cell>
          <cell r="FF971">
            <v>3389878.7032345678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37312</v>
          </cell>
          <cell r="FF1013">
            <v>3698015.261528179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37313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37314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37315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37316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37317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29874.610000003129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37289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37290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37291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37292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37293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37294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37295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37296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37297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37298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37299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37300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37301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37302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37303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37304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37305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37306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37307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37308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37309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37310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37311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37312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37313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37314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37315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37316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37317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37318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T5">
            <v>8381923.9459997742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37289</v>
          </cell>
          <cell r="CT47">
            <v>8381923.9459997742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37290</v>
          </cell>
          <cell r="CT89">
            <v>8381923.9459997742</v>
          </cell>
          <cell r="CX89">
            <v>1.1700000092387199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37291</v>
          </cell>
          <cell r="CT131">
            <v>8381923.9459997742</v>
          </cell>
          <cell r="CX131">
            <v>1.1700000092387199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37292</v>
          </cell>
          <cell r="CT173">
            <v>8381923.9459997742</v>
          </cell>
          <cell r="CX173">
            <v>1.1700000092387199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37293</v>
          </cell>
          <cell r="CT215">
            <v>8381923.9459997742</v>
          </cell>
          <cell r="CX215">
            <v>1.1700000092387199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37294</v>
          </cell>
          <cell r="CT257">
            <v>8381923.9459997742</v>
          </cell>
          <cell r="CX257">
            <v>1.1700000092387199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37295</v>
          </cell>
          <cell r="CT299">
            <v>8381923.9459997742</v>
          </cell>
          <cell r="CX299">
            <v>1.1700000092387199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37296</v>
          </cell>
          <cell r="CT341">
            <v>8381923.9459997742</v>
          </cell>
          <cell r="CX341">
            <v>1.1700000092387199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37297</v>
          </cell>
          <cell r="CT383">
            <v>8381923.9459997742</v>
          </cell>
          <cell r="CX383">
            <v>1.1700000092387199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37298</v>
          </cell>
          <cell r="CT425">
            <v>8381923.9459997742</v>
          </cell>
          <cell r="CX425">
            <v>1.1700000092387199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37299</v>
          </cell>
          <cell r="CT467">
            <v>8381923.9459997742</v>
          </cell>
          <cell r="CX467">
            <v>1.1700000092387199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37300</v>
          </cell>
          <cell r="CT509">
            <v>8381923.9459997742</v>
          </cell>
          <cell r="CX509">
            <v>1.1700000092387199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37301</v>
          </cell>
          <cell r="CT551">
            <v>8381923.9459997742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37302</v>
          </cell>
          <cell r="CT593">
            <v>8381923.9459997742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37303</v>
          </cell>
          <cell r="CT635">
            <v>8381923.9459997742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37304</v>
          </cell>
          <cell r="CT677">
            <v>8381923.9459997742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37305</v>
          </cell>
          <cell r="CT719">
            <v>8381923.9459997742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37306</v>
          </cell>
          <cell r="CT761">
            <v>8381923.9459997742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37307</v>
          </cell>
          <cell r="CT803">
            <v>8381923.9459997742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37308</v>
          </cell>
          <cell r="CT845">
            <v>8381923.9459997742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37309</v>
          </cell>
          <cell r="CT887">
            <v>8381923.9459997742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37310</v>
          </cell>
          <cell r="CT929">
            <v>8381923.9459997742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37311</v>
          </cell>
          <cell r="CT971">
            <v>8381923.9459997742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37312</v>
          </cell>
          <cell r="CT1013">
            <v>8381923.9459997742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37313</v>
          </cell>
          <cell r="CT1055">
            <v>8381923.9459997742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37314</v>
          </cell>
          <cell r="CT1097">
            <v>8381923.9459997742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37315</v>
          </cell>
          <cell r="CT1139">
            <v>8381923.9459997742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37316</v>
          </cell>
          <cell r="CT1181">
            <v>8381923.9459997742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37317</v>
          </cell>
          <cell r="CT1223">
            <v>8381923.9459997742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37318</v>
          </cell>
          <cell r="CT1265">
            <v>8381923.9459997742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B14" sqref="B14:P1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37291</v>
      </c>
      <c r="M2" s="3"/>
    </row>
    <row r="3" spans="1:17" ht="18" x14ac:dyDescent="0.25">
      <c r="A3" s="5">
        <v>37288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 t="e">
        <f>SUMIF([4]Statements!$A$5:$A$1305,$A$3,[4]Statements!$BN$5:$BN$1305)-3</f>
        <v>#VALUE!</v>
      </c>
      <c r="C8" s="41"/>
      <c r="D8" s="41" t="e">
        <f t="shared" ref="D8:D26" si="0">B8-C8</f>
        <v>#VALUE!</v>
      </c>
      <c r="E8" s="41">
        <v>0</v>
      </c>
      <c r="F8" s="41">
        <f>'[3]ABN-AMRO'!$K$12</f>
        <v>0</v>
      </c>
      <c r="G8" s="42"/>
      <c r="H8" s="41">
        <f t="shared" ref="H8:H26" si="1">F8-G8</f>
        <v>0</v>
      </c>
      <c r="I8" s="41"/>
      <c r="J8" s="41"/>
      <c r="K8" s="41"/>
      <c r="L8" s="41" t="e">
        <f t="shared" ref="L8:L13" si="2">B8+E8-F8+J8</f>
        <v>#VALUE!</v>
      </c>
      <c r="M8" s="12"/>
      <c r="N8" s="33"/>
      <c r="O8" s="33"/>
      <c r="P8" s="41" t="e">
        <f>SUMIF([4]Statements!$A$5:$A$1305,$A$3,[4]Statements!$BW$5:$BW$1305)</f>
        <v>#VALUE!</v>
      </c>
      <c r="Q8" s="33"/>
    </row>
    <row r="9" spans="1:17" x14ac:dyDescent="0.2">
      <c r="A9" t="s">
        <v>6</v>
      </c>
      <c r="B9" s="41" t="e">
        <f>SUMIF([5]Statements!$A$5:$A$1305,$A$3,[5]Statements!$DB$5:$DB$1305)</f>
        <v>#VALUE!</v>
      </c>
      <c r="C9" s="43"/>
      <c r="D9" s="41" t="e">
        <f t="shared" si="0"/>
        <v>#VALUE!</v>
      </c>
      <c r="E9" s="43">
        <v>0</v>
      </c>
      <c r="F9" s="43">
        <f>'[3]ADM Investors'!$I$13</f>
        <v>0</v>
      </c>
      <c r="G9" s="43"/>
      <c r="H9" s="43">
        <f t="shared" si="1"/>
        <v>0</v>
      </c>
      <c r="I9" s="43"/>
      <c r="J9" s="43"/>
      <c r="K9" s="43"/>
      <c r="L9" s="41" t="e">
        <f t="shared" si="2"/>
        <v>#VALUE!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 t="e">
        <f>SUMIF([6]Statements!$A$5:$A$1305,$A$3,[6]Statements!$DB$5:$DB$1305)+1461</f>
        <v>#VALUE!</v>
      </c>
      <c r="C10" s="43"/>
      <c r="D10" s="41" t="e">
        <f t="shared" si="0"/>
        <v>#VALUE!</v>
      </c>
      <c r="E10" s="43">
        <v>0</v>
      </c>
      <c r="F10" s="43">
        <f>'[3]Bank One'!$K$11</f>
        <v>0</v>
      </c>
      <c r="G10" s="43"/>
      <c r="H10" s="43">
        <f t="shared" si="1"/>
        <v>0</v>
      </c>
      <c r="I10" s="43"/>
      <c r="J10" s="43"/>
      <c r="K10" s="43"/>
      <c r="L10" s="41" t="e">
        <f t="shared" si="2"/>
        <v>#VALUE!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'[3]CARR FUTURES (NG)'!$I$11</f>
        <v>0</v>
      </c>
      <c r="C11" s="41"/>
      <c r="D11" s="41">
        <f t="shared" si="0"/>
        <v>0</v>
      </c>
      <c r="E11" s="41">
        <v>0</v>
      </c>
      <c r="F11" s="41">
        <f>'[3]CARR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 t="e">
        <f>SUMIF([7]Statements!$A$5:$A$1305,$A$3,[7]Statements!$FF$5:$FF$1305)+712442</f>
        <v>#VALUE!</v>
      </c>
      <c r="C12" s="41"/>
      <c r="D12" s="41" t="e">
        <f>B12-C12</f>
        <v>#VALUE!</v>
      </c>
      <c r="E12" s="41">
        <v>0</v>
      </c>
      <c r="F12" s="41">
        <f>'[3]CARR FUTURES'!$I$12</f>
        <v>0</v>
      </c>
      <c r="G12" s="41"/>
      <c r="H12" s="41">
        <f t="shared" si="1"/>
        <v>0</v>
      </c>
      <c r="I12" s="41"/>
      <c r="J12" s="41"/>
      <c r="K12" s="41"/>
      <c r="L12" s="41" t="e">
        <f t="shared" si="2"/>
        <v>#VALUE!</v>
      </c>
      <c r="M12" s="12"/>
      <c r="N12" s="33"/>
      <c r="O12" s="33"/>
      <c r="P12" s="41" t="e">
        <f>SUMIF([7]Statements!$A$5:$A$1305,$A$3,[7]Statements!$FJ$5:$FJ$1305)</f>
        <v>#VALUE!</v>
      </c>
    </row>
    <row r="13" spans="1:17" x14ac:dyDescent="0.2">
      <c r="A13" t="s">
        <v>20</v>
      </c>
      <c r="B13" s="41" t="e">
        <f>SUMIF([8]Statements!$A$5:$A$1305,$A$3,[8]Statements!$CX$5:$CX$1305)-8</f>
        <v>#VALUE!</v>
      </c>
      <c r="C13" s="41"/>
      <c r="D13" s="41" t="e">
        <f t="shared" si="0"/>
        <v>#VALUE!</v>
      </c>
      <c r="E13" s="41">
        <v>0</v>
      </c>
      <c r="F13" s="41">
        <f>'[3]CREDIT SUISSE FIRST BOSTON'!$I$12</f>
        <v>0</v>
      </c>
      <c r="G13" s="41"/>
      <c r="H13" s="41">
        <f t="shared" si="1"/>
        <v>0</v>
      </c>
      <c r="I13" s="41"/>
      <c r="J13" s="41"/>
      <c r="K13" s="41"/>
      <c r="L13" s="41" t="e">
        <f t="shared" si="2"/>
        <v>#VALUE!</v>
      </c>
      <c r="M13" s="12"/>
      <c r="N13" s="33"/>
      <c r="O13" s="33"/>
      <c r="P13" s="41" t="e">
        <f>SUMIF([8]Statements!$A$5:$A$1305,$A$3,[8]Statements!$DF$5:$DF$1305)</f>
        <v>#VALUE!</v>
      </c>
    </row>
    <row r="14" spans="1:17" x14ac:dyDescent="0.2">
      <c r="A14" t="s">
        <v>44</v>
      </c>
      <c r="B14" s="41" t="e">
        <f>SUMIF([9]Statements!$A$5:$A$1305,$A$3,[9]Statements!$CT$5:$CT$1305)-SUMIF([9]Statements!$A$5:$A$1305,$A$3,[9]Statements!$CX$5:$CX$1305)-5</f>
        <v>#VALUE!</v>
      </c>
      <c r="C14" s="41"/>
      <c r="D14" s="41" t="e">
        <f t="shared" si="0"/>
        <v>#VALUE!</v>
      </c>
      <c r="E14" s="41">
        <f>+'[1]EDF MANN'!$J$20</f>
        <v>0</v>
      </c>
      <c r="F14" s="41">
        <f>'[3]EDF MANN'!$J$22</f>
        <v>0</v>
      </c>
      <c r="G14" s="42"/>
      <c r="H14" s="41">
        <f t="shared" si="1"/>
        <v>0</v>
      </c>
      <c r="I14" s="42"/>
      <c r="J14" s="42"/>
      <c r="K14" s="42"/>
      <c r="L14" s="41" t="e">
        <f t="shared" ref="L14:L20" si="3">B14+E14-F14+J14</f>
        <v>#VALUE!</v>
      </c>
      <c r="M14" s="12"/>
      <c r="N14" s="33"/>
      <c r="O14" s="33"/>
      <c r="P14" s="41" t="e">
        <f>SUMIF([9]Statements!$A$5:$A$1305,$A$3,[9]Statements!$DB$5:$DB$1305)</f>
        <v>#VALUE!</v>
      </c>
    </row>
    <row r="15" spans="1:17" x14ac:dyDescent="0.2">
      <c r="A15" t="s">
        <v>43</v>
      </c>
      <c r="B15" s="43" t="e">
        <f>SUMIF([10]Statements!$A$5:$A$1305,$A$3,[10]Statements!$BB$5:$BB$1305)-3</f>
        <v>#VALUE!</v>
      </c>
      <c r="C15" s="43"/>
      <c r="D15" s="41" t="e">
        <f t="shared" si="0"/>
        <v>#VALUE!</v>
      </c>
      <c r="E15" s="43">
        <v>0</v>
      </c>
      <c r="F15" s="43">
        <f>[3]Fimat!$K$12</f>
        <v>0</v>
      </c>
      <c r="G15" s="39"/>
      <c r="H15" s="39">
        <f t="shared" si="1"/>
        <v>0</v>
      </c>
      <c r="I15" s="39"/>
      <c r="J15" s="42"/>
      <c r="K15" s="39"/>
      <c r="L15" s="41" t="e">
        <f t="shared" si="3"/>
        <v>#VALUE!</v>
      </c>
      <c r="M15" s="12"/>
      <c r="N15" s="34"/>
      <c r="O15" s="34"/>
      <c r="P15" s="43" t="e">
        <f>SUMIF([10]Statements!$A$5:$A$1305,$A$3,[10]Statements!$BI$5:$BI$1305)</f>
        <v>#VALUE!</v>
      </c>
      <c r="Q15" s="34"/>
    </row>
    <row r="16" spans="1:17" x14ac:dyDescent="0.2">
      <c r="A16" t="s">
        <v>9</v>
      </c>
      <c r="B16" s="43" t="e">
        <f>SUMIF([11]Statements!$A$5:$A$1305,$A$3,[11]Statements!$CA$5:$CA$1305)-851</f>
        <v>#VALUE!</v>
      </c>
      <c r="C16" s="41"/>
      <c r="D16" s="41" t="e">
        <f t="shared" si="0"/>
        <v>#VALUE!</v>
      </c>
      <c r="E16" s="41">
        <v>0</v>
      </c>
      <c r="F16" s="41">
        <f>'[3]HSBC-US$'!$J$17</f>
        <v>0</v>
      </c>
      <c r="G16" s="41"/>
      <c r="H16" s="41">
        <f t="shared" si="1"/>
        <v>0</v>
      </c>
      <c r="I16" s="41"/>
      <c r="J16" s="41"/>
      <c r="K16" s="41"/>
      <c r="L16" s="41" t="e">
        <f t="shared" si="3"/>
        <v>#VALUE!</v>
      </c>
      <c r="M16" s="12"/>
      <c r="N16" s="33"/>
      <c r="O16" s="33"/>
      <c r="P16" s="43" t="e">
        <f>SUMIF([11]Statements!$A$5:$A$1305,$A$3,[11]Statements!$BZ$5:$BZ$1305)</f>
        <v>#VALUE!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 t="e">
        <f>SUMIF([11]Statements!$BX$5:$BX$1305,$A$3,[11]Statements!$CG$5:$CG$1305)</f>
        <v>#VALUE!</v>
      </c>
      <c r="O17" s="41" t="e">
        <f>SUMIF([11]Statements!$BX$5:$BX$1305,$A$3,[11]Statements!$CH$5:$CH$1305)</f>
        <v>#VALUE!</v>
      </c>
      <c r="P17" s="41">
        <v>0</v>
      </c>
    </row>
    <row r="18" spans="1:16" x14ac:dyDescent="0.2">
      <c r="A18" t="s">
        <v>26</v>
      </c>
      <c r="B18" s="41" t="e">
        <f>SUMIF([12]Statements!$A$5:$A$1305,$A$3,[12]Statements!$BB$5:$BB$1305)</f>
        <v>#VALUE!</v>
      </c>
      <c r="C18" s="41"/>
      <c r="D18" s="41" t="e">
        <f t="shared" si="0"/>
        <v>#VALUE!</v>
      </c>
      <c r="E18" s="41">
        <v>0</v>
      </c>
      <c r="F18" s="41">
        <f>'[3]JP Morgan'!$I$13</f>
        <v>0</v>
      </c>
      <c r="G18" s="41"/>
      <c r="H18" s="41">
        <f t="shared" si="1"/>
        <v>0</v>
      </c>
      <c r="I18" s="41"/>
      <c r="J18" s="41"/>
      <c r="K18" s="41"/>
      <c r="L18" s="41" t="e">
        <f t="shared" si="3"/>
        <v>#VALUE!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 t="e">
        <f>SUMIF([13]Statements!$A$5:$A$1305,$A$3,[13]Statements!$BB$5:$BB$1305)</f>
        <v>#VALUE!</v>
      </c>
      <c r="C19" s="41"/>
      <c r="D19" s="41" t="e">
        <f t="shared" si="0"/>
        <v>#VALUE!</v>
      </c>
      <c r="E19" s="41">
        <v>0</v>
      </c>
      <c r="F19" s="41">
        <f>'[3]Man Financial'!$I$13</f>
        <v>0</v>
      </c>
      <c r="G19" s="41"/>
      <c r="H19" s="41">
        <f t="shared" si="1"/>
        <v>0</v>
      </c>
      <c r="I19" s="41"/>
      <c r="J19" s="41"/>
      <c r="K19" s="41"/>
      <c r="L19" s="41" t="e">
        <f t="shared" si="3"/>
        <v>#VALUE!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 t="e">
        <f>SUMIF([14]Statements!$A$5:$A$1305,$A$3,[14]Statements!$DB$5:$DB$1305)-67725</f>
        <v>#VALUE!</v>
      </c>
      <c r="C20" s="42"/>
      <c r="D20" s="41" t="e">
        <f t="shared" si="0"/>
        <v>#VALUE!</v>
      </c>
      <c r="E20" s="42">
        <v>0</v>
      </c>
      <c r="F20" s="42">
        <f>[3]PARIBAS!$J$19</f>
        <v>0</v>
      </c>
      <c r="G20" s="42"/>
      <c r="H20" s="41">
        <f t="shared" si="1"/>
        <v>0</v>
      </c>
      <c r="I20" s="42"/>
      <c r="J20" s="42"/>
      <c r="K20" s="42"/>
      <c r="L20" s="41" t="e">
        <f t="shared" si="3"/>
        <v>#VALUE!</v>
      </c>
      <c r="M20" s="12"/>
      <c r="N20" s="33"/>
      <c r="O20" s="33"/>
      <c r="P20" s="42" t="e">
        <f>SUMIF([14]Statements!$A$5:$A$1305,$A$3,[14]Statements!$DJ$5:$DJ$1305)</f>
        <v>#VALUE!</v>
      </c>
    </row>
    <row r="21" spans="1:16" x14ac:dyDescent="0.2">
      <c r="A21" t="s">
        <v>13</v>
      </c>
      <c r="B21" s="41" t="e">
        <f>SUMIF([15]Statements!$A$5:$A$1305,$A$3,[15]Statements!$EQ$5:$EQ$1305)+537932</f>
        <v>#VALUE!</v>
      </c>
      <c r="C21" s="41"/>
      <c r="D21" s="41" t="e">
        <f t="shared" si="0"/>
        <v>#VALUE!</v>
      </c>
      <c r="E21" s="41">
        <v>0</v>
      </c>
      <c r="F21" s="41">
        <f>'[3]PRUDENTIAL '!$I$11</f>
        <v>0</v>
      </c>
      <c r="G21" s="41"/>
      <c r="H21" s="41">
        <f t="shared" si="1"/>
        <v>0</v>
      </c>
      <c r="I21" s="41"/>
      <c r="J21" s="41"/>
      <c r="K21" s="41"/>
      <c r="L21" s="41" t="e">
        <f t="shared" ref="L21:L26" si="4">B21+E21-F21+J21</f>
        <v>#VALUE!</v>
      </c>
      <c r="M21" s="12"/>
      <c r="N21" s="33"/>
      <c r="O21" s="33"/>
      <c r="P21" s="41" t="e">
        <f>SUMIF([15]Statements!$A$5:$A$1305,$A$3,[15]Statements!$EC$5:$EC$1305)</f>
        <v>#VALUE!</v>
      </c>
    </row>
    <row r="22" spans="1:16" x14ac:dyDescent="0.2">
      <c r="A22" t="s">
        <v>14</v>
      </c>
      <c r="B22" s="41" t="e">
        <f>SUMIF([16]Statements!$A$5:$A$1305,$A$3,[16]Statements!$BC$5:$BC$1305)-835.5</f>
        <v>#VALUE!</v>
      </c>
      <c r="C22" s="41"/>
      <c r="D22" s="41" t="e">
        <f t="shared" si="0"/>
        <v>#VALUE!</v>
      </c>
      <c r="E22" s="41">
        <v>0</v>
      </c>
      <c r="F22" s="41">
        <f>[3]REFCO!$K$12</f>
        <v>0</v>
      </c>
      <c r="G22" s="41"/>
      <c r="H22" s="41">
        <f t="shared" si="1"/>
        <v>0</v>
      </c>
      <c r="I22" s="41"/>
      <c r="J22" s="41"/>
      <c r="K22" s="41"/>
      <c r="L22" s="41" t="e">
        <f t="shared" si="4"/>
        <v>#VALUE!</v>
      </c>
      <c r="M22" s="12"/>
      <c r="N22" s="33"/>
      <c r="O22" s="33"/>
      <c r="P22" s="41" t="e">
        <f>SUMIF([16]Statements!$A$5:$A$1305,$A$3,[16]Statements!$BB$5:$BB$1305)</f>
        <v>#VALUE!</v>
      </c>
    </row>
    <row r="23" spans="1:16" x14ac:dyDescent="0.2">
      <c r="A23" t="s">
        <v>18</v>
      </c>
      <c r="B23" s="41" t="e">
        <f>SUMIF([17]Statements!$A$5:$A$1305,$A$3,[17]Statements!$BN$5:$BN$1305)+1.5</f>
        <v>#VALUE!</v>
      </c>
      <c r="C23" s="41"/>
      <c r="D23" s="41" t="e">
        <f t="shared" si="0"/>
        <v>#VALUE!</v>
      </c>
      <c r="E23" s="41">
        <v>0</v>
      </c>
      <c r="F23" s="41">
        <f>'[3]R J O''Brien'!$K$17</f>
        <v>0</v>
      </c>
      <c r="G23" s="41"/>
      <c r="H23" s="41">
        <f t="shared" si="1"/>
        <v>0</v>
      </c>
      <c r="I23" s="41"/>
      <c r="J23" s="41"/>
      <c r="K23" s="41"/>
      <c r="L23" s="41" t="e">
        <f t="shared" si="4"/>
        <v>#VALUE!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 t="e">
        <f>SUMIF([18]Statements!$A$5:$A$1305,$A$3,[18]Statements!$CK$5:$CK$1305)-39516</f>
        <v>#VALUE!</v>
      </c>
      <c r="C24" s="41"/>
      <c r="D24" s="41" t="e">
        <f t="shared" si="0"/>
        <v>#VALUE!</v>
      </c>
      <c r="E24" s="41">
        <v>0</v>
      </c>
      <c r="F24" s="41">
        <f>[3]SAUL!$I$13</f>
        <v>0</v>
      </c>
      <c r="G24" s="41"/>
      <c r="H24" s="41">
        <f t="shared" si="1"/>
        <v>0</v>
      </c>
      <c r="I24" s="41"/>
      <c r="J24" s="41"/>
      <c r="K24" s="41"/>
      <c r="L24" s="41" t="e">
        <f t="shared" si="4"/>
        <v>#VALUE!</v>
      </c>
      <c r="M24" s="12"/>
      <c r="N24" s="33"/>
      <c r="O24" s="33"/>
      <c r="P24" s="41" t="e">
        <f>SUMIF([18]Statements!$A$5:$A$1305,$A$3,[18]Statements!$CD$5:$CD$1305)</f>
        <v>#VALUE!</v>
      </c>
    </row>
    <row r="25" spans="1:16" ht="12" customHeight="1" x14ac:dyDescent="0.2">
      <c r="A25" s="18" t="s">
        <v>41</v>
      </c>
      <c r="B25" s="41" t="e">
        <f>SUMIF([19]Statements!$A$5:$A$1305,$A$3,[19]Statements!$CP$5:$CP$1305)</f>
        <v>#VALUE!</v>
      </c>
      <c r="C25" s="41"/>
      <c r="D25" s="41" t="e">
        <f t="shared" si="0"/>
        <v>#VALUE!</v>
      </c>
      <c r="E25" s="42">
        <v>0</v>
      </c>
      <c r="F25" s="42">
        <f>'[3]Smith Barney'!ReqTotal</f>
        <v>0</v>
      </c>
      <c r="G25" s="42">
        <f>IF('[2]Smith Barney'!CurrentLoanValue&lt;50000000,IF('[2]Smith Barney'!CurrentLoanValue&gt;'[2]Smith Barney'!K16,'[2]Smith Barney'!K16,'[2]Smith Barney'!CurrentLoanValue),50000000)</f>
        <v>0</v>
      </c>
      <c r="H25" s="42">
        <f t="shared" si="1"/>
        <v>0</v>
      </c>
      <c r="I25" s="42"/>
      <c r="J25" s="42"/>
      <c r="K25" s="42"/>
      <c r="L25" s="41" t="e">
        <f t="shared" si="4"/>
        <v>#VALUE!</v>
      </c>
      <c r="M25" s="12"/>
      <c r="N25" s="33"/>
      <c r="O25" s="33"/>
      <c r="P25" s="41" t="e">
        <f>SUMIF([19]Statements!$A$5:$A$1305,$A$3,[19]Statements!$CX$5:$CX$1305)</f>
        <v>#VALUE!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'[3]Smith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 t="e">
        <f>SUMIF([20]Statements!$A$5:$A$1305,$A$3,[20]Statements!$CX$5:$CX$1305)</f>
        <v>#VALUE!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 t="e">
        <f>SUM(B7:B26)</f>
        <v>#VALUE!</v>
      </c>
      <c r="C28" s="45">
        <f>SUM(C7:C26)</f>
        <v>0</v>
      </c>
      <c r="D28" s="45" t="e">
        <f>SUM(D7:D26)</f>
        <v>#VALUE!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 t="e">
        <f t="shared" si="5"/>
        <v>#VALUE!</v>
      </c>
      <c r="M28" s="27"/>
      <c r="N28" s="45" t="e">
        <f>SUM(N7:N27)</f>
        <v>#VALUE!</v>
      </c>
      <c r="O28" s="45" t="e">
        <f>SUM(O7:O27)</f>
        <v>#VALUE!</v>
      </c>
      <c r="P28" s="45" t="e">
        <f>SUM(P7:P27)</f>
        <v>#VALUE!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 t="e">
        <f>+B28+SUM(B30:B31)</f>
        <v>#VALUE!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 t="e">
        <f>B28+E28-F28+J28</f>
        <v>#VALUE!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topLeftCell="C1"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37291</v>
      </c>
      <c r="M2" s="3"/>
    </row>
    <row r="3" spans="1:17" ht="18" x14ac:dyDescent="0.25">
      <c r="A3" s="5">
        <v>37288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0.69900000531924888</v>
      </c>
      <c r="C9" s="43"/>
      <c r="D9" s="41">
        <v>0.69900000531924888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0.69900000531924888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4402616.4115214385</v>
      </c>
      <c r="C12" s="41"/>
      <c r="D12" s="41">
        <v>4402616.4115214385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4402616.4115214385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8381917.7759997649</v>
      </c>
      <c r="C14" s="41"/>
      <c r="D14" s="41">
        <v>8381917.7759997649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8381917.7759997649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-2123.7328479999851</v>
      </c>
      <c r="C16" s="41"/>
      <c r="D16" s="41">
        <v>-2123.7328479999851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-2123.7328479999851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0.39284241863060743</v>
      </c>
      <c r="C21" s="41"/>
      <c r="D21" s="41">
        <v>0.39284241863060743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0.39284241863060743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95662095.411515743</v>
      </c>
      <c r="C28" s="45">
        <f t="shared" ref="C28:J28" si="0">SUM(C8:C27)</f>
        <v>0</v>
      </c>
      <c r="D28" s="45">
        <f>SUM(D8:D26)</f>
        <v>95662095.411515743</v>
      </c>
      <c r="E28" s="45">
        <f t="shared" si="0"/>
        <v>0</v>
      </c>
      <c r="F28" s="45">
        <f t="shared" si="0"/>
        <v>0</v>
      </c>
      <c r="G28" s="45">
        <f t="shared" si="0"/>
        <v>0</v>
      </c>
      <c r="H28" s="45">
        <f t="shared" si="0"/>
        <v>0</v>
      </c>
      <c r="I28" s="45"/>
      <c r="J28" s="45">
        <f t="shared" si="0"/>
        <v>0</v>
      </c>
      <c r="K28" s="45"/>
      <c r="L28" s="45">
        <f>SUM(L8:L27)</f>
        <v>95662095.411515743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97203940.871515751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97203940.871515751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0201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2002-02-04T22:34:27Z</cp:lastPrinted>
  <dcterms:created xsi:type="dcterms:W3CDTF">2000-04-03T19:03:47Z</dcterms:created>
  <dcterms:modified xsi:type="dcterms:W3CDTF">2014-09-04T16:25:38Z</dcterms:modified>
</cp:coreProperties>
</file>