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4170" windowWidth="13980" windowHeight="8385"/>
  </bookViews>
  <sheets>
    <sheet name="MPR" sheetId="1" r:id="rId1"/>
    <sheet name="Income from Dawes" sheetId="2" r:id="rId2"/>
    <sheet name="Devries" sheetId="4" r:id="rId3"/>
    <sheet name="Milnthorp" sheetId="5" r:id="rId4"/>
  </sheets>
  <externalReferences>
    <externalReference r:id="rId5"/>
    <externalReference r:id="rId6"/>
  </externalReferences>
  <calcPr calcId="152511"/>
</workbook>
</file>

<file path=xl/calcChain.xml><?xml version="1.0" encoding="utf-8"?>
<calcChain xmlns="http://schemas.openxmlformats.org/spreadsheetml/2006/main">
  <c r="I5" i="4" l="1"/>
  <c r="C8" i="4"/>
  <c r="D8" i="4"/>
  <c r="E8" i="4"/>
  <c r="F8" i="4"/>
  <c r="W8" i="4" s="1"/>
  <c r="H8" i="4"/>
  <c r="I8" i="4"/>
  <c r="J8" i="4"/>
  <c r="K8" i="4"/>
  <c r="M8" i="4"/>
  <c r="N8" i="4"/>
  <c r="O8" i="4"/>
  <c r="P8" i="4"/>
  <c r="R8" i="4"/>
  <c r="U8" i="4" s="1"/>
  <c r="S8" i="4"/>
  <c r="T8" i="4"/>
  <c r="C9" i="4"/>
  <c r="D9" i="4"/>
  <c r="E9" i="4"/>
  <c r="E11" i="4" s="1"/>
  <c r="E18" i="4" s="1"/>
  <c r="F9" i="4"/>
  <c r="W9" i="4" s="1"/>
  <c r="H9" i="4"/>
  <c r="I9" i="4"/>
  <c r="J9" i="4"/>
  <c r="K9" i="4" s="1"/>
  <c r="M9" i="4"/>
  <c r="N9" i="4"/>
  <c r="O9" i="4"/>
  <c r="P9" i="4"/>
  <c r="R9" i="4"/>
  <c r="S9" i="4"/>
  <c r="T9" i="4"/>
  <c r="U9" i="4" s="1"/>
  <c r="C10" i="4"/>
  <c r="D10" i="4"/>
  <c r="F10" i="4" s="1"/>
  <c r="W10" i="4" s="1"/>
  <c r="E10" i="4"/>
  <c r="H10" i="4"/>
  <c r="I10" i="4"/>
  <c r="K10" i="4" s="1"/>
  <c r="J10" i="4"/>
  <c r="P10" i="4"/>
  <c r="C11" i="4"/>
  <c r="H11" i="4"/>
  <c r="J11" i="4"/>
  <c r="J18" i="4" s="1"/>
  <c r="M11" i="4"/>
  <c r="P11" i="4" s="1"/>
  <c r="N11" i="4"/>
  <c r="C12" i="4"/>
  <c r="D12" i="4"/>
  <c r="E12" i="4"/>
  <c r="F12" i="4"/>
  <c r="H12" i="4"/>
  <c r="K12" i="4" s="1"/>
  <c r="I12" i="4"/>
  <c r="J12" i="4"/>
  <c r="M12" i="4"/>
  <c r="N12" i="4"/>
  <c r="O12" i="4"/>
  <c r="P12" i="4"/>
  <c r="R12" i="4"/>
  <c r="U12" i="4" s="1"/>
  <c r="S12" i="4"/>
  <c r="T12" i="4"/>
  <c r="C13" i="4"/>
  <c r="D13" i="4"/>
  <c r="E13" i="4"/>
  <c r="F13" i="4"/>
  <c r="W13" i="4" s="1"/>
  <c r="H13" i="4"/>
  <c r="I13" i="4"/>
  <c r="J13" i="4"/>
  <c r="K13" i="4" s="1"/>
  <c r="M13" i="4"/>
  <c r="N13" i="4"/>
  <c r="O13" i="4"/>
  <c r="P13" i="4"/>
  <c r="R13" i="4"/>
  <c r="S13" i="4"/>
  <c r="T13" i="4"/>
  <c r="U13" i="4" s="1"/>
  <c r="C14" i="4"/>
  <c r="F14" i="4" s="1"/>
  <c r="D14" i="4"/>
  <c r="E14" i="4"/>
  <c r="H14" i="4"/>
  <c r="I14" i="4"/>
  <c r="K14" i="4" s="1"/>
  <c r="J14" i="4"/>
  <c r="M14" i="4"/>
  <c r="P14" i="4" s="1"/>
  <c r="N14" i="4"/>
  <c r="O14" i="4"/>
  <c r="R14" i="4"/>
  <c r="S14" i="4"/>
  <c r="U14" i="4" s="1"/>
  <c r="T14" i="4"/>
  <c r="C15" i="4"/>
  <c r="C17" i="4" s="1"/>
  <c r="D15" i="4"/>
  <c r="D17" i="4" s="1"/>
  <c r="E15" i="4"/>
  <c r="H15" i="4"/>
  <c r="I15" i="4"/>
  <c r="J15" i="4"/>
  <c r="K15" i="4"/>
  <c r="M15" i="4"/>
  <c r="M17" i="4" s="1"/>
  <c r="M18" i="4" s="1"/>
  <c r="M22" i="4" s="1"/>
  <c r="M25" i="4" s="1"/>
  <c r="N15" i="4"/>
  <c r="N17" i="4" s="1"/>
  <c r="N18" i="4" s="1"/>
  <c r="N22" i="4" s="1"/>
  <c r="N25" i="4" s="1"/>
  <c r="O15" i="4"/>
  <c r="R15" i="4"/>
  <c r="S15" i="4"/>
  <c r="T15" i="4"/>
  <c r="U15" i="4"/>
  <c r="C16" i="4"/>
  <c r="F16" i="4" s="1"/>
  <c r="D16" i="4"/>
  <c r="E16" i="4"/>
  <c r="H16" i="4"/>
  <c r="I16" i="4"/>
  <c r="J16" i="4"/>
  <c r="K16" i="4"/>
  <c r="M16" i="4"/>
  <c r="P16" i="4" s="1"/>
  <c r="N16" i="4"/>
  <c r="O16" i="4"/>
  <c r="R16" i="4"/>
  <c r="S16" i="4"/>
  <c r="T16" i="4"/>
  <c r="U16" i="4"/>
  <c r="E17" i="4"/>
  <c r="H17" i="4"/>
  <c r="I17" i="4"/>
  <c r="J17" i="4"/>
  <c r="K17" i="4"/>
  <c r="O17" i="4"/>
  <c r="O18" i="4"/>
  <c r="O22" i="4" s="1"/>
  <c r="O25" i="4" s="1"/>
  <c r="S18" i="4"/>
  <c r="S22" i="4" s="1"/>
  <c r="S25" i="4" s="1"/>
  <c r="F20" i="4"/>
  <c r="W20" i="4" s="1"/>
  <c r="K20" i="4"/>
  <c r="P20" i="4"/>
  <c r="U20" i="4"/>
  <c r="A28" i="4"/>
  <c r="B3" i="2"/>
  <c r="C3" i="2"/>
  <c r="D3" i="2"/>
  <c r="E3" i="2"/>
  <c r="F3" i="2"/>
  <c r="G3" i="2"/>
  <c r="H3" i="2"/>
  <c r="I3" i="2"/>
  <c r="J3" i="2"/>
  <c r="C16" i="5"/>
  <c r="E16" i="5"/>
  <c r="B5" i="1"/>
  <c r="F7" i="1"/>
  <c r="F8" i="1"/>
  <c r="H8" i="1"/>
  <c r="D11" i="1"/>
  <c r="F11" i="1"/>
  <c r="D12" i="1"/>
  <c r="H12" i="1" s="1"/>
  <c r="H5" i="1" s="1"/>
  <c r="C17" i="1"/>
  <c r="D17" i="1"/>
  <c r="E17" i="1"/>
  <c r="E19" i="1" s="1"/>
  <c r="D9" i="1" s="1"/>
  <c r="C18" i="1"/>
  <c r="D18" i="1"/>
  <c r="E18" i="1" s="1"/>
  <c r="C23" i="1"/>
  <c r="D23" i="1"/>
  <c r="E23" i="1" s="1"/>
  <c r="C26" i="1"/>
  <c r="D26" i="1"/>
  <c r="E26" i="1"/>
  <c r="C29" i="1"/>
  <c r="E29" i="1" s="1"/>
  <c r="E31" i="1" s="1"/>
  <c r="D10" i="1" s="1"/>
  <c r="F10" i="1" s="1"/>
  <c r="F9" i="1" l="1"/>
  <c r="D5" i="1"/>
  <c r="F5" i="1" s="1"/>
  <c r="W14" i="4"/>
  <c r="W12" i="4"/>
  <c r="U18" i="4"/>
  <c r="U22" i="4" s="1"/>
  <c r="F17" i="4"/>
  <c r="W16" i="4"/>
  <c r="F12" i="1"/>
  <c r="R18" i="4"/>
  <c r="R22" i="4" s="1"/>
  <c r="H18" i="4"/>
  <c r="P15" i="4"/>
  <c r="P17" i="4" s="1"/>
  <c r="P18" i="4" s="1"/>
  <c r="P22" i="4" s="1"/>
  <c r="P25" i="4" s="1"/>
  <c r="F15" i="4"/>
  <c r="D11" i="4"/>
  <c r="D18" i="4" s="1"/>
  <c r="I11" i="4"/>
  <c r="C18" i="4"/>
  <c r="T18" i="4"/>
  <c r="T22" i="4" s="1"/>
  <c r="U25" i="4" l="1"/>
  <c r="I18" i="4"/>
  <c r="K11" i="4"/>
  <c r="K18" i="4" s="1"/>
  <c r="F11" i="4"/>
  <c r="T25" i="4"/>
  <c r="R25" i="4"/>
  <c r="W15" i="4"/>
  <c r="W17" i="4"/>
  <c r="W11" i="4" l="1"/>
  <c r="F18" i="4"/>
  <c r="W28" i="4" l="1"/>
  <c r="W30" i="4" s="1"/>
  <c r="W18" i="4"/>
  <c r="W22" i="4" s="1"/>
  <c r="W25" i="4" s="1"/>
</calcChain>
</file>

<file path=xl/comments1.xml><?xml version="1.0" encoding="utf-8"?>
<comments xmlns="http://schemas.openxmlformats.org/spreadsheetml/2006/main">
  <authors>
    <author>Derek C. Lynn</author>
  </authors>
  <commentList>
    <comment ref="D11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Dividends from Blue Range proceedings.  Income split 50/50 between Rob Milnthorp and Kyle Kitagawa.</t>
        </r>
      </text>
    </comment>
    <comment ref="C17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1.5031 December average CAD/USD fx</t>
        </r>
      </text>
    </comment>
    <comment ref="D17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september average FX 1.5677</t>
        </r>
      </text>
    </comment>
    <comment ref="C18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1.5508 CAD/USD fx on date of purchase March 12, 2001.</t>
        </r>
      </text>
    </comment>
    <comment ref="C23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1.5031 December average CAD/USD fx</t>
        </r>
      </text>
    </comment>
    <comment ref="C26" authorId="0" shapeId="0">
      <text>
        <r>
          <rPr>
            <b/>
            <sz val="8"/>
            <color indexed="81"/>
            <rFont val="Tahoma"/>
          </rPr>
          <t>Derek C. Lynn:</t>
        </r>
        <r>
          <rPr>
            <sz val="8"/>
            <color indexed="81"/>
            <rFont val="Tahoma"/>
          </rPr>
          <t xml:space="preserve">
1.5218 February average CAD/USD fx</t>
        </r>
      </text>
    </comment>
  </commentList>
</comments>
</file>

<file path=xl/sharedStrings.xml><?xml version="1.0" encoding="utf-8"?>
<sst xmlns="http://schemas.openxmlformats.org/spreadsheetml/2006/main" count="82" uniqueCount="70">
  <si>
    <t>MPR CANADIAN INCOME RECONCILIATION</t>
  </si>
  <si>
    <t>Per MPR and Carole Carter</t>
  </si>
  <si>
    <t>Total</t>
  </si>
  <si>
    <t>Invasion</t>
  </si>
  <si>
    <t>Papier Masson</t>
  </si>
  <si>
    <t>Impact</t>
  </si>
  <si>
    <t>Per ECC and Derek Lynn</t>
  </si>
  <si>
    <t>Difference</t>
  </si>
  <si>
    <t>Shares</t>
  </si>
  <si>
    <t>Cost</t>
  </si>
  <si>
    <t>P&amp;L</t>
  </si>
  <si>
    <t>all figures in USD except share amounts</t>
  </si>
  <si>
    <t>Startech Energy</t>
  </si>
  <si>
    <t>price sold at</t>
  </si>
  <si>
    <t>ARC Energy Trust</t>
  </si>
  <si>
    <t>ARC dividend</t>
  </si>
  <si>
    <t>Dividend per share</t>
  </si>
  <si>
    <t>Impact:</t>
  </si>
  <si>
    <t>Other:</t>
  </si>
  <si>
    <t>Total "other"</t>
  </si>
  <si>
    <t>Details of Impact and "Other" as per ECC</t>
  </si>
  <si>
    <t>Other = Startech and ARC</t>
  </si>
  <si>
    <t>Other misc Income as per Cheryl Dawes</t>
  </si>
  <si>
    <t>Blue Range</t>
  </si>
  <si>
    <t>Actual Numbers</t>
  </si>
  <si>
    <t>Additional revenue C$</t>
  </si>
  <si>
    <t>Additional revenue US$</t>
  </si>
  <si>
    <t>FX</t>
  </si>
  <si>
    <t>Total  Q2</t>
  </si>
  <si>
    <t>Total  Q3</t>
  </si>
  <si>
    <t>Total  Q4</t>
  </si>
  <si>
    <r>
      <t xml:space="preserve">Deferred charge amortization </t>
    </r>
    <r>
      <rPr>
        <sz val="8"/>
        <rFont val="Times New Roman"/>
        <family val="1"/>
      </rPr>
      <t>(SAP 42000000)</t>
    </r>
  </si>
  <si>
    <t>Net Paper Swaps</t>
  </si>
  <si>
    <t>Net F/X</t>
  </si>
  <si>
    <t>Subtotal</t>
  </si>
  <si>
    <t>(Revenue)/Expense from Hedge (28C)</t>
  </si>
  <si>
    <t>Total (Revenue)/Expense RC #236</t>
  </si>
  <si>
    <t>Total (Revenue)/Expense</t>
  </si>
  <si>
    <t>CES Originations Paper Deals</t>
  </si>
  <si>
    <r>
      <t xml:space="preserve">2001 Income Summary </t>
    </r>
    <r>
      <rPr>
        <b/>
        <sz val="12"/>
        <color indexed="10"/>
        <rFont val="Times New Roman"/>
        <family val="1"/>
      </rPr>
      <t xml:space="preserve"> USD</t>
    </r>
  </si>
  <si>
    <t>Total Q1</t>
  </si>
  <si>
    <t>F/X</t>
  </si>
  <si>
    <t>Calger RC #236</t>
  </si>
  <si>
    <t>Paper Swaps Interco</t>
  </si>
  <si>
    <t>Paper Swaps 3rd Party</t>
  </si>
  <si>
    <t>Papier Masson MTM Adjustment</t>
  </si>
  <si>
    <t>Interest Income (PML)</t>
  </si>
  <si>
    <t>Other Income (Papier Masson Amort)</t>
  </si>
  <si>
    <t>F/X Liquidations - Interco</t>
  </si>
  <si>
    <t>F/X Liquidations - Papier Masson</t>
  </si>
  <si>
    <t>Total for Devries per Canada</t>
  </si>
  <si>
    <t>Variance</t>
  </si>
  <si>
    <t>Total for Devries detail - PML Service</t>
  </si>
  <si>
    <t xml:space="preserve"> </t>
  </si>
  <si>
    <t>Executive Origination- USD</t>
  </si>
  <si>
    <t>YTD 09/30/01</t>
  </si>
  <si>
    <t>Description</t>
  </si>
  <si>
    <t>Orig Cdn$</t>
  </si>
  <si>
    <t>Orig US$</t>
  </si>
  <si>
    <t>Notes</t>
  </si>
  <si>
    <t>CNRL/ Blue Range</t>
  </si>
  <si>
    <t>Includes CNRL Warrants, Blue Range Payment and PWC payment</t>
  </si>
  <si>
    <t>Interest Short Term Investments-0444</t>
  </si>
  <si>
    <t>Interest on overnight investments- cc. 0444</t>
  </si>
  <si>
    <t>IMO Director Fees</t>
  </si>
  <si>
    <t>Includes IMO fees and CGCC share redemption</t>
  </si>
  <si>
    <t>Interest Promissory Note</t>
  </si>
  <si>
    <t>Misc Promissory Notes with EES</t>
  </si>
  <si>
    <t>Interest Short Term Investments-1048</t>
  </si>
  <si>
    <t>Interest on overnight investments- cc. 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</si>
</sst>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0"/>
    <numFmt numFmtId="168" formatCode="_(* #,##0.0000_);_(* \(#,##0.0000\);_(* &quot;-&quot;??_);_(@_)"/>
    <numFmt numFmtId="170" formatCode="_(* #,##0_);_(* \(#,##0\);_(* &quot;-&quot;??_);_(@_)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sz val="8"/>
      <name val="Times New Roman"/>
      <family val="1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i/>
      <sz val="12"/>
      <color indexed="48"/>
      <name val="Times New Roman"/>
      <family val="1"/>
    </font>
    <font>
      <sz val="12"/>
      <color indexed="48"/>
      <name val="Times New Roman"/>
      <family val="1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3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38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7" fontId="0" fillId="0" borderId="0" xfId="0" applyNumberFormat="1" applyBorder="1"/>
    <xf numFmtId="37" fontId="0" fillId="0" borderId="4" xfId="0" applyNumberFormat="1" applyBorder="1"/>
    <xf numFmtId="37" fontId="5" fillId="0" borderId="4" xfId="0" applyNumberFormat="1" applyFont="1" applyBorder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7" fontId="0" fillId="0" borderId="6" xfId="0" applyNumberFormat="1" applyBorder="1"/>
    <xf numFmtId="37" fontId="0" fillId="0" borderId="8" xfId="0" applyNumberFormat="1" applyBorder="1"/>
    <xf numFmtId="0" fontId="2" fillId="0" borderId="3" xfId="0" applyFont="1" applyBorder="1"/>
    <xf numFmtId="1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37" fontId="4" fillId="0" borderId="0" xfId="0" applyNumberFormat="1" applyFont="1" applyBorder="1"/>
    <xf numFmtId="7" fontId="4" fillId="0" borderId="0" xfId="0" applyNumberFormat="1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/>
    <xf numFmtId="38" fontId="2" fillId="0" borderId="0" xfId="0" applyNumberFormat="1" applyFont="1" applyBorder="1"/>
    <xf numFmtId="38" fontId="2" fillId="0" borderId="0" xfId="0" applyNumberFormat="1" applyFont="1" applyBorder="1" applyAlignment="1">
      <alignment horizontal="center"/>
    </xf>
    <xf numFmtId="5" fontId="0" fillId="0" borderId="0" xfId="0" applyNumberFormat="1"/>
    <xf numFmtId="7" fontId="0" fillId="0" borderId="0" xfId="0" applyNumberFormat="1"/>
    <xf numFmtId="0" fontId="3" fillId="0" borderId="0" xfId="0" applyFont="1" applyBorder="1"/>
    <xf numFmtId="0" fontId="0" fillId="0" borderId="0" xfId="0" applyFill="1" applyBorder="1"/>
    <xf numFmtId="0" fontId="2" fillId="0" borderId="9" xfId="0" applyFon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5" fontId="4" fillId="0" borderId="0" xfId="0" applyNumberFormat="1" applyFont="1"/>
    <xf numFmtId="17" fontId="4" fillId="0" borderId="0" xfId="0" applyNumberFormat="1" applyFont="1" applyBorder="1"/>
    <xf numFmtId="167" fontId="4" fillId="0" borderId="0" xfId="0" applyNumberFormat="1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7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0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0" xfId="0" applyFill="1" applyBorder="1"/>
    <xf numFmtId="0" fontId="0" fillId="0" borderId="13" xfId="0" applyFill="1" applyBorder="1"/>
    <xf numFmtId="0" fontId="0" fillId="0" borderId="14" xfId="0" applyFill="1" applyBorder="1"/>
    <xf numFmtId="43" fontId="13" fillId="0" borderId="0" xfId="1" applyFont="1" applyFill="1" applyBorder="1"/>
    <xf numFmtId="43" fontId="0" fillId="0" borderId="14" xfId="1" applyFont="1" applyFill="1" applyBorder="1"/>
    <xf numFmtId="43" fontId="0" fillId="0" borderId="0" xfId="1" applyFont="1" applyFill="1" applyBorder="1"/>
    <xf numFmtId="43" fontId="0" fillId="0" borderId="15" xfId="1" applyFont="1" applyFill="1" applyBorder="1"/>
    <xf numFmtId="43" fontId="0" fillId="0" borderId="13" xfId="1" applyFont="1" applyFill="1" applyBorder="1"/>
    <xf numFmtId="0" fontId="10" fillId="0" borderId="13" xfId="0" applyFont="1" applyFill="1" applyBorder="1"/>
    <xf numFmtId="0" fontId="10" fillId="0" borderId="0" xfId="0" applyFont="1" applyFill="1" applyBorder="1"/>
    <xf numFmtId="43" fontId="10" fillId="0" borderId="16" xfId="1" applyFont="1" applyFill="1" applyBorder="1"/>
    <xf numFmtId="43" fontId="10" fillId="0" borderId="17" xfId="1" applyFont="1" applyFill="1" applyBorder="1"/>
    <xf numFmtId="43" fontId="10" fillId="0" borderId="18" xfId="1" applyFont="1" applyFill="1" applyBorder="1"/>
    <xf numFmtId="43" fontId="14" fillId="0" borderId="14" xfId="1" applyFont="1" applyFill="1" applyBorder="1"/>
    <xf numFmtId="43" fontId="10" fillId="0" borderId="19" xfId="1" applyFont="1" applyFill="1" applyBorder="1"/>
    <xf numFmtId="43" fontId="10" fillId="0" borderId="20" xfId="1" applyFont="1" applyFill="1" applyBorder="1"/>
    <xf numFmtId="43" fontId="10" fillId="0" borderId="21" xfId="1" applyFont="1" applyFill="1" applyBorder="1"/>
    <xf numFmtId="0" fontId="0" fillId="0" borderId="9" xfId="0" applyFill="1" applyBorder="1"/>
    <xf numFmtId="43" fontId="0" fillId="0" borderId="9" xfId="1" applyFont="1" applyFill="1" applyBorder="1"/>
    <xf numFmtId="43" fontId="0" fillId="0" borderId="22" xfId="1" applyFont="1" applyFill="1" applyBorder="1"/>
    <xf numFmtId="43" fontId="0" fillId="0" borderId="0" xfId="1" applyFont="1" applyFill="1"/>
    <xf numFmtId="43" fontId="0" fillId="0" borderId="10" xfId="1" applyFont="1" applyFill="1" applyBorder="1"/>
    <xf numFmtId="0" fontId="10" fillId="0" borderId="0" xfId="0" applyFont="1" applyFill="1"/>
    <xf numFmtId="43" fontId="10" fillId="0" borderId="23" xfId="1" applyFont="1" applyFill="1" applyBorder="1"/>
    <xf numFmtId="43" fontId="10" fillId="0" borderId="24" xfId="1" applyFont="1" applyFill="1" applyBorder="1"/>
    <xf numFmtId="0" fontId="15" fillId="0" borderId="0" xfId="0" applyFont="1" applyFill="1"/>
    <xf numFmtId="168" fontId="0" fillId="0" borderId="0" xfId="1" applyNumberFormat="1" applyFont="1" applyFill="1"/>
    <xf numFmtId="0" fontId="0" fillId="0" borderId="25" xfId="0" applyFill="1" applyBorder="1"/>
    <xf numFmtId="0" fontId="0" fillId="0" borderId="26" xfId="0" applyFill="1" applyBorder="1"/>
    <xf numFmtId="43" fontId="0" fillId="0" borderId="26" xfId="1" applyFont="1" applyFill="1" applyBorder="1"/>
    <xf numFmtId="43" fontId="10" fillId="0" borderId="27" xfId="1" applyFont="1" applyFill="1" applyBorder="1"/>
    <xf numFmtId="43" fontId="14" fillId="0" borderId="26" xfId="1" applyFont="1" applyFill="1" applyBorder="1"/>
    <xf numFmtId="43" fontId="10" fillId="0" borderId="28" xfId="1" applyFont="1" applyFill="1" applyBorder="1"/>
    <xf numFmtId="43" fontId="0" fillId="0" borderId="29" xfId="1" applyFont="1" applyFill="1" applyBorder="1"/>
    <xf numFmtId="43" fontId="0" fillId="0" borderId="14" xfId="0" applyNumberFormat="1" applyFill="1" applyBorder="1"/>
    <xf numFmtId="43" fontId="0" fillId="0" borderId="15" xfId="0" applyNumberFormat="1" applyFill="1" applyBorder="1"/>
    <xf numFmtId="43" fontId="0" fillId="0" borderId="11" xfId="1" applyFont="1" applyFill="1" applyBorder="1"/>
    <xf numFmtId="43" fontId="0" fillId="0" borderId="17" xfId="1" applyFont="1" applyFill="1" applyBorder="1"/>
    <xf numFmtId="43" fontId="16" fillId="0" borderId="13" xfId="1" applyFont="1" applyFill="1" applyBorder="1"/>
    <xf numFmtId="43" fontId="17" fillId="0" borderId="0" xfId="1" applyFont="1" applyFill="1" applyBorder="1"/>
    <xf numFmtId="43" fontId="16" fillId="0" borderId="0" xfId="1" applyFont="1" applyFill="1" applyBorder="1"/>
    <xf numFmtId="43" fontId="17" fillId="0" borderId="13" xfId="1" applyFont="1" applyFill="1" applyBorder="1"/>
    <xf numFmtId="0" fontId="0" fillId="0" borderId="22" xfId="0" applyFill="1" applyBorder="1"/>
    <xf numFmtId="0" fontId="0" fillId="0" borderId="15" xfId="0" applyFill="1" applyBorder="1"/>
    <xf numFmtId="43" fontId="0" fillId="0" borderId="0" xfId="0" applyNumberFormat="1" applyFill="1"/>
    <xf numFmtId="43" fontId="0" fillId="2" borderId="14" xfId="0" applyNumberFormat="1" applyFill="1" applyBorder="1"/>
    <xf numFmtId="43" fontId="0" fillId="2" borderId="15" xfId="0" applyNumberFormat="1" applyFill="1" applyBorder="1"/>
    <xf numFmtId="170" fontId="0" fillId="2" borderId="0" xfId="1" applyNumberFormat="1" applyFont="1" applyFill="1"/>
    <xf numFmtId="170" fontId="0" fillId="0" borderId="0" xfId="1" applyNumberFormat="1" applyFont="1" applyFill="1"/>
    <xf numFmtId="170" fontId="0" fillId="2" borderId="9" xfId="1" applyNumberFormat="1" applyFont="1" applyFill="1" applyBorder="1"/>
    <xf numFmtId="0" fontId="0" fillId="2" borderId="0" xfId="0" applyFill="1" applyBorder="1"/>
    <xf numFmtId="38" fontId="4" fillId="2" borderId="0" xfId="0" applyNumberFormat="1" applyFont="1" applyFill="1" applyBorder="1"/>
    <xf numFmtId="38" fontId="6" fillId="2" borderId="0" xfId="0" applyNumberFormat="1" applyFont="1" applyFill="1" applyBorder="1" applyAlignment="1">
      <alignment horizontal="center"/>
    </xf>
    <xf numFmtId="0" fontId="0" fillId="2" borderId="0" xfId="0" applyFill="1"/>
    <xf numFmtId="38" fontId="0" fillId="2" borderId="0" xfId="0" applyNumberFormat="1" applyFill="1" applyBorder="1"/>
    <xf numFmtId="38" fontId="4" fillId="2" borderId="0" xfId="0" applyNumberFormat="1" applyFont="1" applyFill="1" applyBorder="1" applyAlignment="1">
      <alignment horizontal="center"/>
    </xf>
    <xf numFmtId="5" fontId="6" fillId="2" borderId="0" xfId="0" applyNumberFormat="1" applyFont="1" applyFill="1"/>
    <xf numFmtId="5" fontId="0" fillId="2" borderId="0" xfId="0" applyNumberFormat="1" applyFill="1"/>
    <xf numFmtId="0" fontId="3" fillId="3" borderId="7" xfId="0" applyFont="1" applyFill="1" applyBorder="1"/>
    <xf numFmtId="0" fontId="3" fillId="3" borderId="1" xfId="0" applyFont="1" applyFill="1" applyBorder="1"/>
    <xf numFmtId="0" fontId="0" fillId="3" borderId="2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8" xfId="0" applyFill="1" applyBorder="1"/>
    <xf numFmtId="0" fontId="18" fillId="0" borderId="9" xfId="0" applyFont="1" applyBorder="1" applyAlignment="1">
      <alignment horizontal="center"/>
    </xf>
    <xf numFmtId="0" fontId="0" fillId="0" borderId="9" xfId="0" applyBorder="1"/>
    <xf numFmtId="0" fontId="18" fillId="0" borderId="0" xfId="0" applyFont="1" applyBorder="1" applyAlignment="1">
      <alignment horizontal="center"/>
    </xf>
    <xf numFmtId="44" fontId="0" fillId="0" borderId="0" xfId="0" applyNumberFormat="1" applyBorder="1"/>
    <xf numFmtId="44" fontId="0" fillId="0" borderId="0" xfId="0" applyNumberFormat="1" applyBorder="1" applyAlignment="1">
      <alignment horizontal="center"/>
    </xf>
    <xf numFmtId="44" fontId="0" fillId="0" borderId="9" xfId="0" applyNumberFormat="1" applyBorder="1"/>
    <xf numFmtId="44" fontId="0" fillId="0" borderId="0" xfId="0" applyNumberFormat="1"/>
    <xf numFmtId="0" fontId="3" fillId="0" borderId="0" xfId="0" applyFont="1"/>
    <xf numFmtId="44" fontId="3" fillId="0" borderId="30" xfId="0" applyNumberFormat="1" applyFont="1" applyBorder="1"/>
    <xf numFmtId="44" fontId="3" fillId="2" borderId="3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14</xdr:row>
      <xdr:rowOff>57150</xdr:rowOff>
    </xdr:from>
    <xdr:to>
      <xdr:col>9</xdr:col>
      <xdr:colOff>590550</xdr:colOff>
      <xdr:row>22</xdr:row>
      <xdr:rowOff>114300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6343650" y="2428875"/>
          <a:ext cx="3371850" cy="1352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Impact shares were acquired as a result of ECC's ownership in Startech Energy.  Startech was acquired by Arc Energy Trust.  For each Startech share Enron owned Enron received 0.96 Arc shares and 1 Impact share.  The price of ARC at the time of the takeover was C$11.50 and the price of Impact was $0.47 for a combined value for Startech of $11.51.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carter/Local%20Settings/Temporary%20Internet%20Files/OLK6C4/IncomeSummary_Origina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FLASH/2001/May01/0501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$"/>
      <sheetName val="US$"/>
    </sheetNames>
    <sheetDataSet>
      <sheetData sheetId="0">
        <row r="8">
          <cell r="C8">
            <v>-117352.49</v>
          </cell>
          <cell r="D8">
            <v>-701589.47</v>
          </cell>
          <cell r="E8">
            <v>-422263.95</v>
          </cell>
          <cell r="H8">
            <v>-38423.07</v>
          </cell>
          <cell r="I8">
            <v>135505.79</v>
          </cell>
          <cell r="J8">
            <v>452383.97</v>
          </cell>
          <cell r="M8">
            <v>789491.93</v>
          </cell>
          <cell r="N8">
            <v>0</v>
          </cell>
          <cell r="O8">
            <v>0</v>
          </cell>
        </row>
        <row r="9">
          <cell r="C9">
            <v>116867.72</v>
          </cell>
          <cell r="D9">
            <v>-46059.42</v>
          </cell>
          <cell r="E9">
            <v>-1152583</v>
          </cell>
          <cell r="H9">
            <v>-709712.57</v>
          </cell>
          <cell r="I9">
            <v>-344705.41000000003</v>
          </cell>
          <cell r="J9">
            <v>-452832.47</v>
          </cell>
          <cell r="M9">
            <v>-789491.93</v>
          </cell>
          <cell r="N9">
            <v>0</v>
          </cell>
          <cell r="O9">
            <v>0</v>
          </cell>
        </row>
        <row r="10">
          <cell r="C10">
            <v>0</v>
          </cell>
          <cell r="D10">
            <v>747356.73</v>
          </cell>
          <cell r="E10">
            <v>1576160</v>
          </cell>
          <cell r="H10">
            <v>748135.63</v>
          </cell>
          <cell r="I10">
            <v>0</v>
          </cell>
          <cell r="J10">
            <v>0</v>
          </cell>
          <cell r="M10">
            <v>0</v>
          </cell>
          <cell r="N10">
            <v>0</v>
          </cell>
          <cell r="O10">
            <v>0</v>
          </cell>
        </row>
        <row r="12">
          <cell r="D12">
            <v>0</v>
          </cell>
          <cell r="E12">
            <v>-574770</v>
          </cell>
          <cell r="H12">
            <v>1781628</v>
          </cell>
        </row>
        <row r="13">
          <cell r="C13">
            <v>-263914</v>
          </cell>
          <cell r="D13">
            <v>-263193</v>
          </cell>
          <cell r="E13">
            <v>-238374</v>
          </cell>
          <cell r="H13">
            <v>-263914</v>
          </cell>
          <cell r="I13">
            <v>-255400.27</v>
          </cell>
          <cell r="J13">
            <v>-263401.57</v>
          </cell>
          <cell r="M13">
            <v>-250273.97</v>
          </cell>
          <cell r="N13">
            <v>-258616.44</v>
          </cell>
          <cell r="O13">
            <v>-258616.44</v>
          </cell>
        </row>
        <row r="14">
          <cell r="C14">
            <v>-41667</v>
          </cell>
          <cell r="D14">
            <v>0</v>
          </cell>
          <cell r="E14">
            <v>0</v>
          </cell>
          <cell r="H14">
            <v>0</v>
          </cell>
          <cell r="I14">
            <v>0</v>
          </cell>
          <cell r="J14">
            <v>125000</v>
          </cell>
          <cell r="M14">
            <v>0</v>
          </cell>
          <cell r="N14">
            <v>0</v>
          </cell>
        </row>
        <row r="15">
          <cell r="C15">
            <v>-176693.42</v>
          </cell>
          <cell r="D15">
            <v>20099.5</v>
          </cell>
          <cell r="E15">
            <v>217947.5</v>
          </cell>
          <cell r="H15">
            <v>152155.76999999999</v>
          </cell>
          <cell r="I15">
            <v>0</v>
          </cell>
          <cell r="J15">
            <v>-85539.13</v>
          </cell>
          <cell r="M15">
            <v>72302.039999999994</v>
          </cell>
          <cell r="N15">
            <v>102406.62</v>
          </cell>
          <cell r="O15">
            <v>354299.2</v>
          </cell>
        </row>
        <row r="16">
          <cell r="C16">
            <v>177196.52</v>
          </cell>
          <cell r="D16">
            <v>-19221.759999999998</v>
          </cell>
          <cell r="E16">
            <v>-216207.23</v>
          </cell>
          <cell r="H16">
            <v>-152441.42000000001</v>
          </cell>
          <cell r="I16">
            <v>0</v>
          </cell>
          <cell r="J16">
            <v>86087.53</v>
          </cell>
          <cell r="M16">
            <v>-70649.119999999995</v>
          </cell>
          <cell r="N16">
            <v>-100279.38</v>
          </cell>
          <cell r="O16">
            <v>-353304.13</v>
          </cell>
        </row>
      </sheetData>
      <sheetData sheetId="1">
        <row r="5">
          <cell r="C5">
            <v>1.4975000000000001</v>
          </cell>
          <cell r="D5">
            <v>1.5351999999999999</v>
          </cell>
          <cell r="E5">
            <v>1.5755999999999999</v>
          </cell>
          <cell r="H5">
            <v>1.5367999999999999</v>
          </cell>
          <cell r="I5">
            <v>1.5371999999999999</v>
          </cell>
          <cell r="J5">
            <v>1.5129999999999999</v>
          </cell>
          <cell r="M5">
            <v>1.5329999999999999</v>
          </cell>
          <cell r="N5">
            <v>1.5505</v>
          </cell>
          <cell r="O5">
            <v>1.5780000000000001</v>
          </cell>
          <cell r="R5">
            <v>1.5123</v>
          </cell>
          <cell r="S5">
            <v>1.5422</v>
          </cell>
          <cell r="T5">
            <v>1.522436842105263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*"/>
      <sheetName val="Pivot"/>
      <sheetName val="Econ"/>
      <sheetName val="TAGGRec"/>
      <sheetName val="Swaps Piv"/>
      <sheetName val="Swaps"/>
      <sheetName val="Refer"/>
      <sheetName val="FX"/>
      <sheetName val="Summ"/>
      <sheetName val="PhysPivot"/>
      <sheetName val="Phys"/>
      <sheetName val="TAGG Piv"/>
      <sheetName val="Fin"/>
      <sheetName val="TAGG-Fin"/>
      <sheetName val="Fin-Acctg"/>
    </sheetNames>
    <definedNames>
      <definedName name="FXLiq" refersTo="='FX'!$C$5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0">
          <cell r="C50">
            <v>1.5371999999999999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11" sqref="I11"/>
    </sheetView>
  </sheetViews>
  <sheetFormatPr defaultRowHeight="12.75" x14ac:dyDescent="0.2"/>
  <cols>
    <col min="1" max="1" width="34.5703125" customWidth="1"/>
    <col min="2" max="2" width="21.7109375" customWidth="1"/>
    <col min="3" max="3" width="11.140625" customWidth="1"/>
    <col min="4" max="4" width="13.7109375" customWidth="1"/>
    <col min="5" max="5" width="11.140625" customWidth="1"/>
    <col min="6" max="6" width="10.28515625" bestFit="1" customWidth="1"/>
    <col min="8" max="8" width="10.7109375" bestFit="1" customWidth="1"/>
    <col min="9" max="9" width="14.42578125" bestFit="1" customWidth="1"/>
    <col min="10" max="10" width="10.7109375" bestFit="1" customWidth="1"/>
  </cols>
  <sheetData>
    <row r="1" spans="1:10" ht="18" x14ac:dyDescent="0.25">
      <c r="A1" s="32" t="s">
        <v>0</v>
      </c>
      <c r="B1" s="5"/>
      <c r="C1" s="5"/>
      <c r="D1" s="5"/>
      <c r="E1" s="5"/>
      <c r="F1" s="5"/>
    </row>
    <row r="2" spans="1:10" x14ac:dyDescent="0.2">
      <c r="A2" s="5" t="s">
        <v>11</v>
      </c>
      <c r="B2" s="5"/>
      <c r="C2" s="5"/>
      <c r="D2" s="5"/>
      <c r="E2" s="5"/>
      <c r="F2" s="5"/>
    </row>
    <row r="3" spans="1:10" x14ac:dyDescent="0.2">
      <c r="A3" s="5"/>
      <c r="B3" s="5"/>
      <c r="C3" s="5"/>
      <c r="D3" s="5"/>
      <c r="E3" s="5"/>
      <c r="F3" s="5"/>
    </row>
    <row r="4" spans="1:10" x14ac:dyDescent="0.2">
      <c r="A4" s="26"/>
      <c r="B4" s="34" t="s">
        <v>1</v>
      </c>
      <c r="C4" s="27"/>
      <c r="D4" s="34" t="s">
        <v>6</v>
      </c>
      <c r="E4" s="26"/>
      <c r="F4" s="27" t="s">
        <v>7</v>
      </c>
      <c r="H4" s="34" t="s">
        <v>24</v>
      </c>
    </row>
    <row r="5" spans="1:10" x14ac:dyDescent="0.2">
      <c r="A5" s="27" t="s">
        <v>2</v>
      </c>
      <c r="B5" s="29">
        <f>SUM(B7:B10)</f>
        <v>6659000</v>
      </c>
      <c r="C5" s="27"/>
      <c r="D5" s="29">
        <f>SUM(D7:D12)</f>
        <v>8996575.9228127245</v>
      </c>
      <c r="F5" s="28">
        <f>D5-B5</f>
        <v>2337575.9228127245</v>
      </c>
      <c r="H5" s="29">
        <f>SUM(H7:H12)</f>
        <v>8983770.4830867425</v>
      </c>
      <c r="I5" s="31"/>
    </row>
    <row r="6" spans="1:10" x14ac:dyDescent="0.2">
      <c r="A6" s="5"/>
      <c r="B6" s="35"/>
      <c r="C6" s="5"/>
      <c r="D6" s="20"/>
      <c r="F6" s="5"/>
      <c r="H6" s="20"/>
      <c r="I6" s="1"/>
      <c r="J6" s="31"/>
    </row>
    <row r="7" spans="1:10" x14ac:dyDescent="0.2">
      <c r="A7" s="5" t="s">
        <v>3</v>
      </c>
      <c r="B7" s="21">
        <v>4908000</v>
      </c>
      <c r="C7" s="5"/>
      <c r="D7" s="21">
        <v>4908000</v>
      </c>
      <c r="F7" s="7">
        <f t="shared" ref="F7:F12" si="0">D7-B7</f>
        <v>0</v>
      </c>
      <c r="H7" s="21">
        <v>4900445.0748371407</v>
      </c>
    </row>
    <row r="8" spans="1:10" x14ac:dyDescent="0.2">
      <c r="A8" s="5" t="s">
        <v>4</v>
      </c>
      <c r="B8" s="21">
        <v>435000</v>
      </c>
      <c r="C8" s="5"/>
      <c r="D8" s="21">
        <v>435000</v>
      </c>
      <c r="F8" s="7">
        <f t="shared" si="0"/>
        <v>0</v>
      </c>
      <c r="H8" s="21">
        <f>D8</f>
        <v>435000</v>
      </c>
    </row>
    <row r="9" spans="1:10" x14ac:dyDescent="0.2">
      <c r="A9" s="5" t="s">
        <v>5</v>
      </c>
      <c r="B9" s="21">
        <v>389000</v>
      </c>
      <c r="C9" s="5"/>
      <c r="D9" s="22">
        <f>E19</f>
        <v>851306.92118978768</v>
      </c>
      <c r="F9" s="7">
        <f t="shared" si="0"/>
        <v>462306.92118978768</v>
      </c>
      <c r="H9" s="21">
        <v>840057.96483307192</v>
      </c>
    </row>
    <row r="10" spans="1:10" x14ac:dyDescent="0.2">
      <c r="A10" s="5" t="s">
        <v>21</v>
      </c>
      <c r="B10" s="21">
        <v>927000</v>
      </c>
      <c r="C10" s="5"/>
      <c r="D10" s="22">
        <f>E31</f>
        <v>587955.94201775256</v>
      </c>
      <c r="F10" s="7">
        <f t="shared" si="0"/>
        <v>-339044.05798224744</v>
      </c>
      <c r="H10" s="21">
        <v>591735.09124649758</v>
      </c>
    </row>
    <row r="11" spans="1:10" s="100" customFormat="1" x14ac:dyDescent="0.2">
      <c r="A11" s="97" t="s">
        <v>23</v>
      </c>
      <c r="B11" s="98"/>
      <c r="C11" s="97"/>
      <c r="D11" s="99">
        <f>(2406417.85*0.5+962567.14*0.5)/1.5218+(2964471.38/2)/1.57</f>
        <v>2051007.1002877082</v>
      </c>
      <c r="F11" s="101">
        <f t="shared" si="0"/>
        <v>2051007.1002877082</v>
      </c>
      <c r="H11" s="102">
        <v>2053226.3928525564</v>
      </c>
    </row>
    <row r="12" spans="1:10" s="100" customFormat="1" x14ac:dyDescent="0.2">
      <c r="A12" s="97" t="s">
        <v>22</v>
      </c>
      <c r="B12" s="98"/>
      <c r="C12" s="97"/>
      <c r="D12" s="99">
        <f>'Income from Dawes'!L3</f>
        <v>163305.95931747492</v>
      </c>
      <c r="F12" s="101">
        <f t="shared" si="0"/>
        <v>163305.95931747492</v>
      </c>
      <c r="H12" s="99">
        <f>D12</f>
        <v>163305.95931747492</v>
      </c>
    </row>
    <row r="13" spans="1:10" ht="13.5" thickBot="1" x14ac:dyDescent="0.25"/>
    <row r="14" spans="1:10" ht="15" x14ac:dyDescent="0.25">
      <c r="A14" s="10" t="s">
        <v>20</v>
      </c>
      <c r="B14" s="2"/>
      <c r="C14" s="2"/>
      <c r="D14" s="2"/>
      <c r="E14" s="3"/>
    </row>
    <row r="15" spans="1:10" x14ac:dyDescent="0.2">
      <c r="A15" s="18" t="s">
        <v>17</v>
      </c>
      <c r="B15" s="5"/>
      <c r="C15" s="5"/>
      <c r="D15" s="5"/>
      <c r="E15" s="6"/>
    </row>
    <row r="16" spans="1:10" x14ac:dyDescent="0.2">
      <c r="A16" s="4"/>
      <c r="B16" s="14" t="s">
        <v>8</v>
      </c>
      <c r="C16" s="14" t="s">
        <v>9</v>
      </c>
      <c r="D16" s="19">
        <v>37164</v>
      </c>
      <c r="E16" s="15" t="s">
        <v>10</v>
      </c>
    </row>
    <row r="17" spans="1:7" x14ac:dyDescent="0.2">
      <c r="A17" s="4"/>
      <c r="B17" s="23">
        <v>1250000</v>
      </c>
      <c r="C17" s="24">
        <f>0.47/1.5187</f>
        <v>0.30947520906038056</v>
      </c>
      <c r="D17" s="24">
        <f>1.25/1.5677</f>
        <v>0.79734643107737446</v>
      </c>
      <c r="E17" s="12">
        <f>(D17-C17)*B17</f>
        <v>609839.02752124239</v>
      </c>
    </row>
    <row r="18" spans="1:7" x14ac:dyDescent="0.2">
      <c r="A18" s="4"/>
      <c r="B18" s="23">
        <v>545455</v>
      </c>
      <c r="C18" s="24">
        <f>0.55/1.5508</f>
        <v>0.35465566159401601</v>
      </c>
      <c r="D18" s="24">
        <f>1.25/1.5677</f>
        <v>0.79734643107737446</v>
      </c>
      <c r="E18" s="13">
        <f>(D18-C18)*B18</f>
        <v>241467.89366854529</v>
      </c>
    </row>
    <row r="19" spans="1:7" x14ac:dyDescent="0.2">
      <c r="A19" s="4"/>
      <c r="B19" s="5"/>
      <c r="C19" s="5"/>
      <c r="D19" s="14" t="s">
        <v>2</v>
      </c>
      <c r="E19" s="12">
        <f>SUM(E17:E18)</f>
        <v>851306.92118978768</v>
      </c>
      <c r="F19" s="1"/>
    </row>
    <row r="20" spans="1:7" x14ac:dyDescent="0.2">
      <c r="A20" s="4"/>
      <c r="B20" s="5"/>
      <c r="C20" s="5"/>
      <c r="D20" s="5"/>
      <c r="E20" s="6"/>
      <c r="F20" s="1"/>
    </row>
    <row r="21" spans="1:7" x14ac:dyDescent="0.2">
      <c r="A21" s="18" t="s">
        <v>18</v>
      </c>
      <c r="B21" s="5"/>
      <c r="C21" s="5"/>
      <c r="D21" s="5"/>
      <c r="E21" s="6"/>
      <c r="F21" s="1"/>
    </row>
    <row r="22" spans="1:7" x14ac:dyDescent="0.2">
      <c r="A22" s="4"/>
      <c r="B22" s="14" t="s">
        <v>8</v>
      </c>
      <c r="C22" s="19">
        <v>36891</v>
      </c>
      <c r="D22" s="14" t="s">
        <v>13</v>
      </c>
      <c r="E22" s="15" t="s">
        <v>10</v>
      </c>
      <c r="F22" s="1"/>
    </row>
    <row r="23" spans="1:7" x14ac:dyDescent="0.2">
      <c r="A23" s="4" t="s">
        <v>12</v>
      </c>
      <c r="B23" s="23">
        <v>1250000</v>
      </c>
      <c r="C23" s="24">
        <f>10.9/1.5187</f>
        <v>7.1771910186343586</v>
      </c>
      <c r="D23" s="24">
        <f>11.51/1.5031</f>
        <v>7.6575078171778319</v>
      </c>
      <c r="E23" s="12">
        <f>(D23-C23)*B23</f>
        <v>600395.99817934167</v>
      </c>
      <c r="F23" s="1"/>
      <c r="G23" s="1"/>
    </row>
    <row r="24" spans="1:7" x14ac:dyDescent="0.2">
      <c r="A24" s="4"/>
      <c r="B24" s="11"/>
      <c r="C24" s="11"/>
      <c r="D24" s="5"/>
      <c r="E24" s="6"/>
      <c r="F24" s="1"/>
    </row>
    <row r="25" spans="1:7" x14ac:dyDescent="0.2">
      <c r="A25" s="4"/>
      <c r="B25" s="14" t="s">
        <v>8</v>
      </c>
      <c r="C25" s="19">
        <v>36891</v>
      </c>
      <c r="D25" s="14" t="s">
        <v>13</v>
      </c>
      <c r="E25" s="15" t="s">
        <v>10</v>
      </c>
      <c r="F25" s="1"/>
    </row>
    <row r="26" spans="1:7" x14ac:dyDescent="0.2">
      <c r="A26" s="4" t="s">
        <v>14</v>
      </c>
      <c r="B26" s="23">
        <v>1200000</v>
      </c>
      <c r="C26" s="24">
        <f>11.5/1.5218</f>
        <v>7.5568405835195165</v>
      </c>
      <c r="D26" s="24">
        <f>11.1225758333333/1.5</f>
        <v>7.4150505555555339</v>
      </c>
      <c r="E26" s="12">
        <f>(D26-C26)*B26</f>
        <v>-170148.03355677906</v>
      </c>
      <c r="F26" s="1"/>
    </row>
    <row r="27" spans="1:7" x14ac:dyDescent="0.2">
      <c r="A27" s="4"/>
      <c r="B27" s="5"/>
      <c r="C27" s="5"/>
      <c r="D27" s="5"/>
      <c r="E27" s="6"/>
      <c r="F27" s="1"/>
    </row>
    <row r="28" spans="1:7" x14ac:dyDescent="0.2">
      <c r="A28" s="4"/>
      <c r="B28" s="14" t="s">
        <v>8</v>
      </c>
      <c r="C28" s="25" t="s">
        <v>16</v>
      </c>
      <c r="D28" s="14"/>
      <c r="E28" s="15" t="s">
        <v>10</v>
      </c>
      <c r="F28" s="1"/>
      <c r="G28" s="1"/>
    </row>
    <row r="29" spans="1:7" x14ac:dyDescent="0.2">
      <c r="A29" s="4" t="s">
        <v>15</v>
      </c>
      <c r="B29" s="23">
        <v>1200000</v>
      </c>
      <c r="C29" s="24">
        <f>0.2/1.5218</f>
        <v>0.13142331449599159</v>
      </c>
      <c r="D29" s="5"/>
      <c r="E29" s="12">
        <f>C29*B29</f>
        <v>157707.97739518993</v>
      </c>
      <c r="F29" s="1"/>
    </row>
    <row r="30" spans="1:7" x14ac:dyDescent="0.2">
      <c r="A30" s="4"/>
      <c r="B30" s="11"/>
      <c r="C30" s="11"/>
      <c r="D30" s="5"/>
      <c r="E30" s="6"/>
      <c r="F30" s="1"/>
    </row>
    <row r="31" spans="1:7" ht="13.5" thickBot="1" x14ac:dyDescent="0.25">
      <c r="A31" s="8"/>
      <c r="B31" s="16"/>
      <c r="C31" s="16"/>
      <c r="D31" s="9" t="s">
        <v>19</v>
      </c>
      <c r="E31" s="17">
        <f>E29+E26+E23</f>
        <v>587955.94201775256</v>
      </c>
      <c r="F31" s="1"/>
      <c r="G31" s="1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3" sqref="A3:IV3"/>
    </sheetView>
  </sheetViews>
  <sheetFormatPr defaultRowHeight="12.75" x14ac:dyDescent="0.2"/>
  <cols>
    <col min="1" max="1" width="20.42578125" bestFit="1" customWidth="1"/>
  </cols>
  <sheetData>
    <row r="1" spans="1:12" x14ac:dyDescent="0.2">
      <c r="B1" s="37">
        <v>36922</v>
      </c>
      <c r="C1" s="37">
        <v>36950</v>
      </c>
      <c r="D1" s="37">
        <v>36981</v>
      </c>
      <c r="E1" s="37">
        <v>37011</v>
      </c>
      <c r="F1" s="37">
        <v>37042</v>
      </c>
      <c r="G1" s="37">
        <v>37072</v>
      </c>
      <c r="H1" s="37">
        <v>37103</v>
      </c>
      <c r="I1" s="37">
        <v>37134</v>
      </c>
      <c r="J1" s="37">
        <v>37164</v>
      </c>
      <c r="L1" t="s">
        <v>2</v>
      </c>
    </row>
    <row r="2" spans="1:12" x14ac:dyDescent="0.2">
      <c r="A2" t="s">
        <v>25</v>
      </c>
      <c r="B2" s="36">
        <v>3265</v>
      </c>
      <c r="C2" s="36">
        <v>110009</v>
      </c>
      <c r="D2" s="36">
        <v>15648</v>
      </c>
      <c r="E2" s="36">
        <v>19225</v>
      </c>
      <c r="F2" s="36">
        <v>27851</v>
      </c>
      <c r="G2" s="36">
        <v>19084</v>
      </c>
      <c r="H2" s="36">
        <v>21592</v>
      </c>
      <c r="I2" s="36">
        <v>18194</v>
      </c>
      <c r="J2" s="36">
        <v>15604</v>
      </c>
      <c r="L2" s="30">
        <v>250472</v>
      </c>
    </row>
    <row r="3" spans="1:12" s="100" customFormat="1" x14ac:dyDescent="0.2">
      <c r="A3" s="100" t="s">
        <v>26</v>
      </c>
      <c r="B3" s="103">
        <f>B2/B6</f>
        <v>2172.1643623519735</v>
      </c>
      <c r="C3" s="103">
        <f t="shared" ref="C3:J3" si="0">C2/C6</f>
        <v>72288.02449706434</v>
      </c>
      <c r="D3" s="103">
        <f t="shared" si="0"/>
        <v>10040.423484119345</v>
      </c>
      <c r="E3" s="103">
        <f t="shared" si="0"/>
        <v>12343.618076578588</v>
      </c>
      <c r="F3" s="103">
        <f t="shared" si="0"/>
        <v>18067.999528190609</v>
      </c>
      <c r="G3" s="103">
        <f t="shared" si="0"/>
        <v>12517.988483947971</v>
      </c>
      <c r="H3" s="103">
        <f t="shared" si="0"/>
        <v>14109.106894103881</v>
      </c>
      <c r="I3" s="103">
        <f t="shared" si="0"/>
        <v>11813.065356294359</v>
      </c>
      <c r="J3" s="103">
        <f t="shared" si="0"/>
        <v>9953.5686348238596</v>
      </c>
      <c r="L3" s="104">
        <v>163305.95931747492</v>
      </c>
    </row>
    <row r="6" spans="1:12" x14ac:dyDescent="0.2">
      <c r="A6" t="s">
        <v>27</v>
      </c>
      <c r="B6" s="38">
        <v>1.5031090909090907</v>
      </c>
      <c r="C6" s="38">
        <v>1.5218150000000004</v>
      </c>
      <c r="D6" s="38">
        <v>1.5585</v>
      </c>
      <c r="E6" s="38">
        <v>1.5574849999999998</v>
      </c>
      <c r="F6" s="38">
        <v>1.5414545454545456</v>
      </c>
      <c r="G6" s="38">
        <v>1.5245260869565216</v>
      </c>
      <c r="H6" s="38">
        <v>1.5303590909090907</v>
      </c>
      <c r="I6" s="38">
        <v>1.5401590909090912</v>
      </c>
      <c r="J6" s="38">
        <v>1.5676789473684209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opLeftCell="K1" zoomScale="75" workbookViewId="0">
      <selection activeCell="W32" sqref="Q32:W32"/>
    </sheetView>
  </sheetViews>
  <sheetFormatPr defaultRowHeight="12.75" outlineLevelCol="1" x14ac:dyDescent="0.2"/>
  <cols>
    <col min="1" max="1" width="52.7109375" style="40" customWidth="1"/>
    <col min="2" max="2" width="3" style="40" customWidth="1"/>
    <col min="3" max="3" width="17.7109375" style="40" customWidth="1" outlineLevel="1"/>
    <col min="4" max="4" width="17.28515625" style="40" customWidth="1" outlineLevel="1"/>
    <col min="5" max="5" width="19.85546875" style="40" customWidth="1" outlineLevel="1"/>
    <col min="6" max="6" width="19.85546875" style="40" bestFit="1" customWidth="1"/>
    <col min="7" max="7" width="2.7109375" style="40" customWidth="1"/>
    <col min="8" max="9" width="19.85546875" style="40" customWidth="1" outlineLevel="1"/>
    <col min="10" max="10" width="19.42578125" style="40" customWidth="1" outlineLevel="1"/>
    <col min="11" max="11" width="19.85546875" style="40" bestFit="1" customWidth="1"/>
    <col min="12" max="12" width="2.7109375" style="40" customWidth="1"/>
    <col min="13" max="13" width="19.42578125" style="40" customWidth="1" outlineLevel="1"/>
    <col min="14" max="14" width="18.42578125" style="40" customWidth="1" outlineLevel="1"/>
    <col min="15" max="15" width="19.85546875" style="40" customWidth="1" outlineLevel="1"/>
    <col min="16" max="16" width="19.85546875" style="40" bestFit="1" customWidth="1"/>
    <col min="17" max="17" width="2.7109375" style="40" customWidth="1"/>
    <col min="18" max="18" width="19" style="40" hidden="1" customWidth="1" outlineLevel="1"/>
    <col min="19" max="19" width="15.85546875" style="40" hidden="1" customWidth="1" outlineLevel="1"/>
    <col min="20" max="20" width="17" style="40" hidden="1" customWidth="1" outlineLevel="1"/>
    <col min="21" max="21" width="19.42578125" style="40" hidden="1" customWidth="1"/>
    <col min="22" max="22" width="2.85546875" style="40" hidden="1" customWidth="1"/>
    <col min="23" max="23" width="19.85546875" style="40" bestFit="1" customWidth="1"/>
    <col min="24" max="16384" width="9.140625" style="40"/>
  </cols>
  <sheetData>
    <row r="1" spans="1:23" ht="15.75" x14ac:dyDescent="0.25">
      <c r="A1" s="39" t="s">
        <v>38</v>
      </c>
      <c r="B1" s="39"/>
      <c r="C1" s="39"/>
      <c r="D1" s="39"/>
      <c r="E1" s="39"/>
      <c r="F1" s="39"/>
      <c r="I1" s="69"/>
    </row>
    <row r="2" spans="1:23" ht="15.75" x14ac:dyDescent="0.25">
      <c r="A2" s="39" t="s">
        <v>39</v>
      </c>
      <c r="B2" s="39"/>
      <c r="C2" s="39"/>
      <c r="D2" s="39"/>
      <c r="E2" s="39"/>
      <c r="F2" s="39"/>
    </row>
    <row r="3" spans="1:23" ht="15.75" x14ac:dyDescent="0.25">
      <c r="A3" s="39"/>
      <c r="B3" s="39"/>
      <c r="C3" s="39"/>
      <c r="D3" s="39"/>
      <c r="E3" s="39"/>
      <c r="F3" s="39"/>
    </row>
    <row r="4" spans="1:23" x14ac:dyDescent="0.2">
      <c r="C4" s="41">
        <v>36892</v>
      </c>
      <c r="D4" s="41">
        <v>36923</v>
      </c>
      <c r="E4" s="41">
        <v>36951</v>
      </c>
      <c r="F4" s="42" t="s">
        <v>40</v>
      </c>
      <c r="H4" s="41">
        <v>36982</v>
      </c>
      <c r="I4" s="41">
        <v>37012</v>
      </c>
      <c r="J4" s="41">
        <v>37043</v>
      </c>
      <c r="K4" s="42" t="s">
        <v>28</v>
      </c>
      <c r="M4" s="41">
        <v>37073</v>
      </c>
      <c r="N4" s="41">
        <v>37104</v>
      </c>
      <c r="O4" s="41">
        <v>37135</v>
      </c>
      <c r="P4" s="42" t="s">
        <v>29</v>
      </c>
      <c r="R4" s="41">
        <v>37165</v>
      </c>
      <c r="S4" s="41">
        <v>37196</v>
      </c>
      <c r="T4" s="41">
        <v>37226</v>
      </c>
      <c r="U4" s="42" t="s">
        <v>30</v>
      </c>
      <c r="W4" s="40" t="s">
        <v>2</v>
      </c>
    </row>
    <row r="5" spans="1:23" x14ac:dyDescent="0.2">
      <c r="A5" s="43" t="s">
        <v>41</v>
      </c>
      <c r="C5" s="40">
        <v>1.4975000000000001</v>
      </c>
      <c r="D5" s="40">
        <v>1.5351999999999999</v>
      </c>
      <c r="E5" s="40">
        <v>1.5755999999999999</v>
      </c>
      <c r="H5" s="73">
        <v>1.5367999999999999</v>
      </c>
      <c r="I5" s="73">
        <f>[2]!FXLiq</f>
        <v>1.5371999999999999</v>
      </c>
      <c r="J5" s="73">
        <v>1.5129999999999999</v>
      </c>
      <c r="M5" s="73">
        <v>1.5329999999999999</v>
      </c>
      <c r="N5" s="73">
        <v>1.5505</v>
      </c>
      <c r="O5" s="73">
        <v>1.5780000000000001</v>
      </c>
      <c r="R5" s="73">
        <v>1.5123</v>
      </c>
      <c r="S5" s="73">
        <v>1.5422</v>
      </c>
      <c r="T5" s="73">
        <v>1.522436842105263</v>
      </c>
    </row>
    <row r="6" spans="1:23" ht="15.75" x14ac:dyDescent="0.25">
      <c r="A6" s="44" t="s">
        <v>42</v>
      </c>
      <c r="B6" s="45"/>
      <c r="C6" s="45"/>
      <c r="D6" s="45"/>
      <c r="E6" s="45"/>
      <c r="F6" s="46"/>
      <c r="H6" s="47"/>
      <c r="I6" s="45"/>
      <c r="J6" s="45"/>
      <c r="K6" s="46"/>
      <c r="M6" s="47"/>
      <c r="N6" s="45"/>
      <c r="O6" s="45"/>
      <c r="P6" s="46"/>
      <c r="R6" s="47"/>
      <c r="S6" s="45"/>
      <c r="T6" s="45"/>
      <c r="U6" s="74"/>
      <c r="W6" s="46"/>
    </row>
    <row r="7" spans="1:23" x14ac:dyDescent="0.2">
      <c r="A7" s="48"/>
      <c r="B7" s="33"/>
      <c r="C7" s="33"/>
      <c r="D7" s="33"/>
      <c r="E7" s="33"/>
      <c r="F7" s="49"/>
      <c r="H7" s="48"/>
      <c r="I7" s="33"/>
      <c r="J7" s="33"/>
      <c r="K7" s="49"/>
      <c r="M7" s="48"/>
      <c r="N7" s="33"/>
      <c r="O7" s="33"/>
      <c r="P7" s="49"/>
      <c r="R7" s="48"/>
      <c r="S7" s="33"/>
      <c r="T7" s="33"/>
      <c r="U7" s="75"/>
      <c r="W7" s="49"/>
    </row>
    <row r="8" spans="1:23" x14ac:dyDescent="0.2">
      <c r="A8" s="48" t="s">
        <v>43</v>
      </c>
      <c r="B8" s="33"/>
      <c r="C8" s="52">
        <f>'[1]CA$'!C8/'[1]US$'!C$5</f>
        <v>-78365.602671118526</v>
      </c>
      <c r="D8" s="52">
        <f>'[1]CA$'!D8/'[1]US$'!D$5</f>
        <v>-457001.99973944767</v>
      </c>
      <c r="E8" s="52">
        <f>'[1]CA$'!E8/'[1]US$'!E$5</f>
        <v>-268001.99923838541</v>
      </c>
      <c r="F8" s="51">
        <f t="shared" ref="F8:F17" si="0">SUM(C8:E8)</f>
        <v>-803369.60164895165</v>
      </c>
      <c r="H8" s="54">
        <f>'[1]CA$'!H8/'[1]US$'!H$5</f>
        <v>-25001.997657470067</v>
      </c>
      <c r="I8" s="52">
        <f>'[1]CA$'!I8/'[1]US$'!I$5</f>
        <v>88151.047358834257</v>
      </c>
      <c r="J8" s="52">
        <f>'[1]CA$'!J8/'[1]US$'!J$5</f>
        <v>298997.99735624588</v>
      </c>
      <c r="K8" s="51">
        <f t="shared" ref="K8:K16" si="1">SUM(H8:J8)</f>
        <v>362147.04705761006</v>
      </c>
      <c r="M8" s="54">
        <f>'[1]CA$'!M8/'[1]US$'!M$5</f>
        <v>514997.99739073718</v>
      </c>
      <c r="N8" s="52">
        <f>'[1]CA$'!N8/'[1]US$'!N$5</f>
        <v>0</v>
      </c>
      <c r="O8" s="52">
        <f>'[1]CA$'!O8/'[1]US$'!O$5</f>
        <v>0</v>
      </c>
      <c r="P8" s="51">
        <f t="shared" ref="P8:P16" si="2">SUM(M8:O8)</f>
        <v>514997.99739073718</v>
      </c>
      <c r="R8" s="54">
        <f>'[1]CA$'!R8/'[1]US$'!R$5</f>
        <v>0</v>
      </c>
      <c r="S8" s="52">
        <f>'[1]CA$'!S8/'[1]US$'!S$5</f>
        <v>0</v>
      </c>
      <c r="T8" s="52">
        <f>'[1]CA$'!T8/'[1]US$'!T$5</f>
        <v>0</v>
      </c>
      <c r="U8" s="76">
        <f t="shared" ref="U8:U16" si="3">SUM(R8:T8)</f>
        <v>0</v>
      </c>
      <c r="W8" s="81">
        <f>F8+K8+P8+U8</f>
        <v>73775.442799395591</v>
      </c>
    </row>
    <row r="9" spans="1:23" x14ac:dyDescent="0.2">
      <c r="A9" s="48" t="s">
        <v>44</v>
      </c>
      <c r="B9" s="33"/>
      <c r="C9" s="52">
        <f>'[1]CA$'!C9/'[1]US$'!C$5</f>
        <v>78041.88313856427</v>
      </c>
      <c r="D9" s="52">
        <f>'[1]CA$'!D9/'[1]US$'!D$5</f>
        <v>-30002.227722772277</v>
      </c>
      <c r="E9" s="52">
        <f>'[1]CA$'!E9/'[1]US$'!E$5</f>
        <v>-731520.05585173902</v>
      </c>
      <c r="F9" s="51">
        <f t="shared" si="0"/>
        <v>-683480.400435947</v>
      </c>
      <c r="H9" s="54">
        <f>'[1]CA$'!H9/'[1]US$'!H$5</f>
        <v>-461811.92738157208</v>
      </c>
      <c r="I9" s="52">
        <f>'[1]CA$'!I9/'[1]US$'!I$5</f>
        <v>-224242.39526411661</v>
      </c>
      <c r="J9" s="52">
        <f>'[1]CA$'!J9/'[1]US$'!J$5</f>
        <v>-299294.42828816921</v>
      </c>
      <c r="K9" s="51">
        <f t="shared" si="1"/>
        <v>-985348.75093385787</v>
      </c>
      <c r="M9" s="54">
        <f>'[1]CA$'!M9/'[1]US$'!M$5</f>
        <v>-514997.99739073718</v>
      </c>
      <c r="N9" s="52">
        <f>'[1]CA$'!N9/'[1]US$'!N$5</f>
        <v>0</v>
      </c>
      <c r="O9" s="52">
        <f>'[1]CA$'!O9/'[1]US$'!O$5</f>
        <v>0</v>
      </c>
      <c r="P9" s="51">
        <f t="shared" si="2"/>
        <v>-514997.99739073718</v>
      </c>
      <c r="R9" s="54">
        <f>'[1]CA$'!R9/'[1]US$'!R$5</f>
        <v>0</v>
      </c>
      <c r="S9" s="52">
        <f>'[1]CA$'!S9/'[1]US$'!S$5</f>
        <v>0</v>
      </c>
      <c r="T9" s="52">
        <f>'[1]CA$'!T9/'[1]US$'!T$5</f>
        <v>0</v>
      </c>
      <c r="U9" s="76">
        <f t="shared" si="3"/>
        <v>0</v>
      </c>
      <c r="W9" s="81">
        <f t="shared" ref="W9:W17" si="4">F9+K9+P9+U9</f>
        <v>-2183827.1487605423</v>
      </c>
    </row>
    <row r="10" spans="1:23" x14ac:dyDescent="0.2">
      <c r="A10" s="48" t="s">
        <v>31</v>
      </c>
      <c r="B10" s="33"/>
      <c r="C10" s="65">
        <f>'[1]CA$'!C10/'[1]US$'!$C$5</f>
        <v>0</v>
      </c>
      <c r="D10" s="65">
        <f>'[1]CA$'!D10/'[1]US$'!$D$5</f>
        <v>486813.92001042212</v>
      </c>
      <c r="E10" s="65">
        <f>'[1]CA$'!E10/'[1]US$'!$E$5</f>
        <v>1000355.4201574004</v>
      </c>
      <c r="F10" s="53">
        <f t="shared" si="0"/>
        <v>1487169.3401678225</v>
      </c>
      <c r="H10" s="66">
        <f>'[1]CA$'!H10/'[1]US$'!$H$5</f>
        <v>486813.91853201459</v>
      </c>
      <c r="I10" s="65">
        <f>'[1]CA$'!I10/'[1]US$'!$I$5</f>
        <v>0</v>
      </c>
      <c r="J10" s="65">
        <f>'[1]CA$'!J10/'[1]US$'!$J$5</f>
        <v>0</v>
      </c>
      <c r="K10" s="53">
        <f t="shared" si="1"/>
        <v>486813.91853201459</v>
      </c>
      <c r="M10" s="66">
        <v>0</v>
      </c>
      <c r="N10" s="65">
        <v>0</v>
      </c>
      <c r="O10" s="80">
        <v>0</v>
      </c>
      <c r="P10" s="53">
        <f t="shared" si="2"/>
        <v>0</v>
      </c>
      <c r="R10" s="54"/>
      <c r="S10" s="52"/>
      <c r="T10" s="52"/>
      <c r="U10" s="76"/>
      <c r="W10" s="82">
        <f t="shared" si="4"/>
        <v>1973983.2586998371</v>
      </c>
    </row>
    <row r="11" spans="1:23" x14ac:dyDescent="0.2">
      <c r="A11" s="48" t="s">
        <v>32</v>
      </c>
      <c r="B11" s="33"/>
      <c r="C11" s="52">
        <f>SUM(C8:C10)</f>
        <v>-323.71953255425615</v>
      </c>
      <c r="D11" s="52">
        <f>SUM(D8:D10)</f>
        <v>-190.30745179782389</v>
      </c>
      <c r="E11" s="52">
        <f>SUM(E8:E10)</f>
        <v>833.36506727593951</v>
      </c>
      <c r="F11" s="51">
        <f t="shared" si="0"/>
        <v>319.33808292385947</v>
      </c>
      <c r="H11" s="54">
        <f>SUM(H8:H10)</f>
        <v>-6.5070275450125337E-3</v>
      </c>
      <c r="I11" s="52">
        <f>SUM(I8:I10)</f>
        <v>-136091.34790528234</v>
      </c>
      <c r="J11" s="52">
        <f>SUM(J8:J10)</f>
        <v>-296.4309319233289</v>
      </c>
      <c r="K11" s="51">
        <f>SUM(H11:J11)</f>
        <v>-136387.78534423321</v>
      </c>
      <c r="M11" s="68">
        <f>SUM(M8:M10)</f>
        <v>0</v>
      </c>
      <c r="N11" s="83">
        <f>SUM(N8:N10)</f>
        <v>0</v>
      </c>
      <c r="O11" s="52">
        <v>0</v>
      </c>
      <c r="P11" s="51">
        <f t="shared" si="2"/>
        <v>0</v>
      </c>
      <c r="R11" s="54"/>
      <c r="S11" s="52"/>
      <c r="T11" s="52"/>
      <c r="U11" s="76"/>
      <c r="W11" s="92">
        <f t="shared" si="4"/>
        <v>-136068.44726130937</v>
      </c>
    </row>
    <row r="12" spans="1:23" x14ac:dyDescent="0.2">
      <c r="A12" s="48" t="s">
        <v>45</v>
      </c>
      <c r="B12" s="33"/>
      <c r="C12" s="52">
        <f>'[1]CA$'!C10/'[1]US$'!C$5</f>
        <v>0</v>
      </c>
      <c r="D12" s="52">
        <f>'[1]CA$'!D12/'[1]US$'!$D$5</f>
        <v>0</v>
      </c>
      <c r="E12" s="52">
        <f>'[1]CA$'!E12/'[1]US$'!$E$5</f>
        <v>-364794.3640517898</v>
      </c>
      <c r="F12" s="51">
        <f>SUM(C12:E12)</f>
        <v>-364794.3640517898</v>
      </c>
      <c r="H12" s="54">
        <f>'[1]CA$'!H12/'[1]US$'!H$5</f>
        <v>1159310.2550754815</v>
      </c>
      <c r="I12" s="52">
        <f>'[1]CA$'!I12/'[1]US$'!I$5</f>
        <v>0</v>
      </c>
      <c r="J12" s="52">
        <f>'[1]CA$'!J12/'[1]US$'!J$5</f>
        <v>0</v>
      </c>
      <c r="K12" s="51">
        <f>SUM(H12:J12)</f>
        <v>1159310.2550754815</v>
      </c>
      <c r="M12" s="54">
        <f>'[1]CA$'!M10/'[1]US$'!M$5</f>
        <v>0</v>
      </c>
      <c r="N12" s="52">
        <f>'[1]CA$'!N10/'[1]US$'!N$5</f>
        <v>0</v>
      </c>
      <c r="O12" s="52">
        <f>'[1]CA$'!O10/'[1]US$'!O$5</f>
        <v>0</v>
      </c>
      <c r="P12" s="51">
        <f t="shared" si="2"/>
        <v>0</v>
      </c>
      <c r="R12" s="54">
        <f>'[1]CA$'!R10/'[1]US$'!R$5</f>
        <v>0</v>
      </c>
      <c r="S12" s="52">
        <f>'[1]CA$'!S10/'[1]US$'!S$5</f>
        <v>0</v>
      </c>
      <c r="T12" s="52">
        <f>'[1]CA$'!T10/'[1]US$'!T$5</f>
        <v>0</v>
      </c>
      <c r="U12" s="76">
        <f t="shared" si="3"/>
        <v>0</v>
      </c>
      <c r="W12" s="81">
        <f t="shared" si="4"/>
        <v>794515.89102369174</v>
      </c>
    </row>
    <row r="13" spans="1:23" x14ac:dyDescent="0.2">
      <c r="A13" s="48" t="s">
        <v>46</v>
      </c>
      <c r="B13" s="33"/>
      <c r="C13" s="52">
        <f>'[1]CA$'!C13/'[1]US$'!C$5</f>
        <v>-176236.39398998331</v>
      </c>
      <c r="D13" s="52">
        <f>'[1]CA$'!D13/'[1]US$'!D$5</f>
        <v>-171438.90046899428</v>
      </c>
      <c r="E13" s="52">
        <f>'[1]CA$'!E13/'[1]US$'!E$5</f>
        <v>-151290.9367859863</v>
      </c>
      <c r="F13" s="51">
        <f t="shared" si="0"/>
        <v>-498966.23124496388</v>
      </c>
      <c r="H13" s="54">
        <f>'[1]CA$'!H13/'[1]US$'!H$5</f>
        <v>-171729.56793336803</v>
      </c>
      <c r="I13" s="52">
        <f>'[1]CA$'!I13/'[1]US$'!I$5</f>
        <v>-166146.41556075984</v>
      </c>
      <c r="J13" s="52">
        <f>'[1]CA$'!J13/'[1]US$'!J$5</f>
        <v>-174092.24719101127</v>
      </c>
      <c r="K13" s="51">
        <f t="shared" si="1"/>
        <v>-511968.23068513913</v>
      </c>
      <c r="M13" s="54">
        <f>'[1]CA$'!M13/'[1]US$'!M$5</f>
        <v>-163257.64514024789</v>
      </c>
      <c r="N13" s="52">
        <f>'[1]CA$'!N13/'[1]US$'!N$5</f>
        <v>-166795.51112544342</v>
      </c>
      <c r="O13" s="52">
        <f>'[1]CA$'!O13/'[1]US$'!O$5</f>
        <v>-163888.7452471483</v>
      </c>
      <c r="P13" s="51">
        <f t="shared" si="2"/>
        <v>-493941.9015128396</v>
      </c>
      <c r="R13" s="54">
        <f>'[1]CA$'!R13/'[1]US$'!R$5</f>
        <v>0</v>
      </c>
      <c r="S13" s="52">
        <f>'[1]CA$'!S13/'[1]US$'!S$5</f>
        <v>0</v>
      </c>
      <c r="T13" s="52">
        <f>'[1]CA$'!T13/'[1]US$'!T$5</f>
        <v>0</v>
      </c>
      <c r="U13" s="76">
        <f t="shared" si="3"/>
        <v>0</v>
      </c>
      <c r="W13" s="92">
        <f t="shared" si="4"/>
        <v>-1504876.3634429425</v>
      </c>
    </row>
    <row r="14" spans="1:23" x14ac:dyDescent="0.2">
      <c r="A14" s="48" t="s">
        <v>47</v>
      </c>
      <c r="B14" s="33"/>
      <c r="C14" s="52">
        <f>'[1]CA$'!C14/'[1]US$'!C$5</f>
        <v>-27824.373956594321</v>
      </c>
      <c r="D14" s="52">
        <f>'[1]CA$'!D14/'[1]US$'!D$5</f>
        <v>0</v>
      </c>
      <c r="E14" s="52">
        <f>'[1]CA$'!E14/'[1]US$'!E$5</f>
        <v>0</v>
      </c>
      <c r="F14" s="51">
        <f t="shared" si="0"/>
        <v>-27824.373956594321</v>
      </c>
      <c r="H14" s="54">
        <f>'[1]CA$'!H14/'[1]US$'!H$5</f>
        <v>0</v>
      </c>
      <c r="I14" s="52">
        <f>'[1]CA$'!I14/'[1]US$'!I$5</f>
        <v>0</v>
      </c>
      <c r="J14" s="52">
        <f>'[1]CA$'!J14/'[1]US$'!J$5</f>
        <v>82617.316589557173</v>
      </c>
      <c r="K14" s="51">
        <f t="shared" si="1"/>
        <v>82617.316589557173</v>
      </c>
      <c r="M14" s="54">
        <f>'[1]CA$'!M14/'[1]US$'!M$5</f>
        <v>0</v>
      </c>
      <c r="N14" s="52">
        <f>'[1]CA$'!N14/'[1]US$'!N$5</f>
        <v>0</v>
      </c>
      <c r="O14" s="52">
        <f>'[1]CA$'!O14/'[1]US$'!O$5</f>
        <v>0</v>
      </c>
      <c r="P14" s="51">
        <f t="shared" si="2"/>
        <v>0</v>
      </c>
      <c r="R14" s="54">
        <f>'[1]CA$'!R14/'[1]US$'!R$5</f>
        <v>0</v>
      </c>
      <c r="S14" s="52">
        <f>'[1]CA$'!S14/'[1]US$'!S$5</f>
        <v>0</v>
      </c>
      <c r="T14" s="52">
        <f>'[1]CA$'!T14/'[1]US$'!T$5</f>
        <v>0</v>
      </c>
      <c r="U14" s="76">
        <f t="shared" si="3"/>
        <v>0</v>
      </c>
      <c r="W14" s="92">
        <f t="shared" si="4"/>
        <v>54792.942632962848</v>
      </c>
    </row>
    <row r="15" spans="1:23" x14ac:dyDescent="0.2">
      <c r="A15" s="48" t="s">
        <v>48</v>
      </c>
      <c r="B15" s="33"/>
      <c r="C15" s="52">
        <f>'[1]CA$'!C15/'[1]US$'!C$5</f>
        <v>-117992.2671118531</v>
      </c>
      <c r="D15" s="52">
        <f>'[1]CA$'!D15/'[1]US$'!D$5</f>
        <v>13092.430953621679</v>
      </c>
      <c r="E15" s="52">
        <f>'[1]CA$'!E15/'[1]US$'!E$5</f>
        <v>138326.66920538209</v>
      </c>
      <c r="F15" s="51">
        <f t="shared" si="0"/>
        <v>33426.833047150663</v>
      </c>
      <c r="H15" s="54">
        <f>'[1]CA$'!H15/'[1]US$'!H$5</f>
        <v>99008.179333680368</v>
      </c>
      <c r="I15" s="52">
        <f>'[1]CA$'!I15/'[1]US$'!I$5</f>
        <v>0</v>
      </c>
      <c r="J15" s="52">
        <f>'[1]CA$'!J15/'[1]US$'!J$5</f>
        <v>-56536.107072042309</v>
      </c>
      <c r="K15" s="51">
        <f t="shared" si="1"/>
        <v>42472.072261638059</v>
      </c>
      <c r="M15" s="54">
        <f>'[1]CA$'!M15/'[1]US$'!M$5</f>
        <v>47163.757338551855</v>
      </c>
      <c r="N15" s="52">
        <f>'[1]CA$'!N15/'[1]US$'!N$5</f>
        <v>66047.481457594316</v>
      </c>
      <c r="O15" s="52">
        <f>'[1]CA$'!O15/'[1]US$'!O$5</f>
        <v>224524.20785804815</v>
      </c>
      <c r="P15" s="51">
        <f t="shared" si="2"/>
        <v>337735.44665419433</v>
      </c>
      <c r="R15" s="54">
        <f>'[1]CA$'!R15/'[1]US$'!R$5</f>
        <v>0</v>
      </c>
      <c r="S15" s="52">
        <f>'[1]CA$'!S15/'[1]US$'!S$5</f>
        <v>0</v>
      </c>
      <c r="T15" s="52">
        <f>'[1]CA$'!T15/'[1]US$'!T$5</f>
        <v>0</v>
      </c>
      <c r="U15" s="76">
        <f t="shared" si="3"/>
        <v>0</v>
      </c>
      <c r="W15" s="92">
        <f t="shared" si="4"/>
        <v>413634.35196298303</v>
      </c>
    </row>
    <row r="16" spans="1:23" x14ac:dyDescent="0.2">
      <c r="A16" s="48" t="s">
        <v>49</v>
      </c>
      <c r="B16" s="33"/>
      <c r="C16" s="65">
        <f>'[1]CA$'!C16/'[1]US$'!C$5</f>
        <v>118328.22704507511</v>
      </c>
      <c r="D16" s="65">
        <f>'[1]CA$'!D16/'[1]US$'!D$5</f>
        <v>-12520.687858259509</v>
      </c>
      <c r="E16" s="80">
        <f>'[1]CA$'!E16/'[1]US$'!E$5</f>
        <v>-137222.15663874082</v>
      </c>
      <c r="F16" s="53">
        <f t="shared" si="0"/>
        <v>-31414.617451925224</v>
      </c>
      <c r="H16" s="66">
        <f>'[1]CA$'!H16/'[1]US$'!H$5</f>
        <v>-99194.052576782939</v>
      </c>
      <c r="I16" s="65">
        <f>'[1]CA$'!I16/'[1]US$'!I$5</f>
        <v>0</v>
      </c>
      <c r="J16" s="80">
        <f>'[1]CA$'!J16/'[1]US$'!J$5</f>
        <v>56898.565763384009</v>
      </c>
      <c r="K16" s="53">
        <f t="shared" si="1"/>
        <v>-42295.486813398929</v>
      </c>
      <c r="M16" s="66">
        <f>'[1]CA$'!M16/'[1]US$'!M$5</f>
        <v>-46085.531637312459</v>
      </c>
      <c r="N16" s="65">
        <f>'[1]CA$'!N16/'[1]US$'!N$5</f>
        <v>-64675.511125443409</v>
      </c>
      <c r="O16" s="80">
        <f>'[1]CA$'!O16/'[1]US$'!O$5</f>
        <v>-223893.61850443599</v>
      </c>
      <c r="P16" s="53">
        <f t="shared" si="2"/>
        <v>-334654.66126719187</v>
      </c>
      <c r="R16" s="54">
        <f>'[1]CA$'!R16/'[1]US$'!R$5</f>
        <v>0</v>
      </c>
      <c r="S16" s="52">
        <f>'[1]CA$'!S16/'[1]US$'!S$5</f>
        <v>0</v>
      </c>
      <c r="T16" s="52">
        <f>'[1]CA$'!T16/'[1]US$'!T$5</f>
        <v>0</v>
      </c>
      <c r="U16" s="76">
        <f t="shared" si="3"/>
        <v>0</v>
      </c>
      <c r="W16" s="93">
        <f t="shared" si="4"/>
        <v>-408364.76553251606</v>
      </c>
    </row>
    <row r="17" spans="1:23" ht="15.75" x14ac:dyDescent="0.25">
      <c r="A17" s="48" t="s">
        <v>33</v>
      </c>
      <c r="B17" s="33"/>
      <c r="C17" s="52">
        <f>SUM(C15:C16)</f>
        <v>335.95993322200957</v>
      </c>
      <c r="D17" s="52">
        <f>SUM(D15:D16)</f>
        <v>571.7430953621697</v>
      </c>
      <c r="E17" s="52">
        <f>SUM(E15:E16)</f>
        <v>1104.5125666412641</v>
      </c>
      <c r="F17" s="51">
        <f t="shared" si="0"/>
        <v>2012.2155952254434</v>
      </c>
      <c r="H17" s="84">
        <f>SUM(H15:H16)</f>
        <v>-185.873243102571</v>
      </c>
      <c r="I17" s="52">
        <f>SUM(I15:I16)</f>
        <v>0</v>
      </c>
      <c r="J17" s="52">
        <f>SUM(J15:J16)</f>
        <v>362.45869134170061</v>
      </c>
      <c r="K17" s="51">
        <f>SUM(H17:J17)</f>
        <v>176.58544823912962</v>
      </c>
      <c r="M17" s="84">
        <f>SUM(M15:M16)</f>
        <v>1078.2257012393966</v>
      </c>
      <c r="N17" s="84">
        <f>SUM(N15:N16)</f>
        <v>1371.9703321509078</v>
      </c>
      <c r="O17" s="84">
        <f>SUM(O15:O16)</f>
        <v>630.58935361215845</v>
      </c>
      <c r="P17" s="51">
        <f>SUM(P15:P16)</f>
        <v>3080.7853870024555</v>
      </c>
      <c r="R17" s="85"/>
      <c r="S17" s="86"/>
      <c r="T17" s="87"/>
      <c r="U17" s="76"/>
      <c r="W17" s="81">
        <f t="shared" si="4"/>
        <v>5269.5864304670285</v>
      </c>
    </row>
    <row r="18" spans="1:23" ht="15.75" x14ac:dyDescent="0.25">
      <c r="A18" s="55" t="s">
        <v>34</v>
      </c>
      <c r="B18" s="56"/>
      <c r="C18" s="57">
        <f>SUM(C11:C16)</f>
        <v>-204048.52754590992</v>
      </c>
      <c r="D18" s="57">
        <f>SUM(D11:D16)</f>
        <v>-171057.46482542992</v>
      </c>
      <c r="E18" s="57">
        <f>SUM(E11:E16)</f>
        <v>-514147.4232038589</v>
      </c>
      <c r="F18" s="59">
        <f>SUM(F11:F16)</f>
        <v>-889253.4155751986</v>
      </c>
      <c r="H18" s="58">
        <f>SUM(H11:H16)</f>
        <v>987394.80739198322</v>
      </c>
      <c r="I18" s="57">
        <f>SUM(I11:I16)</f>
        <v>-302237.76346604218</v>
      </c>
      <c r="J18" s="57">
        <f>SUM(J11:J16)</f>
        <v>-91408.902842035721</v>
      </c>
      <c r="K18" s="59">
        <f>SUM(K11:K16)</f>
        <v>593748.14108390536</v>
      </c>
      <c r="M18" s="58">
        <f>M13+M17</f>
        <v>-162179.41943900849</v>
      </c>
      <c r="N18" s="58">
        <f>N13+N17</f>
        <v>-165423.54079329252</v>
      </c>
      <c r="O18" s="58">
        <f>O13+O17</f>
        <v>-163258.15589353614</v>
      </c>
      <c r="P18" s="59">
        <f>P13+P17</f>
        <v>-490861.11612583714</v>
      </c>
      <c r="R18" s="58">
        <f>SUBTOTAL(9,R7:R17)</f>
        <v>0</v>
      </c>
      <c r="S18" s="57">
        <f>SUBTOTAL(9,S7:S17)</f>
        <v>0</v>
      </c>
      <c r="T18" s="57">
        <f>SUBTOTAL(9,T7:T17)</f>
        <v>0</v>
      </c>
      <c r="U18" s="77">
        <f>SUBTOTAL(9,U7:U17)</f>
        <v>0</v>
      </c>
      <c r="W18" s="59">
        <f>SUM(W11:W16)</f>
        <v>-786366.39061713032</v>
      </c>
    </row>
    <row r="19" spans="1:23" x14ac:dyDescent="0.2">
      <c r="A19" s="48"/>
      <c r="B19" s="33"/>
      <c r="C19" s="52"/>
      <c r="D19" s="52"/>
      <c r="E19" s="52"/>
      <c r="F19" s="51"/>
      <c r="H19" s="54"/>
      <c r="I19" s="52"/>
      <c r="J19" s="52"/>
      <c r="K19" s="51"/>
      <c r="M19" s="54"/>
      <c r="N19" s="52"/>
      <c r="O19" s="52"/>
      <c r="P19" s="51"/>
      <c r="R19" s="54"/>
      <c r="S19" s="52"/>
      <c r="T19" s="52"/>
      <c r="U19" s="76"/>
      <c r="W19" s="49"/>
    </row>
    <row r="20" spans="1:23" ht="15.75" x14ac:dyDescent="0.25">
      <c r="A20" s="48" t="s">
        <v>35</v>
      </c>
      <c r="B20" s="33"/>
      <c r="C20" s="86">
        <v>0</v>
      </c>
      <c r="D20" s="86">
        <v>0</v>
      </c>
      <c r="E20" s="86"/>
      <c r="F20" s="60">
        <f>SUM(C20:E20)</f>
        <v>0</v>
      </c>
      <c r="H20" s="88"/>
      <c r="I20" s="86"/>
      <c r="J20" s="86"/>
      <c r="K20" s="60">
        <f>SUM(H20:J20)</f>
        <v>0</v>
      </c>
      <c r="M20" s="88"/>
      <c r="N20" s="86"/>
      <c r="O20" s="50"/>
      <c r="P20" s="60">
        <f>SUM(M20:O20)</f>
        <v>0</v>
      </c>
      <c r="R20" s="88"/>
      <c r="S20" s="86"/>
      <c r="T20" s="50"/>
      <c r="U20" s="78">
        <f>SUM(R20:T20)</f>
        <v>0</v>
      </c>
      <c r="W20" s="81">
        <f>F20+K20+P20+U20</f>
        <v>0</v>
      </c>
    </row>
    <row r="21" spans="1:23" x14ac:dyDescent="0.2">
      <c r="A21" s="48"/>
      <c r="B21" s="33"/>
      <c r="C21" s="52"/>
      <c r="D21" s="52"/>
      <c r="E21" s="52"/>
      <c r="F21" s="51"/>
      <c r="H21" s="54"/>
      <c r="I21" s="52"/>
      <c r="J21" s="52"/>
      <c r="K21" s="51"/>
      <c r="M21" s="54"/>
      <c r="N21" s="52"/>
      <c r="O21" s="52"/>
      <c r="P21" s="51"/>
      <c r="R21" s="54"/>
      <c r="S21" s="52"/>
      <c r="T21" s="52"/>
      <c r="U21" s="76"/>
      <c r="W21" s="49"/>
    </row>
    <row r="22" spans="1:23" ht="16.5" thickBot="1" x14ac:dyDescent="0.3">
      <c r="A22" s="55" t="s">
        <v>36</v>
      </c>
      <c r="B22" s="56"/>
      <c r="C22" s="61">
        <v>-204048.52754590992</v>
      </c>
      <c r="D22" s="61">
        <v>315756.45518499217</v>
      </c>
      <c r="E22" s="61">
        <v>-514147.4232038589</v>
      </c>
      <c r="F22" s="62">
        <v>-889253.4155751986</v>
      </c>
      <c r="H22" s="63">
        <v>987394.80739198322</v>
      </c>
      <c r="I22" s="61">
        <v>-302237.76346604218</v>
      </c>
      <c r="J22" s="61">
        <v>-91408.902842035721</v>
      </c>
      <c r="K22" s="62">
        <v>593748.14108390536</v>
      </c>
      <c r="M22" s="63">
        <f>M18</f>
        <v>-162179.41943900849</v>
      </c>
      <c r="N22" s="61">
        <f>N18</f>
        <v>-165423.54079329252</v>
      </c>
      <c r="O22" s="61">
        <f>O18</f>
        <v>-163258.15589353614</v>
      </c>
      <c r="P22" s="62">
        <f>P18</f>
        <v>-490861.11612583714</v>
      </c>
      <c r="R22" s="63">
        <f>SUBTOTAL(9,R8:R21)</f>
        <v>0</v>
      </c>
      <c r="S22" s="61">
        <f>SUBTOTAL(9,S8:S21)</f>
        <v>0</v>
      </c>
      <c r="T22" s="61">
        <f>SUBTOTAL(9,T8:T21)</f>
        <v>0</v>
      </c>
      <c r="U22" s="79">
        <f>SUBTOTAL(9,U8:U21)</f>
        <v>0</v>
      </c>
      <c r="W22" s="62">
        <f>SUM(W18:W21)</f>
        <v>-786366.39061713032</v>
      </c>
    </row>
    <row r="23" spans="1:23" x14ac:dyDescent="0.2">
      <c r="A23" s="89"/>
      <c r="B23" s="64"/>
      <c r="C23" s="65"/>
      <c r="D23" s="65"/>
      <c r="E23" s="65"/>
      <c r="F23" s="53"/>
      <c r="H23" s="66"/>
      <c r="I23" s="65"/>
      <c r="J23" s="65"/>
      <c r="K23" s="53"/>
      <c r="M23" s="66"/>
      <c r="N23" s="65"/>
      <c r="O23" s="65"/>
      <c r="P23" s="53"/>
      <c r="R23" s="66"/>
      <c r="S23" s="65"/>
      <c r="T23" s="65"/>
      <c r="U23" s="80"/>
      <c r="W23" s="90"/>
    </row>
    <row r="24" spans="1:23" x14ac:dyDescent="0.2">
      <c r="C24" s="67"/>
      <c r="D24" s="67"/>
      <c r="E24" s="67"/>
      <c r="F24" s="51"/>
      <c r="H24" s="67"/>
      <c r="I24" s="67"/>
      <c r="J24" s="67"/>
      <c r="K24" s="51"/>
      <c r="M24" s="67"/>
      <c r="N24" s="67"/>
      <c r="O24" s="67"/>
      <c r="P24" s="51"/>
      <c r="R24" s="67"/>
      <c r="S24" s="67"/>
      <c r="T24" s="67"/>
      <c r="U24" s="67"/>
      <c r="W24" s="67"/>
    </row>
    <row r="25" spans="1:23" ht="16.5" thickBot="1" x14ac:dyDescent="0.3">
      <c r="A25" s="69" t="s">
        <v>37</v>
      </c>
      <c r="B25" s="69"/>
      <c r="C25" s="70">
        <v>-204048.52754590992</v>
      </c>
      <c r="D25" s="70">
        <v>315756.45518499217</v>
      </c>
      <c r="E25" s="70">
        <v>-514147.4232038589</v>
      </c>
      <c r="F25" s="71">
        <v>-889253.4155751986</v>
      </c>
      <c r="H25" s="70">
        <v>987394.80739198322</v>
      </c>
      <c r="I25" s="70">
        <v>-302237.76346604218</v>
      </c>
      <c r="J25" s="70">
        <v>-91408.902842035721</v>
      </c>
      <c r="K25" s="71">
        <v>593748.14108390536</v>
      </c>
      <c r="M25" s="70">
        <f>M22</f>
        <v>-162179.41943900849</v>
      </c>
      <c r="N25" s="70">
        <f>N22</f>
        <v>-165423.54079329252</v>
      </c>
      <c r="O25" s="70">
        <f>O22</f>
        <v>-163258.15589353614</v>
      </c>
      <c r="P25" s="71">
        <f>P22</f>
        <v>-490861.11612583714</v>
      </c>
      <c r="R25" s="70">
        <f>SUBTOTAL(9,R8:R23)</f>
        <v>0</v>
      </c>
      <c r="S25" s="70">
        <f>SUBTOTAL(9,S8:S23)</f>
        <v>0</v>
      </c>
      <c r="T25" s="70">
        <f>SUBTOTAL(9,T8:T23)</f>
        <v>0</v>
      </c>
      <c r="U25" s="70">
        <f>SUBTOTAL(9,U8:U23)</f>
        <v>0</v>
      </c>
      <c r="W25" s="71">
        <f>SUM(W22)</f>
        <v>-786366.39061713032</v>
      </c>
    </row>
    <row r="26" spans="1:23" ht="13.5" thickTop="1" x14ac:dyDescent="0.2">
      <c r="C26" s="67"/>
      <c r="D26" s="67"/>
      <c r="E26" s="67"/>
      <c r="F26" s="67"/>
    </row>
    <row r="27" spans="1:23" x14ac:dyDescent="0.2">
      <c r="C27" s="91"/>
      <c r="D27" s="91"/>
      <c r="E27" s="91"/>
      <c r="F27" s="91"/>
      <c r="G27" s="91"/>
      <c r="H27" s="91"/>
      <c r="I27" s="91"/>
      <c r="J27" s="91"/>
      <c r="L27" s="91"/>
      <c r="M27" s="91"/>
      <c r="N27" s="91"/>
      <c r="O27" s="91"/>
      <c r="Q27" s="91"/>
      <c r="R27" s="91"/>
      <c r="S27" s="91"/>
      <c r="T27" s="91"/>
    </row>
    <row r="28" spans="1:23" x14ac:dyDescent="0.2">
      <c r="A28" s="72" t="str">
        <f ca="1">CELL("filename",A28)</f>
        <v>C:\Users\Felienne\Enron\EnronSpreadsheets\[louise_kitchen__23140__Canada reconciliation.xls]Devries</v>
      </c>
      <c r="C28" s="67"/>
      <c r="D28" s="67"/>
      <c r="E28" s="67"/>
      <c r="F28" s="67"/>
      <c r="O28" s="100" t="s">
        <v>50</v>
      </c>
      <c r="P28" s="100"/>
      <c r="Q28" s="100"/>
      <c r="W28" s="94">
        <f>-(SUM(W13:W16)+W11)</f>
        <v>1580882.2816408221</v>
      </c>
    </row>
    <row r="29" spans="1:23" x14ac:dyDescent="0.2">
      <c r="O29" s="100" t="s">
        <v>52</v>
      </c>
      <c r="P29" s="100"/>
      <c r="Q29" s="100"/>
      <c r="W29" s="96">
        <v>500000</v>
      </c>
    </row>
    <row r="30" spans="1:23" x14ac:dyDescent="0.2">
      <c r="C30" s="40" t="s">
        <v>53</v>
      </c>
      <c r="O30" s="100" t="s">
        <v>51</v>
      </c>
      <c r="P30" s="100"/>
      <c r="Q30" s="100"/>
      <c r="W30" s="94">
        <f>+W28-W29</f>
        <v>1080882.2816408221</v>
      </c>
    </row>
    <row r="31" spans="1:23" x14ac:dyDescent="0.2">
      <c r="C31" s="40" t="s">
        <v>53</v>
      </c>
      <c r="W31" s="9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23" sqref="A23"/>
    </sheetView>
  </sheetViews>
  <sheetFormatPr defaultRowHeight="12.75" x14ac:dyDescent="0.2"/>
  <cols>
    <col min="1" max="1" width="32.85546875" customWidth="1"/>
    <col min="2" max="2" width="2.5703125" customWidth="1"/>
    <col min="3" max="3" width="21.140625" bestFit="1" customWidth="1"/>
    <col min="4" max="4" width="1.7109375" customWidth="1"/>
    <col min="5" max="5" width="21.42578125" customWidth="1"/>
    <col min="6" max="6" width="2.140625" customWidth="1"/>
    <col min="7" max="7" width="19.85546875" customWidth="1"/>
    <col min="8" max="8" width="2.42578125" customWidth="1"/>
    <col min="9" max="9" width="12.140625" customWidth="1"/>
  </cols>
  <sheetData>
    <row r="1" spans="1:10" ht="18" x14ac:dyDescent="0.25">
      <c r="A1" s="105" t="s">
        <v>54</v>
      </c>
      <c r="B1" s="106"/>
      <c r="C1" s="107"/>
    </row>
    <row r="2" spans="1:10" ht="18.75" thickBot="1" x14ac:dyDescent="0.3">
      <c r="A2" s="108" t="s">
        <v>55</v>
      </c>
      <c r="B2" s="109"/>
      <c r="C2" s="110"/>
    </row>
    <row r="4" spans="1:10" ht="15.75" x14ac:dyDescent="0.25">
      <c r="A4" s="111" t="s">
        <v>56</v>
      </c>
      <c r="B4" s="112"/>
      <c r="C4" s="111" t="s">
        <v>57</v>
      </c>
      <c r="D4" s="111"/>
      <c r="E4" s="111" t="s">
        <v>58</v>
      </c>
      <c r="F4" s="111"/>
      <c r="G4" s="111" t="s">
        <v>59</v>
      </c>
      <c r="H4" s="113"/>
      <c r="I4" s="113"/>
      <c r="J4" s="5"/>
    </row>
    <row r="5" spans="1:10" x14ac:dyDescent="0.2">
      <c r="A5" s="5"/>
      <c r="B5" s="5"/>
      <c r="C5" s="5"/>
      <c r="D5" s="5"/>
      <c r="E5" s="20"/>
      <c r="F5" s="5"/>
      <c r="G5" s="5"/>
      <c r="H5" s="5"/>
      <c r="I5" s="5"/>
      <c r="J5" s="5"/>
    </row>
    <row r="6" spans="1:10" x14ac:dyDescent="0.2">
      <c r="A6" s="5" t="s">
        <v>60</v>
      </c>
      <c r="B6" s="5"/>
      <c r="C6" s="114">
        <v>1798731.64</v>
      </c>
      <c r="D6" s="114"/>
      <c r="E6" s="115">
        <v>1182513</v>
      </c>
      <c r="F6" s="5"/>
      <c r="G6" s="5" t="s">
        <v>61</v>
      </c>
      <c r="H6" s="5"/>
      <c r="I6" s="5"/>
      <c r="J6" s="5"/>
    </row>
    <row r="7" spans="1:10" x14ac:dyDescent="0.2">
      <c r="A7" s="5"/>
      <c r="B7" s="5"/>
      <c r="C7" s="114"/>
      <c r="D7" s="114"/>
      <c r="E7" s="115"/>
      <c r="F7" s="5"/>
      <c r="G7" s="5"/>
      <c r="H7" s="5"/>
      <c r="I7" s="5"/>
      <c r="J7" s="5"/>
    </row>
    <row r="8" spans="1:10" x14ac:dyDescent="0.2">
      <c r="A8" s="5" t="s">
        <v>62</v>
      </c>
      <c r="B8" s="5"/>
      <c r="C8" s="114">
        <v>1688716</v>
      </c>
      <c r="D8" s="114"/>
      <c r="E8" s="115">
        <v>1095255</v>
      </c>
      <c r="F8" s="5"/>
      <c r="G8" s="5" t="s">
        <v>63</v>
      </c>
      <c r="H8" s="5"/>
      <c r="I8" s="5"/>
      <c r="J8" s="5"/>
    </row>
    <row r="9" spans="1:10" x14ac:dyDescent="0.2">
      <c r="A9" s="5"/>
      <c r="B9" s="5"/>
      <c r="C9" s="114"/>
      <c r="D9" s="114"/>
      <c r="E9" s="115"/>
      <c r="F9" s="5"/>
      <c r="G9" s="5"/>
      <c r="H9" s="5"/>
      <c r="I9" s="5"/>
      <c r="J9" s="5"/>
    </row>
    <row r="10" spans="1:10" x14ac:dyDescent="0.2">
      <c r="A10" s="5" t="s">
        <v>64</v>
      </c>
      <c r="B10" s="5"/>
      <c r="C10" s="114">
        <v>20550</v>
      </c>
      <c r="D10" s="114"/>
      <c r="E10" s="115">
        <v>13112</v>
      </c>
      <c r="F10" s="5"/>
      <c r="G10" s="5" t="s">
        <v>65</v>
      </c>
      <c r="H10" s="5"/>
      <c r="I10" s="5"/>
      <c r="J10" s="5"/>
    </row>
    <row r="11" spans="1:10" x14ac:dyDescent="0.2">
      <c r="A11" s="5"/>
      <c r="B11" s="5"/>
      <c r="C11" s="114"/>
      <c r="D11" s="114"/>
      <c r="E11" s="115"/>
      <c r="F11" s="5"/>
      <c r="G11" s="5"/>
      <c r="H11" s="5"/>
      <c r="I11" s="5"/>
      <c r="J11" s="5"/>
    </row>
    <row r="12" spans="1:10" x14ac:dyDescent="0.2">
      <c r="A12" s="5" t="s">
        <v>66</v>
      </c>
      <c r="B12" s="5"/>
      <c r="C12" s="114">
        <v>32249</v>
      </c>
      <c r="D12" s="114"/>
      <c r="E12" s="115">
        <v>20576</v>
      </c>
      <c r="F12" s="5"/>
      <c r="G12" s="5" t="s">
        <v>67</v>
      </c>
      <c r="H12" s="5"/>
      <c r="I12" s="5"/>
      <c r="J12" s="5"/>
    </row>
    <row r="13" spans="1:10" x14ac:dyDescent="0.2">
      <c r="A13" s="5"/>
      <c r="B13" s="5"/>
      <c r="C13" s="114"/>
      <c r="D13" s="114"/>
      <c r="E13" s="115"/>
      <c r="F13" s="5"/>
      <c r="G13" s="5"/>
      <c r="H13" s="5"/>
      <c r="I13" s="5"/>
      <c r="J13" s="5"/>
    </row>
    <row r="14" spans="1:10" x14ac:dyDescent="0.2">
      <c r="A14" s="5" t="s">
        <v>68</v>
      </c>
      <c r="B14" s="5"/>
      <c r="C14" s="116">
        <v>488595</v>
      </c>
      <c r="D14" s="116"/>
      <c r="E14" s="116">
        <v>316869</v>
      </c>
      <c r="F14" s="5"/>
      <c r="G14" s="5" t="s">
        <v>69</v>
      </c>
      <c r="H14" s="5"/>
      <c r="I14" s="5"/>
      <c r="J14" s="5"/>
    </row>
    <row r="15" spans="1:10" x14ac:dyDescent="0.2">
      <c r="C15" s="117"/>
      <c r="D15" s="117"/>
      <c r="E15" s="117"/>
    </row>
    <row r="16" spans="1:10" ht="18.75" thickBot="1" x14ac:dyDescent="0.3">
      <c r="A16" s="118" t="s">
        <v>2</v>
      </c>
      <c r="B16" s="118"/>
      <c r="C16" s="119">
        <f>SUM(C6:C14)</f>
        <v>4028841.6399999997</v>
      </c>
      <c r="D16" s="119"/>
      <c r="E16" s="120">
        <f>SUM(E6:E14)</f>
        <v>2628325</v>
      </c>
    </row>
    <row r="17" ht="13.5" thickTop="1" x14ac:dyDescent="0.2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MPR</vt:lpstr>
      <vt:lpstr>Income from Dawes</vt:lpstr>
      <vt:lpstr>Devries</vt:lpstr>
      <vt:lpstr>Milnthorp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C. Lynn</dc:creator>
  <cp:lastModifiedBy>Felienne</cp:lastModifiedBy>
  <dcterms:created xsi:type="dcterms:W3CDTF">2001-10-30T17:59:04Z</dcterms:created>
  <dcterms:modified xsi:type="dcterms:W3CDTF">2014-09-04T08:29:19Z</dcterms:modified>
</cp:coreProperties>
</file>