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5135" windowHeight="9045"/>
  </bookViews>
  <sheets>
    <sheet name="June" sheetId="1" r:id="rId1"/>
    <sheet name="prepay" sheetId="2" state="hidden" r:id="rId2"/>
  </sheets>
  <definedNames>
    <definedName name="hide" localSheetId="0">June!$11:$11,June!$12:$12,June!$13:$13,June!$16:$16,June!$17:$17,June!$18:$18,June!$20:$20,June!$21:$21,June!$22:$22,June!$26:$26,June!$27:$27,June!$28:$28,June!$31:$31,June!$32:$32,June!$33:$33,June!$35:$35,June!$36:$36,June!$37:$37,June!$40:$40,June!$41:$41,June!$42:$42,June!$61:$61,June!$62:$62,June!$130:$130,June!$131:$131,June!$132:$132,June!$133:$133</definedName>
    <definedName name="hide">#REF!,#REF!,#REF!,#REF!,#REF!,#REF!,#REF!,#REF!,#REF!,#REF!,#REF!,#REF!,#REF!,#REF!,#REF!,#REF!,#REF!,#REF!,#REF!,#REF!</definedName>
    <definedName name="hide10">June!$11:$11,June!$12:$12,June!$13:$13,June!$15:$15,June!$16:$16,June!$17:$17,June!$18:$18,June!$20:$20,June!$21:$21,June!$22:$22,June!$26:$26,June!$27:$27,June!$28:$28,June!$30:$30,June!$31:$31,June!$32:$32,June!$33:$33,June!$35:$35,June!$36:$36,June!$37:$37,June!$40:$40,June!$41:$41,June!$42:$42,June!$55:$55,June!$56:$56,June!$57:$57,June!$60:$60,June!$61:$61,June!$62:$62,June!$130:$130,June!$131:$131,June!$132:$132,June!$133:$133,June!$134:$134</definedName>
    <definedName name="hide2" localSheetId="0">June!$11:$11,June!$12:$12,June!$13:$13,June!$16:$16,June!$17:$17,June!$18:$18,June!$20:$20,June!$21:$21,June!$22:$22,June!$26:$26,June!$27:$27,June!$28:$28,June!$31:$31,June!$32:$32,June!$33:$33,June!$35:$35,June!$36:$36,June!$37:$37,June!$40:$40,June!$41:$41,June!$42:$42,June!$61:$61,June!$62:$62,June!$130:$130,June!$131:$131,June!$132:$132,June!$133:$133,June!$15:$15,June!$30:$30</definedName>
    <definedName name="hide2">#REF!,#REF!,#REF!,#REF!,#REF!,#REF!,#REF!,#REF!,#REF!,#REF!,#REF!,#REF!,#REF!,#REF!,#REF!,#REF!,#REF!,#REF!,#REF!,#REF!,#REF!,#REF!</definedName>
    <definedName name="hide3" localSheetId="0">June!$11:$11,June!$12:$12,June!$13:$13,June!$16:$16,June!$17:$17,June!$18:$18,June!$20:$20,June!$21:$21,June!$22:$22,June!$26:$26,June!$27:$27,June!$28:$28,June!$31:$31,June!$32:$32,June!$33:$33,June!$35:$35,June!$36:$36,June!$37:$37,June!$40:$40,June!$41:$41,June!$42:$42,June!$61:$61,June!$62:$62,June!$130:$130,June!$131:$131,June!$132:$132,June!$133:$133,June!$15:$15,June!$30:$30,June!$134:$134</definedName>
    <definedName name="hide3">#REF!,#REF!,#REF!,#REF!,#REF!,#REF!,#REF!,#REF!,#REF!,#REF!,#REF!,#REF!,#REF!,#REF!,#REF!,#REF!,#REF!,#REF!,#REF!,#REF!,#REF!,#REF!,#REF!,#REF!,#REF!,#REF!,#REF!,#REF!,#REF!,#REF!</definedName>
    <definedName name="hide4" localSheetId="0">June!$11:$11,June!$12:$12,June!$13:$13,June!$16:$16,June!$17:$17,June!$18:$18,June!$20:$20,June!$21:$21,June!$22:$22,June!$26:$26,June!$27:$27,June!$28:$28,June!$31:$31,June!$32:$32,June!$33:$33,June!$35:$35,June!$36:$36,June!$37:$37,June!$61:$61,June!$62:$62,June!$130:$130,June!$131:$131,June!$132:$132,June!$133:$133,June!$134:$134</definedName>
    <definedName name="hide4">#REF!,#REF!,#REF!,#REF!,#REF!,#REF!,#REF!,#REF!,#REF!,#REF!,#REF!,#REF!,#REF!,#REF!,#REF!,#REF!,#REF!,#REF!,#REF!,#REF!,#REF!,#REF!,#REF!,#REF!,#REF!</definedName>
    <definedName name="hide5" localSheetId="0">June!$11:$11,June!$12:$12,June!$13:$13,June!$16:$16,June!$17:$17,June!$18:$18,June!$20:$20,June!$21:$21,June!$22:$22,June!$26:$26,June!$27:$27,June!$28:$28,June!$31:$31,June!$32:$32,June!$33:$33,June!$35:$35,June!$36:$36,June!$37:$37,June!$61:$61,June!$62:$62,June!$130:$130,June!$131:$131,June!$132:$132,June!$133:$133,June!$134:$134,June!$15:$15,June!$30:$30</definedName>
    <definedName name="hide5">#REF!,#REF!,#REF!,#REF!,#REF!,#REF!,#REF!,#REF!,#REF!,#REF!,#REF!,#REF!,#REF!,#REF!,#REF!,#REF!,#REF!,#REF!,#REF!,#REF!,#REF!,#REF!,#REF!,#REF!,#REF!,#REF!,#REF!</definedName>
    <definedName name="_xlnm.Print_Area" localSheetId="0">June!$A$1:$AC$147</definedName>
    <definedName name="_xlnm.Print_Titles" localSheetId="0">June!$A:$E,June!$1:$7</definedName>
  </definedNames>
  <calcPr calcId="152511" fullCalcOnLoad="1"/>
</workbook>
</file>

<file path=xl/calcChain.xml><?xml version="1.0" encoding="utf-8"?>
<calcChain xmlns="http://schemas.openxmlformats.org/spreadsheetml/2006/main">
  <c r="AC12" i="1" l="1"/>
  <c r="AC13" i="1"/>
  <c r="G14" i="1"/>
  <c r="H14" i="1"/>
  <c r="I14" i="1"/>
  <c r="J14" i="1"/>
  <c r="K14" i="1"/>
  <c r="L14" i="1"/>
  <c r="M14" i="1"/>
  <c r="N14" i="1"/>
  <c r="O14" i="1"/>
  <c r="P14" i="1"/>
  <c r="Q14" i="1"/>
  <c r="R14" i="1"/>
  <c r="S14" i="1"/>
  <c r="T14" i="1"/>
  <c r="U14" i="1"/>
  <c r="V14" i="1"/>
  <c r="W14" i="1"/>
  <c r="X14" i="1"/>
  <c r="Y14" i="1"/>
  <c r="Z14" i="1"/>
  <c r="AA14" i="1"/>
  <c r="AC14" i="1"/>
  <c r="AC17" i="1"/>
  <c r="AC18" i="1"/>
  <c r="G19" i="1"/>
  <c r="H19" i="1"/>
  <c r="I19" i="1"/>
  <c r="J19" i="1"/>
  <c r="K19" i="1"/>
  <c r="L19" i="1"/>
  <c r="M19" i="1"/>
  <c r="N19" i="1"/>
  <c r="O19" i="1"/>
  <c r="P19" i="1"/>
  <c r="Q19" i="1"/>
  <c r="R19" i="1"/>
  <c r="S19" i="1"/>
  <c r="T19" i="1"/>
  <c r="U19" i="1"/>
  <c r="V19" i="1"/>
  <c r="W19" i="1"/>
  <c r="X19" i="1"/>
  <c r="Y19" i="1"/>
  <c r="Z19" i="1"/>
  <c r="AA19" i="1"/>
  <c r="AC19" i="1"/>
  <c r="G21" i="1"/>
  <c r="H21" i="1"/>
  <c r="I21" i="1"/>
  <c r="J21" i="1"/>
  <c r="J41" i="1" s="1"/>
  <c r="K21" i="1"/>
  <c r="L21" i="1"/>
  <c r="M21" i="1"/>
  <c r="M23" i="1" s="1"/>
  <c r="N21" i="1"/>
  <c r="N23" i="1" s="1"/>
  <c r="O21" i="1"/>
  <c r="P21" i="1"/>
  <c r="Q21" i="1"/>
  <c r="R21" i="1"/>
  <c r="R23" i="1" s="1"/>
  <c r="S21" i="1"/>
  <c r="T21" i="1"/>
  <c r="U21" i="1"/>
  <c r="U41" i="1" s="1"/>
  <c r="V21" i="1"/>
  <c r="V41" i="1" s="1"/>
  <c r="W21" i="1"/>
  <c r="X21" i="1"/>
  <c r="Y21" i="1"/>
  <c r="Z21" i="1"/>
  <c r="Z41" i="1" s="1"/>
  <c r="AA21" i="1"/>
  <c r="AC21" i="1"/>
  <c r="G22" i="1"/>
  <c r="H22" i="1"/>
  <c r="H23" i="1" s="1"/>
  <c r="I22" i="1"/>
  <c r="J22" i="1"/>
  <c r="K22" i="1"/>
  <c r="L22" i="1"/>
  <c r="M22" i="1"/>
  <c r="M42" i="1" s="1"/>
  <c r="N22" i="1"/>
  <c r="O22" i="1"/>
  <c r="O23" i="1" s="1"/>
  <c r="P22" i="1"/>
  <c r="P42" i="1" s="1"/>
  <c r="P62" i="1" s="1"/>
  <c r="Q22" i="1"/>
  <c r="R22" i="1"/>
  <c r="S22" i="1"/>
  <c r="T22" i="1"/>
  <c r="T42" i="1" s="1"/>
  <c r="T62" i="1" s="1"/>
  <c r="U22" i="1"/>
  <c r="V22" i="1"/>
  <c r="W22" i="1"/>
  <c r="W23" i="1" s="1"/>
  <c r="X22" i="1"/>
  <c r="X23" i="1" s="1"/>
  <c r="Y22" i="1"/>
  <c r="Z22" i="1"/>
  <c r="AA22" i="1"/>
  <c r="AC22" i="1"/>
  <c r="G23" i="1"/>
  <c r="I23" i="1"/>
  <c r="P23" i="1"/>
  <c r="Q23" i="1"/>
  <c r="V23" i="1"/>
  <c r="Y23" i="1"/>
  <c r="Z23" i="1"/>
  <c r="AC27" i="1"/>
  <c r="AC28" i="1"/>
  <c r="G29" i="1"/>
  <c r="H29" i="1"/>
  <c r="I29" i="1"/>
  <c r="J29" i="1"/>
  <c r="K29" i="1"/>
  <c r="L29" i="1"/>
  <c r="M29" i="1"/>
  <c r="N29" i="1"/>
  <c r="O29" i="1"/>
  <c r="P29" i="1"/>
  <c r="Q29" i="1"/>
  <c r="R29" i="1"/>
  <c r="S29" i="1"/>
  <c r="T29" i="1"/>
  <c r="U29" i="1"/>
  <c r="V29" i="1"/>
  <c r="W29" i="1"/>
  <c r="X29" i="1"/>
  <c r="Y29" i="1"/>
  <c r="Z29" i="1"/>
  <c r="AA29" i="1"/>
  <c r="AC32" i="1"/>
  <c r="AC33" i="1"/>
  <c r="AC37" i="1" s="1"/>
  <c r="G34" i="1"/>
  <c r="H34" i="1"/>
  <c r="I34" i="1"/>
  <c r="J34" i="1"/>
  <c r="K34" i="1"/>
  <c r="L34" i="1"/>
  <c r="M34" i="1"/>
  <c r="N34" i="1"/>
  <c r="O34" i="1"/>
  <c r="P34" i="1"/>
  <c r="Q34" i="1"/>
  <c r="R34" i="1"/>
  <c r="S34" i="1"/>
  <c r="T34" i="1"/>
  <c r="U34" i="1"/>
  <c r="V34" i="1"/>
  <c r="W34" i="1"/>
  <c r="X34" i="1"/>
  <c r="Y34" i="1"/>
  <c r="Z34" i="1"/>
  <c r="AA34" i="1"/>
  <c r="G36" i="1"/>
  <c r="H36" i="1"/>
  <c r="H38" i="1" s="1"/>
  <c r="I36" i="1"/>
  <c r="J36" i="1"/>
  <c r="K36" i="1"/>
  <c r="L36" i="1"/>
  <c r="L38" i="1" s="1"/>
  <c r="M36" i="1"/>
  <c r="N36" i="1"/>
  <c r="O36" i="1"/>
  <c r="P36" i="1"/>
  <c r="P38" i="1" s="1"/>
  <c r="Q36" i="1"/>
  <c r="R36" i="1"/>
  <c r="S36" i="1"/>
  <c r="T36" i="1"/>
  <c r="U36" i="1"/>
  <c r="V36" i="1"/>
  <c r="W36" i="1"/>
  <c r="X36" i="1"/>
  <c r="Y36" i="1"/>
  <c r="Y38" i="1" s="1"/>
  <c r="Z36" i="1"/>
  <c r="AA36" i="1"/>
  <c r="G37" i="1"/>
  <c r="H37" i="1"/>
  <c r="I37" i="1"/>
  <c r="J37" i="1"/>
  <c r="J42" i="1" s="1"/>
  <c r="J62" i="1" s="1"/>
  <c r="K37" i="1"/>
  <c r="K42" i="1" s="1"/>
  <c r="K62" i="1" s="1"/>
  <c r="L37" i="1"/>
  <c r="M37" i="1"/>
  <c r="M38" i="1" s="1"/>
  <c r="N37" i="1"/>
  <c r="O37" i="1"/>
  <c r="P37" i="1"/>
  <c r="Q37" i="1"/>
  <c r="R37" i="1"/>
  <c r="R42" i="1" s="1"/>
  <c r="S37" i="1"/>
  <c r="T37" i="1"/>
  <c r="U37" i="1"/>
  <c r="U38" i="1" s="1"/>
  <c r="V37" i="1"/>
  <c r="V38" i="1" s="1"/>
  <c r="W37" i="1"/>
  <c r="X37" i="1"/>
  <c r="Y37" i="1"/>
  <c r="Z37" i="1"/>
  <c r="Z42" i="1" s="1"/>
  <c r="Z62" i="1" s="1"/>
  <c r="AA37" i="1"/>
  <c r="AA42" i="1" s="1"/>
  <c r="G38" i="1"/>
  <c r="N38" i="1"/>
  <c r="O38" i="1"/>
  <c r="T38" i="1"/>
  <c r="W38" i="1"/>
  <c r="X38" i="1"/>
  <c r="G41" i="1"/>
  <c r="N41" i="1"/>
  <c r="O41" i="1"/>
  <c r="R41" i="1"/>
  <c r="R61" i="1" s="1"/>
  <c r="W41" i="1"/>
  <c r="X41" i="1"/>
  <c r="X43" i="1" s="1"/>
  <c r="Y41" i="1"/>
  <c r="Y61" i="1" s="1"/>
  <c r="G42" i="1"/>
  <c r="H42" i="1"/>
  <c r="I42" i="1"/>
  <c r="L42" i="1"/>
  <c r="L62" i="1" s="1"/>
  <c r="O42" i="1"/>
  <c r="Q42" i="1"/>
  <c r="Q62" i="1" s="1"/>
  <c r="X42" i="1"/>
  <c r="Y42" i="1"/>
  <c r="Y62" i="1" s="1"/>
  <c r="Y43" i="1"/>
  <c r="AC46" i="1"/>
  <c r="AC56" i="1" s="1"/>
  <c r="AC58" i="1" s="1"/>
  <c r="H47" i="1"/>
  <c r="AC47" i="1" s="1"/>
  <c r="G48" i="1"/>
  <c r="H48" i="1"/>
  <c r="I48" i="1"/>
  <c r="J48" i="1"/>
  <c r="K48" i="1"/>
  <c r="L48" i="1"/>
  <c r="M48" i="1"/>
  <c r="N48" i="1"/>
  <c r="O48" i="1"/>
  <c r="P48" i="1"/>
  <c r="Q48" i="1"/>
  <c r="R48" i="1"/>
  <c r="S48" i="1"/>
  <c r="T48" i="1"/>
  <c r="U48" i="1"/>
  <c r="V48" i="1"/>
  <c r="W48" i="1"/>
  <c r="X48" i="1"/>
  <c r="Y48" i="1"/>
  <c r="Z48" i="1"/>
  <c r="AA48" i="1"/>
  <c r="AC48" i="1"/>
  <c r="AC51" i="1"/>
  <c r="AC52" i="1"/>
  <c r="G53" i="1"/>
  <c r="H53" i="1"/>
  <c r="I53" i="1"/>
  <c r="J53" i="1"/>
  <c r="K53" i="1"/>
  <c r="L53" i="1"/>
  <c r="M53" i="1"/>
  <c r="N53" i="1"/>
  <c r="O53" i="1"/>
  <c r="P53" i="1"/>
  <c r="Q53" i="1"/>
  <c r="R53" i="1"/>
  <c r="S53" i="1"/>
  <c r="T53" i="1"/>
  <c r="U53" i="1"/>
  <c r="V53" i="1"/>
  <c r="W53" i="1"/>
  <c r="X53" i="1"/>
  <c r="Y53" i="1"/>
  <c r="Z53" i="1"/>
  <c r="AA53" i="1"/>
  <c r="AC53" i="1"/>
  <c r="G56" i="1"/>
  <c r="H56" i="1"/>
  <c r="I56" i="1"/>
  <c r="J56" i="1"/>
  <c r="J58" i="1" s="1"/>
  <c r="K56" i="1"/>
  <c r="K58" i="1" s="1"/>
  <c r="L56" i="1"/>
  <c r="M56" i="1"/>
  <c r="N56" i="1"/>
  <c r="N58" i="1" s="1"/>
  <c r="O56" i="1"/>
  <c r="O58" i="1" s="1"/>
  <c r="P56" i="1"/>
  <c r="Q56" i="1"/>
  <c r="R56" i="1"/>
  <c r="R58" i="1" s="1"/>
  <c r="S56" i="1"/>
  <c r="S58" i="1" s="1"/>
  <c r="T56" i="1"/>
  <c r="U56" i="1"/>
  <c r="V56" i="1"/>
  <c r="W56" i="1"/>
  <c r="X56" i="1"/>
  <c r="Y56" i="1"/>
  <c r="Z56" i="1"/>
  <c r="AA56" i="1"/>
  <c r="G57" i="1"/>
  <c r="H57" i="1"/>
  <c r="H58" i="1" s="1"/>
  <c r="I57" i="1"/>
  <c r="J57" i="1"/>
  <c r="K57" i="1"/>
  <c r="L57" i="1"/>
  <c r="M57" i="1"/>
  <c r="N57" i="1"/>
  <c r="O57" i="1"/>
  <c r="P57" i="1"/>
  <c r="Q57" i="1"/>
  <c r="R57" i="1"/>
  <c r="S57" i="1"/>
  <c r="T57" i="1"/>
  <c r="U57" i="1"/>
  <c r="V57" i="1"/>
  <c r="W57" i="1"/>
  <c r="W58" i="1" s="1"/>
  <c r="X57" i="1"/>
  <c r="X58" i="1" s="1"/>
  <c r="Y57" i="1"/>
  <c r="Y58" i="1" s="1"/>
  <c r="Z57" i="1"/>
  <c r="AA57" i="1"/>
  <c r="AC57" i="1"/>
  <c r="G58" i="1"/>
  <c r="I58" i="1"/>
  <c r="P58" i="1"/>
  <c r="Q58" i="1"/>
  <c r="V58" i="1"/>
  <c r="Z58" i="1"/>
  <c r="AA58" i="1"/>
  <c r="G62" i="1"/>
  <c r="O62" i="1"/>
  <c r="AA62" i="1"/>
  <c r="W63" i="1"/>
  <c r="Y63" i="1"/>
  <c r="AC66" i="1"/>
  <c r="AC68" i="1" s="1"/>
  <c r="AC67" i="1"/>
  <c r="G68" i="1"/>
  <c r="H68" i="1"/>
  <c r="I68" i="1"/>
  <c r="J68" i="1"/>
  <c r="K68" i="1"/>
  <c r="L68" i="1"/>
  <c r="M68" i="1"/>
  <c r="N68" i="1"/>
  <c r="O68" i="1"/>
  <c r="P68" i="1"/>
  <c r="Q68" i="1"/>
  <c r="R68" i="1"/>
  <c r="S68" i="1"/>
  <c r="T68" i="1"/>
  <c r="U68" i="1"/>
  <c r="V68" i="1"/>
  <c r="W68" i="1"/>
  <c r="X68" i="1"/>
  <c r="Y68" i="1"/>
  <c r="Z68" i="1"/>
  <c r="AA68" i="1"/>
  <c r="H73" i="1"/>
  <c r="I73" i="1"/>
  <c r="I75" i="1" s="1"/>
  <c r="I82" i="1" s="1"/>
  <c r="J73" i="1"/>
  <c r="M73" i="1"/>
  <c r="O73" i="1"/>
  <c r="Q73" i="1"/>
  <c r="S73" i="1"/>
  <c r="T73" i="1"/>
  <c r="U73" i="1"/>
  <c r="U75" i="1" s="1"/>
  <c r="U82" i="1" s="1"/>
  <c r="V73" i="1"/>
  <c r="G74" i="1"/>
  <c r="H74" i="1"/>
  <c r="I74" i="1"/>
  <c r="J74" i="1"/>
  <c r="K74" i="1"/>
  <c r="L74" i="1"/>
  <c r="L75" i="1" s="1"/>
  <c r="L82" i="1" s="1"/>
  <c r="L89" i="1" s="1"/>
  <c r="M74" i="1"/>
  <c r="N74" i="1"/>
  <c r="O74" i="1"/>
  <c r="P74" i="1"/>
  <c r="P75" i="1" s="1"/>
  <c r="Q74" i="1"/>
  <c r="R74" i="1"/>
  <c r="S74" i="1"/>
  <c r="T74" i="1"/>
  <c r="U74" i="1"/>
  <c r="V74" i="1"/>
  <c r="G75" i="1"/>
  <c r="J75" i="1"/>
  <c r="J82" i="1" s="1"/>
  <c r="K75" i="1"/>
  <c r="K82" i="1" s="1"/>
  <c r="M75" i="1"/>
  <c r="N75" i="1"/>
  <c r="O75" i="1"/>
  <c r="O82" i="1" s="1"/>
  <c r="Q75" i="1"/>
  <c r="R75" i="1"/>
  <c r="S75" i="1"/>
  <c r="S82" i="1" s="1"/>
  <c r="S89" i="1" s="1"/>
  <c r="T75" i="1"/>
  <c r="T82" i="1" s="1"/>
  <c r="T89" i="1" s="1"/>
  <c r="V75" i="1"/>
  <c r="V82" i="1" s="1"/>
  <c r="W75" i="1"/>
  <c r="X75" i="1"/>
  <c r="Y75" i="1"/>
  <c r="Z75" i="1"/>
  <c r="AA75" i="1"/>
  <c r="G78" i="1"/>
  <c r="H78" i="1"/>
  <c r="H80" i="1" s="1"/>
  <c r="I78" i="1"/>
  <c r="J78" i="1"/>
  <c r="K78" i="1"/>
  <c r="K80" i="1" s="1"/>
  <c r="L78" i="1"/>
  <c r="L80" i="1" s="1"/>
  <c r="M78" i="1"/>
  <c r="M80" i="1" s="1"/>
  <c r="N78" i="1"/>
  <c r="O78" i="1"/>
  <c r="P78" i="1"/>
  <c r="P80" i="1" s="1"/>
  <c r="P82" i="1" s="1"/>
  <c r="R78" i="1"/>
  <c r="R80" i="1" s="1"/>
  <c r="R82" i="1" s="1"/>
  <c r="S78" i="1"/>
  <c r="T78" i="1"/>
  <c r="U78" i="1"/>
  <c r="V78" i="1"/>
  <c r="V80" i="1" s="1"/>
  <c r="M79" i="1"/>
  <c r="N79" i="1"/>
  <c r="AC79" i="1" s="1"/>
  <c r="O79" i="1"/>
  <c r="O80" i="1" s="1"/>
  <c r="P79" i="1"/>
  <c r="T79" i="1"/>
  <c r="V79" i="1"/>
  <c r="G80" i="1"/>
  <c r="I80" i="1"/>
  <c r="J80" i="1"/>
  <c r="Q80" i="1"/>
  <c r="Q82" i="1" s="1"/>
  <c r="S80" i="1"/>
  <c r="T80" i="1"/>
  <c r="U80" i="1"/>
  <c r="W80" i="1"/>
  <c r="X80" i="1"/>
  <c r="Y80" i="1"/>
  <c r="Y82" i="1" s="1"/>
  <c r="Z80" i="1"/>
  <c r="AA80" i="1"/>
  <c r="W82" i="1"/>
  <c r="X82" i="1"/>
  <c r="Z82" i="1"/>
  <c r="AA82" i="1"/>
  <c r="AA89" i="1" s="1"/>
  <c r="H85" i="1"/>
  <c r="K85" i="1"/>
  <c r="K87" i="1" s="1"/>
  <c r="K89" i="1" s="1"/>
  <c r="M85" i="1"/>
  <c r="N85" i="1"/>
  <c r="N87" i="1" s="1"/>
  <c r="M86" i="1"/>
  <c r="AC86" i="1" s="1"/>
  <c r="O86" i="1"/>
  <c r="P86" i="1"/>
  <c r="P87" i="1" s="1"/>
  <c r="Q86" i="1"/>
  <c r="T86" i="1"/>
  <c r="V86" i="1"/>
  <c r="G87" i="1"/>
  <c r="H87" i="1"/>
  <c r="I87" i="1"/>
  <c r="J87" i="1"/>
  <c r="L87" i="1"/>
  <c r="O87" i="1"/>
  <c r="O89" i="1" s="1"/>
  <c r="Q87" i="1"/>
  <c r="R87" i="1"/>
  <c r="R89" i="1" s="1"/>
  <c r="S87" i="1"/>
  <c r="T87" i="1"/>
  <c r="U87" i="1"/>
  <c r="V87" i="1"/>
  <c r="W87" i="1"/>
  <c r="W89" i="1" s="1"/>
  <c r="X87" i="1"/>
  <c r="Y87" i="1"/>
  <c r="Y89" i="1" s="1"/>
  <c r="Z87" i="1"/>
  <c r="AA87" i="1"/>
  <c r="J89" i="1"/>
  <c r="X89" i="1"/>
  <c r="AC93" i="1"/>
  <c r="AC94" i="1"/>
  <c r="AC95" i="1"/>
  <c r="AC96" i="1"/>
  <c r="AC97" i="1"/>
  <c r="AC98" i="1"/>
  <c r="AC100" i="1"/>
  <c r="G101" i="1"/>
  <c r="AC101" i="1" s="1"/>
  <c r="AC102" i="1"/>
  <c r="AC104" i="1"/>
  <c r="AC105" i="1"/>
  <c r="AC106" i="1"/>
  <c r="T107" i="1"/>
  <c r="AC107" i="1" s="1"/>
  <c r="V107" i="1"/>
  <c r="AC108" i="1"/>
  <c r="AC109" i="1"/>
  <c r="AC110" i="1"/>
  <c r="AC111" i="1"/>
  <c r="AC112" i="1"/>
  <c r="AC113" i="1"/>
  <c r="G114" i="1"/>
  <c r="H114" i="1"/>
  <c r="I114" i="1"/>
  <c r="J114" i="1"/>
  <c r="K114" i="1"/>
  <c r="L114" i="1"/>
  <c r="M114" i="1"/>
  <c r="N114" i="1"/>
  <c r="O114" i="1"/>
  <c r="P114" i="1"/>
  <c r="Q114" i="1"/>
  <c r="R114" i="1"/>
  <c r="S114" i="1"/>
  <c r="U114" i="1"/>
  <c r="V114" i="1"/>
  <c r="W114" i="1"/>
  <c r="X114" i="1"/>
  <c r="Y114" i="1"/>
  <c r="Z114" i="1"/>
  <c r="AA114" i="1"/>
  <c r="AC117" i="1"/>
  <c r="AC118" i="1"/>
  <c r="G119" i="1"/>
  <c r="H119" i="1"/>
  <c r="I119" i="1"/>
  <c r="J119" i="1"/>
  <c r="K119" i="1"/>
  <c r="L119" i="1"/>
  <c r="M119" i="1"/>
  <c r="N119" i="1"/>
  <c r="O119" i="1"/>
  <c r="P119" i="1"/>
  <c r="Q119" i="1"/>
  <c r="R119" i="1"/>
  <c r="S119" i="1"/>
  <c r="T119" i="1"/>
  <c r="U119" i="1"/>
  <c r="V119" i="1"/>
  <c r="W119" i="1"/>
  <c r="X119" i="1"/>
  <c r="Y119" i="1"/>
  <c r="Z119" i="1"/>
  <c r="AA119" i="1"/>
  <c r="Q122" i="1"/>
  <c r="Q124" i="1" s="1"/>
  <c r="AC122" i="1"/>
  <c r="AC124" i="1" s="1"/>
  <c r="AC123" i="1"/>
  <c r="G124" i="1"/>
  <c r="H124" i="1"/>
  <c r="I124" i="1"/>
  <c r="J124" i="1"/>
  <c r="K124" i="1"/>
  <c r="L124" i="1"/>
  <c r="M124" i="1"/>
  <c r="N124" i="1"/>
  <c r="O124" i="1"/>
  <c r="P124" i="1"/>
  <c r="R124" i="1"/>
  <c r="S124" i="1"/>
  <c r="T124" i="1"/>
  <c r="U124" i="1"/>
  <c r="V124" i="1"/>
  <c r="W124" i="1"/>
  <c r="X124" i="1"/>
  <c r="Y124" i="1"/>
  <c r="Z124" i="1"/>
  <c r="AA124" i="1"/>
  <c r="M126" i="1"/>
  <c r="AC126" i="1" s="1"/>
  <c r="P126" i="1"/>
  <c r="Q126" i="1"/>
  <c r="T126" i="1"/>
  <c r="W129" i="1"/>
  <c r="W133" i="1" s="1"/>
  <c r="AE129" i="1"/>
  <c r="Q137" i="1"/>
  <c r="AC137" i="1"/>
  <c r="AC141" i="1" s="1"/>
  <c r="AC138" i="1"/>
  <c r="AC139" i="1"/>
  <c r="AC140" i="1"/>
  <c r="G141" i="1"/>
  <c r="H141" i="1"/>
  <c r="I141" i="1"/>
  <c r="J141" i="1"/>
  <c r="K141" i="1"/>
  <c r="L141" i="1"/>
  <c r="M141" i="1"/>
  <c r="N141" i="1"/>
  <c r="O141" i="1"/>
  <c r="P141" i="1"/>
  <c r="Q141" i="1"/>
  <c r="R141" i="1"/>
  <c r="S141" i="1"/>
  <c r="T141" i="1"/>
  <c r="U141" i="1"/>
  <c r="V141" i="1"/>
  <c r="W141" i="1"/>
  <c r="X141" i="1"/>
  <c r="Y141" i="1"/>
  <c r="Z141" i="1"/>
  <c r="AA141" i="1"/>
  <c r="AE141" i="1"/>
  <c r="AE143" i="1" s="1"/>
  <c r="W143" i="1"/>
  <c r="A147" i="1"/>
  <c r="V61" i="1" l="1"/>
  <c r="AC119" i="1"/>
  <c r="AC74" i="1"/>
  <c r="U61" i="1"/>
  <c r="W131" i="1"/>
  <c r="AC78" i="1"/>
  <c r="N80" i="1"/>
  <c r="K38" i="1"/>
  <c r="O43" i="1"/>
  <c r="O61" i="1"/>
  <c r="O63" i="1" s="1"/>
  <c r="O129" i="1" s="1"/>
  <c r="U42" i="1"/>
  <c r="U62" i="1" s="1"/>
  <c r="U23" i="1"/>
  <c r="M62" i="1"/>
  <c r="AA23" i="1"/>
  <c r="AA41" i="1"/>
  <c r="S23" i="1"/>
  <c r="S41" i="1"/>
  <c r="K23" i="1"/>
  <c r="K41" i="1"/>
  <c r="Q89" i="1"/>
  <c r="P89" i="1"/>
  <c r="AC80" i="1"/>
  <c r="G82" i="1"/>
  <c r="I89" i="1"/>
  <c r="H75" i="1"/>
  <c r="AC73" i="1"/>
  <c r="Y129" i="1"/>
  <c r="N43" i="1"/>
  <c r="Q38" i="1"/>
  <c r="Q41" i="1"/>
  <c r="I38" i="1"/>
  <c r="I41" i="1"/>
  <c r="AC29" i="1"/>
  <c r="AC36" i="1"/>
  <c r="AC38" i="1" s="1"/>
  <c r="Z61" i="1"/>
  <c r="Z63" i="1" s="1"/>
  <c r="Z43" i="1"/>
  <c r="J43" i="1"/>
  <c r="J61" i="1"/>
  <c r="J63" i="1" s="1"/>
  <c r="J129" i="1" s="1"/>
  <c r="U58" i="1"/>
  <c r="S42" i="1"/>
  <c r="S62" i="1" s="1"/>
  <c r="S38" i="1"/>
  <c r="AC114" i="1"/>
  <c r="G89" i="1"/>
  <c r="N89" i="1"/>
  <c r="AA38" i="1"/>
  <c r="R62" i="1"/>
  <c r="R63" i="1" s="1"/>
  <c r="R129" i="1" s="1"/>
  <c r="R43" i="1"/>
  <c r="M58" i="1"/>
  <c r="Z89" i="1"/>
  <c r="M87" i="1"/>
  <c r="M89" i="1" s="1"/>
  <c r="M82" i="1"/>
  <c r="N82" i="1"/>
  <c r="H62" i="1"/>
  <c r="H41" i="1"/>
  <c r="J23" i="1"/>
  <c r="G43" i="1"/>
  <c r="G61" i="1"/>
  <c r="G63" i="1" s="1"/>
  <c r="G129" i="1" s="1"/>
  <c r="T114" i="1"/>
  <c r="AC85" i="1"/>
  <c r="AC87" i="1" s="1"/>
  <c r="T58" i="1"/>
  <c r="L58" i="1"/>
  <c r="P41" i="1"/>
  <c r="Z38" i="1"/>
  <c r="R38" i="1"/>
  <c r="J38" i="1"/>
  <c r="V42" i="1"/>
  <c r="V62" i="1" s="1"/>
  <c r="N42" i="1"/>
  <c r="N62" i="1" s="1"/>
  <c r="AC23" i="1"/>
  <c r="T23" i="1"/>
  <c r="T41" i="1"/>
  <c r="L23" i="1"/>
  <c r="L41" i="1"/>
  <c r="AC41" i="1" s="1"/>
  <c r="V89" i="1"/>
  <c r="X62" i="1"/>
  <c r="N61" i="1"/>
  <c r="AC34" i="1"/>
  <c r="U89" i="1"/>
  <c r="W42" i="1"/>
  <c r="W62" i="1" s="1"/>
  <c r="W43" i="1"/>
  <c r="W61" i="1"/>
  <c r="M41" i="1"/>
  <c r="X61" i="1"/>
  <c r="X63" i="1" s="1"/>
  <c r="X129" i="1" s="1"/>
  <c r="I62" i="1"/>
  <c r="AC61" i="1" l="1"/>
  <c r="AC63" i="1" s="1"/>
  <c r="AC129" i="1" s="1"/>
  <c r="R133" i="1"/>
  <c r="R143" i="1"/>
  <c r="R131" i="1"/>
  <c r="Z129" i="1"/>
  <c r="O133" i="1"/>
  <c r="O131" i="1"/>
  <c r="O143" i="1"/>
  <c r="P43" i="1"/>
  <c r="P61" i="1"/>
  <c r="P63" i="1" s="1"/>
  <c r="P129" i="1" s="1"/>
  <c r="N63" i="1"/>
  <c r="N129" i="1" s="1"/>
  <c r="X133" i="1"/>
  <c r="X131" i="1"/>
  <c r="X143" i="1"/>
  <c r="AC42" i="1"/>
  <c r="AC62" i="1" s="1"/>
  <c r="M61" i="1"/>
  <c r="M63" i="1" s="1"/>
  <c r="M129" i="1" s="1"/>
  <c r="M43" i="1"/>
  <c r="Y133" i="1"/>
  <c r="Y143" i="1"/>
  <c r="Y131" i="1"/>
  <c r="U43" i="1"/>
  <c r="U63" i="1"/>
  <c r="U129" i="1" s="1"/>
  <c r="T43" i="1"/>
  <c r="T61" i="1"/>
  <c r="T63" i="1" s="1"/>
  <c r="T129" i="1" s="1"/>
  <c r="H82" i="1"/>
  <c r="H89" i="1" s="1"/>
  <c r="AC75" i="1"/>
  <c r="S43" i="1"/>
  <c r="S61" i="1"/>
  <c r="S63" i="1" s="1"/>
  <c r="S129" i="1" s="1"/>
  <c r="H43" i="1"/>
  <c r="H61" i="1"/>
  <c r="H63" i="1" s="1"/>
  <c r="H129" i="1" s="1"/>
  <c r="I43" i="1"/>
  <c r="I61" i="1"/>
  <c r="I63" i="1" s="1"/>
  <c r="I129" i="1" s="1"/>
  <c r="AC82" i="1"/>
  <c r="AA61" i="1"/>
  <c r="AA63" i="1" s="1"/>
  <c r="AA129" i="1" s="1"/>
  <c r="AA43" i="1"/>
  <c r="V43" i="1"/>
  <c r="G143" i="1"/>
  <c r="G133" i="1"/>
  <c r="G131" i="1"/>
  <c r="L61" i="1"/>
  <c r="L63" i="1" s="1"/>
  <c r="L129" i="1" s="1"/>
  <c r="L43" i="1"/>
  <c r="K61" i="1"/>
  <c r="K63" i="1" s="1"/>
  <c r="K129" i="1" s="1"/>
  <c r="K43" i="1"/>
  <c r="AC89" i="1"/>
  <c r="J131" i="1"/>
  <c r="J133" i="1"/>
  <c r="J143" i="1"/>
  <c r="Q43" i="1"/>
  <c r="Q61" i="1"/>
  <c r="Q63" i="1" s="1"/>
  <c r="Q129" i="1" s="1"/>
  <c r="V63" i="1"/>
  <c r="V129" i="1" s="1"/>
  <c r="V131" i="1" l="1"/>
  <c r="V143" i="1"/>
  <c r="V133" i="1"/>
  <c r="L131" i="1"/>
  <c r="L133" i="1"/>
  <c r="L143" i="1"/>
  <c r="T131" i="1"/>
  <c r="T143" i="1"/>
  <c r="T133" i="1"/>
  <c r="M143" i="1"/>
  <c r="M131" i="1"/>
  <c r="M133" i="1"/>
  <c r="N131" i="1"/>
  <c r="N143" i="1"/>
  <c r="N133" i="1"/>
  <c r="H133" i="1"/>
  <c r="AC133" i="1" s="1"/>
  <c r="H143" i="1"/>
  <c r="H131" i="1"/>
  <c r="AC131" i="1" s="1"/>
  <c r="Z133" i="1"/>
  <c r="Z143" i="1"/>
  <c r="Z131" i="1"/>
  <c r="AA133" i="1"/>
  <c r="AA143" i="1"/>
  <c r="AA131" i="1"/>
  <c r="I133" i="1"/>
  <c r="I143" i="1"/>
  <c r="I131" i="1"/>
  <c r="U143" i="1"/>
  <c r="U131" i="1"/>
  <c r="U133" i="1"/>
  <c r="S131" i="1"/>
  <c r="S143" i="1"/>
  <c r="S133" i="1"/>
  <c r="K131" i="1"/>
  <c r="K133" i="1"/>
  <c r="K143" i="1"/>
  <c r="P133" i="1"/>
  <c r="P143" i="1"/>
  <c r="P131" i="1"/>
  <c r="Q133" i="1"/>
  <c r="Q143" i="1"/>
  <c r="Q131" i="1"/>
  <c r="AC43" i="1"/>
  <c r="AC134" i="1"/>
  <c r="AC143" i="1"/>
</calcChain>
</file>

<file path=xl/comments1.xml><?xml version="1.0" encoding="utf-8"?>
<comments xmlns="http://schemas.openxmlformats.org/spreadsheetml/2006/main">
  <authors>
    <author>rcothran</author>
  </authors>
  <commentList>
    <comment ref="G12" authorId="0" shapeId="0">
      <text>
        <r>
          <rPr>
            <b/>
            <sz val="8"/>
            <color indexed="81"/>
            <rFont val="Tahoma"/>
          </rPr>
          <t>rcothran:</t>
        </r>
        <r>
          <rPr>
            <sz val="8"/>
            <color indexed="81"/>
            <rFont val="Tahoma"/>
          </rPr>
          <t xml:space="preserve">
6/20 - Updated per Frank Cernosek from 7.6 to 8.3</t>
        </r>
      </text>
    </comment>
    <comment ref="I12" authorId="0" shapeId="0">
      <text>
        <r>
          <rPr>
            <b/>
            <sz val="8"/>
            <color indexed="81"/>
            <rFont val="Tahoma"/>
          </rPr>
          <t>rcothran:</t>
        </r>
        <r>
          <rPr>
            <sz val="8"/>
            <color indexed="81"/>
            <rFont val="Tahoma"/>
          </rPr>
          <t xml:space="preserve">
6/20 - Updated per Frank Cernosek from 14.7 to 1.627</t>
        </r>
      </text>
    </comment>
    <comment ref="G13" authorId="0" shapeId="0">
      <text>
        <r>
          <rPr>
            <b/>
            <sz val="8"/>
            <color indexed="81"/>
            <rFont val="Tahoma"/>
          </rPr>
          <t>rcothran:</t>
        </r>
        <r>
          <rPr>
            <sz val="8"/>
            <color indexed="81"/>
            <rFont val="Tahoma"/>
          </rPr>
          <t xml:space="preserve">
6/20 - Updated per Frank Cernosek from -.5 to -.642</t>
        </r>
      </text>
    </comment>
    <comment ref="G17" authorId="0" shapeId="0">
      <text>
        <r>
          <rPr>
            <b/>
            <sz val="8"/>
            <color indexed="81"/>
            <rFont val="Tahoma"/>
          </rPr>
          <t>rcothran:</t>
        </r>
        <r>
          <rPr>
            <sz val="8"/>
            <color indexed="81"/>
            <rFont val="Tahoma"/>
          </rPr>
          <t xml:space="preserve">
6/20 - Updated per Frank Cernosek from 3.4 to 3.7</t>
        </r>
      </text>
    </comment>
    <comment ref="I17" authorId="0" shapeId="0">
      <text>
        <r>
          <rPr>
            <b/>
            <sz val="8"/>
            <color indexed="81"/>
            <rFont val="Tahoma"/>
          </rPr>
          <t>rcothran:</t>
        </r>
        <r>
          <rPr>
            <sz val="8"/>
            <color indexed="81"/>
            <rFont val="Tahoma"/>
          </rPr>
          <t xml:space="preserve">
6/20 - Updated per Frank Cernosek from 3.7 to 4.905</t>
        </r>
      </text>
    </comment>
    <comment ref="L17" authorId="0" shapeId="0">
      <text>
        <r>
          <rPr>
            <b/>
            <sz val="8"/>
            <color indexed="81"/>
            <rFont val="Tahoma"/>
          </rPr>
          <t>rcothran:</t>
        </r>
        <r>
          <rPr>
            <sz val="8"/>
            <color indexed="81"/>
            <rFont val="Tahoma"/>
          </rPr>
          <t xml:space="preserve">
6/20 - Updated per Frank Cernosek from 4.6 to 4.710</t>
        </r>
      </text>
    </comment>
    <comment ref="G18" authorId="0" shapeId="0">
      <text>
        <r>
          <rPr>
            <b/>
            <sz val="8"/>
            <color indexed="81"/>
            <rFont val="Tahoma"/>
          </rPr>
          <t>rcothran:</t>
        </r>
        <r>
          <rPr>
            <sz val="8"/>
            <color indexed="81"/>
            <rFont val="Tahoma"/>
          </rPr>
          <t xml:space="preserve">
6/20 - Updated per Frank Cernosek from -8.5 to -11.668</t>
        </r>
      </text>
    </comment>
    <comment ref="I18" authorId="0" shapeId="0">
      <text>
        <r>
          <rPr>
            <b/>
            <sz val="8"/>
            <color indexed="81"/>
            <rFont val="Tahoma"/>
          </rPr>
          <t>rcothran:</t>
        </r>
        <r>
          <rPr>
            <sz val="8"/>
            <color indexed="81"/>
            <rFont val="Tahoma"/>
          </rPr>
          <t xml:space="preserve">
6/20 - Updated per Frank Cernosek from -17.7 to -5.834</t>
        </r>
      </text>
    </comment>
    <comment ref="M18" authorId="0" shapeId="0">
      <text>
        <r>
          <rPr>
            <b/>
            <sz val="8"/>
            <color indexed="81"/>
            <rFont val="Tahoma"/>
          </rPr>
          <t>rcothran:</t>
        </r>
        <r>
          <rPr>
            <sz val="8"/>
            <color indexed="81"/>
            <rFont val="Tahoma"/>
          </rPr>
          <t xml:space="preserve">
6/20 - Updated per Frank Cernosek from  
-11.5 to -12.149</t>
        </r>
      </text>
    </comment>
    <comment ref="J46" authorId="0" shapeId="0">
      <text>
        <r>
          <rPr>
            <b/>
            <sz val="8"/>
            <color indexed="81"/>
            <rFont val="Tahoma"/>
          </rPr>
          <t>rcothran:</t>
        </r>
        <r>
          <rPr>
            <sz val="8"/>
            <color indexed="81"/>
            <rFont val="Tahoma"/>
          </rPr>
          <t xml:space="preserve">
6/21 - Per Cernosek, update from 3.1 to 3.31
</t>
        </r>
      </text>
    </comment>
    <comment ref="P46" authorId="0" shapeId="0">
      <text>
        <r>
          <rPr>
            <b/>
            <sz val="8"/>
            <color indexed="81"/>
            <rFont val="Tahoma"/>
          </rPr>
          <t>rcothran:</t>
        </r>
        <r>
          <rPr>
            <sz val="8"/>
            <color indexed="81"/>
            <rFont val="Tahoma"/>
          </rPr>
          <t xml:space="preserve">
6/19 - changed from 79.2 to 89.69</t>
        </r>
      </text>
    </comment>
    <comment ref="Q46" authorId="0" shapeId="0">
      <text>
        <r>
          <rPr>
            <b/>
            <sz val="8"/>
            <color indexed="81"/>
            <rFont val="Tahoma"/>
          </rPr>
          <t>rcothran:</t>
        </r>
        <r>
          <rPr>
            <sz val="8"/>
            <color indexed="81"/>
            <rFont val="Tahoma"/>
          </rPr>
          <t xml:space="preserve">
6/22 - Per Cernosek, changed from 123.7 to 125.45</t>
        </r>
      </text>
    </comment>
    <comment ref="S46" authorId="0" shapeId="0">
      <text>
        <r>
          <rPr>
            <b/>
            <sz val="8"/>
            <color indexed="81"/>
            <rFont val="Tahoma"/>
          </rPr>
          <t>rcothran:</t>
        </r>
        <r>
          <rPr>
            <sz val="8"/>
            <color indexed="81"/>
            <rFont val="Tahoma"/>
          </rPr>
          <t xml:space="preserve">
6/22 - Per Cernosek, changed from 81.2 to 83.79
6/21 - Per Cernosek, changed from 80.3 to 81.190</t>
        </r>
      </text>
    </comment>
    <comment ref="P51" authorId="0" shapeId="0">
      <text>
        <r>
          <rPr>
            <b/>
            <sz val="8"/>
            <color indexed="81"/>
            <rFont val="Tahoma"/>
          </rPr>
          <t>rcothran:</t>
        </r>
        <r>
          <rPr>
            <sz val="8"/>
            <color indexed="81"/>
            <rFont val="Tahoma"/>
          </rPr>
          <t xml:space="preserve">
6/19 - changed from 12.3 to 15.750</t>
        </r>
      </text>
    </comment>
    <comment ref="Q51" authorId="0" shapeId="0">
      <text>
        <r>
          <rPr>
            <b/>
            <sz val="8"/>
            <color indexed="81"/>
            <rFont val="Tahoma"/>
          </rPr>
          <t>rcothran:</t>
        </r>
        <r>
          <rPr>
            <sz val="8"/>
            <color indexed="81"/>
            <rFont val="Tahoma"/>
          </rPr>
          <t xml:space="preserve">
6/20 - Updated per Frank Cernosek from 0 to 3.5</t>
        </r>
      </text>
    </comment>
    <comment ref="M73" authorId="0" shapeId="0">
      <text>
        <r>
          <rPr>
            <b/>
            <sz val="8"/>
            <color indexed="81"/>
            <rFont val="Tahoma"/>
          </rPr>
          <t>rcothran:</t>
        </r>
        <r>
          <rPr>
            <sz val="8"/>
            <color indexed="81"/>
            <rFont val="Tahoma"/>
          </rPr>
          <t xml:space="preserve">
6/19 - removed the form ula for the Netherlands piece</t>
        </r>
      </text>
    </comment>
    <comment ref="M118" authorId="0" shapeId="0">
      <text>
        <r>
          <rPr>
            <b/>
            <sz val="8"/>
            <color indexed="81"/>
            <rFont val="Tahoma"/>
          </rPr>
          <t>rcothran:</t>
        </r>
        <r>
          <rPr>
            <sz val="8"/>
            <color indexed="81"/>
            <rFont val="Tahoma"/>
          </rPr>
          <t xml:space="preserve">
6/20 - Per Treasury, removed Netherland fundings of 24.9
6/19 - Per Paul this s/be an outflow; changed from 24.9</t>
        </r>
      </text>
    </comment>
    <comment ref="Q118" authorId="0" shapeId="0">
      <text>
        <r>
          <rPr>
            <b/>
            <sz val="8"/>
            <color indexed="81"/>
            <rFont val="Tahoma"/>
          </rPr>
          <t>rcothran:</t>
        </r>
        <r>
          <rPr>
            <sz val="8"/>
            <color indexed="81"/>
            <rFont val="Tahoma"/>
          </rPr>
          <t xml:space="preserve">
6/20 - Per Treasury, Netherland funding of 19.6 s/ be removed
6/18 - Per Reginald/Paul - this is sb e an OUTflow of cash</t>
        </r>
      </text>
    </comment>
    <comment ref="R118" authorId="0" shapeId="0">
      <text>
        <r>
          <rPr>
            <b/>
            <sz val="8"/>
            <color indexed="81"/>
            <rFont val="Tahoma"/>
          </rPr>
          <t>rcothran:</t>
        </r>
        <r>
          <rPr>
            <sz val="8"/>
            <color indexed="81"/>
            <rFont val="Tahoma"/>
          </rPr>
          <t xml:space="preserve">
6/20 - Per Treasury, Netherland funding of 28.1 s/ be removed</t>
        </r>
      </text>
    </comment>
    <comment ref="M130" authorId="0" shapeId="0">
      <text>
        <r>
          <rPr>
            <b/>
            <sz val="8"/>
            <color indexed="81"/>
            <rFont val="Tahoma"/>
          </rPr>
          <t>rcothran:</t>
        </r>
        <r>
          <rPr>
            <sz val="8"/>
            <color indexed="81"/>
            <rFont val="Tahoma"/>
          </rPr>
          <t xml:space="preserve">
6/20 - Updated per Treasury, for removal of Netherland funding from 110.6 to 135.5
6/19 - Per Paul Garcia, the correct amount to use is the egf amount of 110.6</t>
        </r>
      </text>
    </comment>
    <comment ref="Q130" authorId="0" shapeId="0">
      <text>
        <r>
          <rPr>
            <b/>
            <sz val="8"/>
            <color indexed="81"/>
            <rFont val="Tahoma"/>
          </rPr>
          <t>rcothran:</t>
        </r>
        <r>
          <rPr>
            <sz val="8"/>
            <color indexed="81"/>
            <rFont val="Tahoma"/>
          </rPr>
          <t xml:space="preserve">
6/20 - Per Treasury, Netherland funding of 19.6 has been removed, so our total s/ be 104.7 vs 85.1
6/19 - Per Paul Garcia, the correct tie out amount for egf s/ be 85.1
</t>
        </r>
      </text>
    </comment>
    <comment ref="R130" authorId="0" shapeId="0">
      <text>
        <r>
          <rPr>
            <b/>
            <sz val="8"/>
            <color indexed="81"/>
            <rFont val="Tahoma"/>
          </rPr>
          <t>rcothran:</t>
        </r>
        <r>
          <rPr>
            <sz val="8"/>
            <color indexed="81"/>
            <rFont val="Tahoma"/>
          </rPr>
          <t xml:space="preserve">
6/20 - Per Treasury, Netherlands funding of 28.1 s/ be remoeved to give a total of -229.1 vs -257.3
6/19 - Per Ppaul Garcia -257.3  is the correct amount</t>
        </r>
      </text>
    </comment>
  </commentList>
</comments>
</file>

<file path=xl/sharedStrings.xml><?xml version="1.0" encoding="utf-8"?>
<sst xmlns="http://schemas.openxmlformats.org/spreadsheetml/2006/main" count="249" uniqueCount="178">
  <si>
    <t>ENRON AMERICAS DIRECT CASH FLOW</t>
  </si>
  <si>
    <t>(In Millions)</t>
  </si>
  <si>
    <t>Estimated</t>
  </si>
  <si>
    <t>June</t>
  </si>
  <si>
    <t>May</t>
  </si>
  <si>
    <t>TOTAL</t>
  </si>
  <si>
    <t>BROKER DEPOSITS</t>
  </si>
  <si>
    <t>Initial Margin - Gas and Other Commodities</t>
  </si>
  <si>
    <t>Decrease</t>
  </si>
  <si>
    <t>Increase</t>
  </si>
  <si>
    <t>Initial Margin</t>
  </si>
  <si>
    <t>Variation Margin - Gas and Other Commodities</t>
  </si>
  <si>
    <t>Favorable Market Movement</t>
  </si>
  <si>
    <t>Unfavorable Market Movement</t>
  </si>
  <si>
    <t>Variation Margin</t>
  </si>
  <si>
    <t>Net NYMEX - Gas and Other Commodities</t>
  </si>
  <si>
    <t>Received</t>
  </si>
  <si>
    <t>Disbursed</t>
  </si>
  <si>
    <t>NYMEX - Power</t>
  </si>
  <si>
    <t>Initial Margin - Power</t>
  </si>
  <si>
    <t>Variation Margin - Power</t>
  </si>
  <si>
    <t>Net NYMEX - Power</t>
  </si>
  <si>
    <t>Net NYMEX - Total</t>
  </si>
  <si>
    <t>OTC - Gas and Other Commodities</t>
  </si>
  <si>
    <t>Net OTC - Gas and Other Commodities</t>
  </si>
  <si>
    <t>OTC - Power</t>
  </si>
  <si>
    <t>Net OTC - Power</t>
  </si>
  <si>
    <t>Net OTC - Total</t>
  </si>
  <si>
    <t>TOTAL BROKER DEPOSITS, NET</t>
  </si>
  <si>
    <t>PREPAYMENTS</t>
  </si>
  <si>
    <t>Enron Credit Link Note II</t>
  </si>
  <si>
    <t>Fees Related to Enron Credit Link Note II</t>
  </si>
  <si>
    <t>SETTLEMENTS</t>
  </si>
  <si>
    <t>Gas</t>
  </si>
  <si>
    <t>Financial</t>
  </si>
  <si>
    <t>Net</t>
  </si>
  <si>
    <t>Physical</t>
  </si>
  <si>
    <t>Net Gas</t>
  </si>
  <si>
    <t>Power</t>
  </si>
  <si>
    <t>TOTAL SETTLEMENTS</t>
  </si>
  <si>
    <t>INVESTMENTS</t>
  </si>
  <si>
    <t>Merchant:</t>
  </si>
  <si>
    <t>ENA CLO NOTE Repurchase - Condor</t>
  </si>
  <si>
    <t>Fuel Cell Margin Call</t>
  </si>
  <si>
    <t>Condor Distribution</t>
  </si>
  <si>
    <t>LV Cogen - Priscilla (JEDI)</t>
  </si>
  <si>
    <t>HPL Sale:</t>
  </si>
  <si>
    <t>Sale of HPL Stock</t>
  </si>
  <si>
    <t>Bammel Working Gas</t>
  </si>
  <si>
    <t>Bam Lease Co Prepayment</t>
  </si>
  <si>
    <t>Power Plants:</t>
  </si>
  <si>
    <t>Fees Related to Peakers Sale</t>
  </si>
  <si>
    <t>E-Next - 4 Delta Turbines</t>
  </si>
  <si>
    <t>E-Next Funding (LV II, Columbia/Longview, Blue Dog)</t>
  </si>
  <si>
    <t>Haywood  AES</t>
  </si>
  <si>
    <t>Georgia Pacific CA Power Production Credits Purchase</t>
  </si>
  <si>
    <t>East Power - Performance Bonus (Doyle Power Plant)</t>
  </si>
  <si>
    <t>Vitro Project Reimbursement</t>
  </si>
  <si>
    <t>Blue Dog Turbine</t>
  </si>
  <si>
    <t xml:space="preserve">Total </t>
  </si>
  <si>
    <t>I/C Fundings</t>
  </si>
  <si>
    <t xml:space="preserve">Europe </t>
  </si>
  <si>
    <t>Other</t>
  </si>
  <si>
    <t>G&amp;A, Net</t>
  </si>
  <si>
    <t>TOTAL DIRECT CASH FLOWS</t>
  </si>
  <si>
    <t>per intranet reserve forecast</t>
  </si>
  <si>
    <t>diff</t>
  </si>
  <si>
    <t>per tws</t>
  </si>
  <si>
    <t>PROOF</t>
  </si>
  <si>
    <t>NONCASH ACTIVITY</t>
  </si>
  <si>
    <t>Houston Payroll Related Costs (includes salaries, benefits, &amp; taxes)</t>
  </si>
  <si>
    <t>Mexico Payroll Fundings</t>
  </si>
  <si>
    <t>Canada Payroll Fundings</t>
  </si>
  <si>
    <t>South America Payroll Fundings</t>
  </si>
  <si>
    <t>Total Noncash Activity</t>
  </si>
  <si>
    <t>TOTAL CASH &amp; NONCASH ACTIVITIES</t>
  </si>
  <si>
    <t>Notes:</t>
  </si>
  <si>
    <t>LV Cogen - Priscilla (JEDI) also termed "Bridgeloan."</t>
  </si>
  <si>
    <t>Use Elaine variant for ref 3 column on pay entity report</t>
  </si>
  <si>
    <t>Europe - comprised of funding to co 0912 - zba 577</t>
  </si>
  <si>
    <t>Non-Cash Activity</t>
  </si>
  <si>
    <t xml:space="preserve">  Payroll</t>
  </si>
  <si>
    <t xml:space="preserve">  Taxes</t>
  </si>
  <si>
    <t>co 364 is comprised of both financial &amp; physical</t>
  </si>
  <si>
    <t>012 &amp; 078 are physical</t>
  </si>
  <si>
    <t>1 outflow account</t>
  </si>
  <si>
    <t>2 inflow accts: financial &amp; physical</t>
  </si>
  <si>
    <r>
      <t xml:space="preserve">For </t>
    </r>
    <r>
      <rPr>
        <b/>
        <sz val="8.5"/>
        <rFont val="Times New Roman"/>
        <family val="1"/>
      </rPr>
      <t>future</t>
    </r>
    <r>
      <rPr>
        <sz val="10"/>
        <rFont val="Times New Roman"/>
        <family val="1"/>
      </rPr>
      <t xml:space="preserve"> references, place a new section below "TOTAL DIRECT CASH FLOWS" line:</t>
    </r>
  </si>
  <si>
    <t>OTC - Total</t>
  </si>
  <si>
    <t xml:space="preserve">NYMEX  - Gas and Other Commodities </t>
  </si>
  <si>
    <t xml:space="preserve">Net NYMEX - Power </t>
  </si>
  <si>
    <t>Purchase of T-Bills for OTC Collateral</t>
  </si>
  <si>
    <t>Starr VPP Restricted Cash</t>
  </si>
  <si>
    <t>Total</t>
  </si>
  <si>
    <t xml:space="preserve">From: </t>
  </si>
  <si>
    <t xml:space="preserve">Garcia, Paul  </t>
  </si>
  <si>
    <t>Sent:</t>
  </si>
  <si>
    <t>Tuesday, June 12, 2001 5:42 PM</t>
  </si>
  <si>
    <t>To:</t>
  </si>
  <si>
    <t>Beltri, Angeles; Rodriguez, Nadia A.</t>
  </si>
  <si>
    <t>Subject:</t>
  </si>
  <si>
    <t>RE: Change of Account - USD Prepay</t>
  </si>
  <si>
    <t>These bank accounts are acceptable. Thank you.</t>
  </si>
  <si>
    <t xml:space="preserve"> -----Original Message-----</t>
  </si>
  <si>
    <t xml:space="preserve">Beltri, Angeles  </t>
  </si>
  <si>
    <t>Tuesday, June 12, 2001 4:20 PM</t>
  </si>
  <si>
    <t>Rodriguez, Nadia A.</t>
  </si>
  <si>
    <t>Cc:</t>
  </si>
  <si>
    <t>Garcia, Paul</t>
  </si>
  <si>
    <t>Nadia - I have not heard from Paul.</t>
  </si>
  <si>
    <t>Paul - Please let me know if the account below will work.</t>
  </si>
  <si>
    <t>thanks, Angeles</t>
  </si>
  <si>
    <t xml:space="preserve">Rodriguez, Nadia A.  </t>
  </si>
  <si>
    <t>Monday, June 11, 2001 8:07 AM</t>
  </si>
  <si>
    <t>Beltri, Angeles</t>
  </si>
  <si>
    <t>FW: Change of Account - USD Prepay</t>
  </si>
  <si>
    <t>Did Paul approve the bank account that the prepays will now be going through?  I hadn’t heard anything further.</t>
  </si>
  <si>
    <t>Nadia A. Rodriguez</t>
  </si>
  <si>
    <t>Enron Americas</t>
  </si>
  <si>
    <t>Business Analysis &amp; Reporting</t>
  </si>
  <si>
    <t>Ph: (713) 345-3946</t>
  </si>
  <si>
    <t>Fax: (713) 646-8564</t>
  </si>
  <si>
    <t xml:space="preserve">Schield, Elaine  </t>
  </si>
  <si>
    <t>Wednesday, June 06, 2001 3:30 PM</t>
  </si>
  <si>
    <t>Bloom, Patricia; Rodriguez, Nadia A.</t>
  </si>
  <si>
    <t>FYI</t>
  </si>
  <si>
    <t>Wednesday, June 06, 2001 3:17 PM</t>
  </si>
  <si>
    <t>Garcia, Paul; Sammon, Robert; Schield, Elaine; Smith, Jeff E.</t>
  </si>
  <si>
    <t>Cook, Mary; Herrera, Olga; Medwedeff, Mark; Lawson, Brad</t>
  </si>
  <si>
    <t>We spoke with Mary Cook, legal, about the USD bank account to be used for inflows and outflows for the USD Prepay.  She agreed that changing the wiring instructions from Co. 530 Acct 4078-1075 to Co. 1021's USD bank account would not present a problem.  She has provided the contact information below for Delta and Citibank.  We will be sending a letter to to the counterparties notifying them of the change in wiring instructions.  Please let me know if you have any questions.</t>
  </si>
  <si>
    <t>Paul - we plan to use Co. 1021's Citibank Acct # 30420778.  Please let me know if this is acceptable.</t>
  </si>
  <si>
    <t>Thank you, Angeles</t>
  </si>
  <si>
    <t xml:space="preserve">Herrera, Olga  </t>
  </si>
  <si>
    <t>Wednesday, June 06, 2001 2:29 PM</t>
  </si>
  <si>
    <t>FW: Change of Account</t>
  </si>
  <si>
    <t xml:space="preserve">Cook, Mary  </t>
  </si>
  <si>
    <t>Wednesday, June 06, 2001 2:26 PM</t>
  </si>
  <si>
    <t>Herrera, Olga</t>
  </si>
  <si>
    <t>Change of Account</t>
  </si>
  <si>
    <t>For Delta:</t>
  </si>
  <si>
    <t>Delta Energy Corporation</t>
  </si>
  <si>
    <t>c/o Givens Hall Bank &amp; Trust LTd.</t>
  </si>
  <si>
    <t>PO Box 1040</t>
  </si>
  <si>
    <t>Harbour Centre, 2nd Floor</t>
  </si>
  <si>
    <t>N. Church Street</t>
  </si>
  <si>
    <t>George Town, Grand Cayman</t>
  </si>
  <si>
    <t>Cayman Islands, British West Indies</t>
  </si>
  <si>
    <t>Attn:  Sharon Lamb</t>
  </si>
  <si>
    <t>Fax   345 949 5409</t>
  </si>
  <si>
    <t>Phone  345 949 8141</t>
  </si>
  <si>
    <t>and</t>
  </si>
  <si>
    <t>PO Box 309</t>
  </si>
  <si>
    <t>Grand Cayman, Cayman Islands</t>
  </si>
  <si>
    <t>British West Indies</t>
  </si>
  <si>
    <t>John Benbow</t>
  </si>
  <si>
    <t>Fax  345 949 8295</t>
  </si>
  <si>
    <t>For Citibank:</t>
  </si>
  <si>
    <t>Citibank, N.A.</t>
  </si>
  <si>
    <t>333 West 34th Street, 2nd Floor</t>
  </si>
  <si>
    <t>NY, NY   10001</t>
  </si>
  <si>
    <t>Attention:  Confirmation Unit</t>
  </si>
  <si>
    <t>Fax  212 615  8985</t>
  </si>
  <si>
    <t>Phone  212 615 8982</t>
  </si>
  <si>
    <t>Cordially,</t>
  </si>
  <si>
    <t>Mary Cook</t>
  </si>
  <si>
    <t>Enron North America Corp.</t>
  </si>
  <si>
    <t>1400 Smith, 38th Floor, Legal</t>
  </si>
  <si>
    <t>Houston, Texas   77002-7361</t>
  </si>
  <si>
    <t>(713) 345-7732 (phone)</t>
  </si>
  <si>
    <t>(713) 646-3490 (fax)</t>
  </si>
  <si>
    <t>mary.cook@enron.com &lt;mailto:mary.cook@enron.com&gt; &lt;&lt;mailto:mary.cook@enron.com&gt;&gt;</t>
  </si>
  <si>
    <t>**from Jun, forward, the prepay will run through Global Markets, and not Enron Americas (as seen in the May spreadhseet).</t>
  </si>
  <si>
    <t>June 2001</t>
  </si>
  <si>
    <t xml:space="preserve"> -robert cothran</t>
  </si>
  <si>
    <t>Austin Project - Nepco</t>
  </si>
  <si>
    <t>Serveron - Principal Investments</t>
  </si>
  <si>
    <t>1N2 - Canfibre of Lackawanna</t>
  </si>
  <si>
    <t>xxxx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</si>
</sst>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5" formatCode="_(* #,##0.0_);_(* \(#,##0.0\);_(* &quot;-&quot;??_);_(@_)"/>
    <numFmt numFmtId="166" formatCode="_(* #,##0_);_(* \(#,##0\);_(* &quot;-&quot;??_);_(@_)"/>
    <numFmt numFmtId="167" formatCode="_(&quot;$&quot;* #,##0.0_);_(&quot;$&quot;* \(#,##0.0\);_(&quot;$&quot;* &quot;-&quot;??_);_(@_)"/>
    <numFmt numFmtId="169" formatCode="#,##0.0_);\(#,##0.0\)"/>
    <numFmt numFmtId="170" formatCode="_(* #,##0.0_);_(* \(#,##0.0\);_(* &quot;-&quot;?_);_(@_)"/>
    <numFmt numFmtId="173" formatCode="mmmm\ yyyy"/>
    <numFmt numFmtId="178" formatCode="m/d/yy"/>
    <numFmt numFmtId="181" formatCode="_(&quot;$&quot;* #,##0.0_);_(&quot;$&quot;* \(#,##0.0\);_(&quot;$&quot;* &quot;-&quot;?_);_(@_)"/>
  </numFmts>
  <fonts count="11" x14ac:knownFonts="1">
    <font>
      <sz val="10"/>
      <name val="Arial"/>
    </font>
    <font>
      <sz val="10"/>
      <name val="Arial"/>
    </font>
    <font>
      <b/>
      <sz val="10"/>
      <name val="Times New Roman"/>
      <family val="1"/>
    </font>
    <font>
      <sz val="10"/>
      <name val="Times New Roman"/>
      <family val="1"/>
    </font>
    <font>
      <b/>
      <u/>
      <sz val="10"/>
      <name val="Times New Roman"/>
      <family val="1"/>
    </font>
    <font>
      <sz val="9"/>
      <name val="Times New Roman"/>
      <family val="1"/>
    </font>
    <font>
      <u/>
      <sz val="10"/>
      <name val="Times New Roman"/>
      <family val="1"/>
    </font>
    <font>
      <b/>
      <sz val="8.5"/>
      <name val="Times New Roman"/>
      <family val="1"/>
    </font>
    <font>
      <b/>
      <sz val="10"/>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15"/>
        <bgColor indexed="64"/>
      </patternFill>
    </fill>
  </fills>
  <borders count="8">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37" fontId="2" fillId="0" borderId="0" xfId="0" applyNumberFormat="1" applyFont="1" applyAlignment="1"/>
    <xf numFmtId="0" fontId="3" fillId="0" borderId="0" xfId="0" applyFont="1"/>
    <xf numFmtId="165" fontId="3" fillId="0" borderId="0" xfId="1" applyNumberFormat="1" applyFont="1" applyBorder="1"/>
    <xf numFmtId="165" fontId="3" fillId="0" borderId="0" xfId="1" applyNumberFormat="1" applyFont="1"/>
    <xf numFmtId="0" fontId="3" fillId="0" borderId="0" xfId="0" applyFont="1" applyBorder="1"/>
    <xf numFmtId="173" fontId="2" fillId="0" borderId="0" xfId="0" applyNumberFormat="1" applyFont="1" applyBorder="1" applyAlignment="1">
      <alignment horizontal="left"/>
    </xf>
    <xf numFmtId="173" fontId="3" fillId="0" borderId="0" xfId="0" applyNumberFormat="1" applyFont="1" applyBorder="1" applyAlignment="1">
      <alignment horizontal="center"/>
    </xf>
    <xf numFmtId="0" fontId="4" fillId="0" borderId="0" xfId="0" applyFont="1"/>
    <xf numFmtId="165" fontId="2" fillId="0" borderId="0" xfId="1" applyNumberFormat="1" applyFont="1" applyBorder="1"/>
    <xf numFmtId="0" fontId="2" fillId="0" borderId="0" xfId="0" applyFont="1" applyBorder="1" applyAlignment="1">
      <alignment horizontal="center"/>
    </xf>
    <xf numFmtId="165" fontId="2" fillId="0" borderId="1" xfId="1" applyNumberFormat="1" applyFont="1" applyBorder="1" applyAlignment="1">
      <alignment horizontal="center"/>
    </xf>
    <xf numFmtId="178" fontId="4" fillId="0" borderId="0" xfId="0" applyNumberFormat="1" applyFont="1"/>
    <xf numFmtId="178" fontId="3" fillId="0" borderId="0" xfId="0" applyNumberFormat="1" applyFont="1"/>
    <xf numFmtId="178" fontId="3" fillId="0" borderId="2" xfId="0" applyNumberFormat="1" applyFont="1" applyBorder="1" applyAlignment="1">
      <alignment horizontal="center"/>
    </xf>
    <xf numFmtId="178" fontId="3" fillId="0" borderId="0" xfId="0" applyNumberFormat="1" applyFont="1" applyBorder="1" applyAlignment="1">
      <alignment horizontal="center"/>
    </xf>
    <xf numFmtId="178" fontId="3" fillId="0" borderId="3" xfId="1" applyNumberFormat="1" applyFont="1" applyBorder="1" applyAlignment="1">
      <alignment horizontal="center"/>
    </xf>
    <xf numFmtId="178" fontId="3" fillId="0" borderId="0" xfId="0" applyNumberFormat="1" applyFont="1" applyBorder="1"/>
    <xf numFmtId="0" fontId="2" fillId="0" borderId="0" xfId="0" applyFont="1"/>
    <xf numFmtId="165" fontId="3" fillId="0" borderId="0" xfId="1" applyNumberFormat="1" applyFont="1" applyFill="1"/>
    <xf numFmtId="169" fontId="3" fillId="0" borderId="0" xfId="1" applyNumberFormat="1" applyFont="1" applyFill="1"/>
    <xf numFmtId="169" fontId="3" fillId="0" borderId="4" xfId="1" applyNumberFormat="1" applyFont="1" applyFill="1" applyBorder="1"/>
    <xf numFmtId="165" fontId="3" fillId="0" borderId="4" xfId="1" applyNumberFormat="1" applyFont="1" applyFill="1" applyBorder="1"/>
    <xf numFmtId="169" fontId="3" fillId="0" borderId="0" xfId="1" applyNumberFormat="1" applyFont="1"/>
    <xf numFmtId="169" fontId="3" fillId="0" borderId="4" xfId="1" applyNumberFormat="1" applyFont="1" applyBorder="1"/>
    <xf numFmtId="181" fontId="2" fillId="0" borderId="0" xfId="0" applyNumberFormat="1" applyFont="1"/>
    <xf numFmtId="181" fontId="3" fillId="0" borderId="0" xfId="0" applyNumberFormat="1" applyFont="1"/>
    <xf numFmtId="181" fontId="3" fillId="0" borderId="0" xfId="1" applyNumberFormat="1" applyFont="1"/>
    <xf numFmtId="181" fontId="3" fillId="0" borderId="0" xfId="1" applyNumberFormat="1" applyFont="1" applyBorder="1"/>
    <xf numFmtId="181" fontId="3" fillId="0" borderId="4" xfId="1" applyNumberFormat="1" applyFont="1" applyBorder="1"/>
    <xf numFmtId="181" fontId="3" fillId="0" borderId="0" xfId="0" applyNumberFormat="1" applyFont="1" applyBorder="1"/>
    <xf numFmtId="181" fontId="3" fillId="0" borderId="4" xfId="2" applyNumberFormat="1" applyFont="1" applyFill="1" applyBorder="1"/>
    <xf numFmtId="170" fontId="3" fillId="0" borderId="2" xfId="1" applyNumberFormat="1" applyFont="1" applyBorder="1"/>
    <xf numFmtId="170" fontId="3" fillId="0" borderId="0" xfId="1" applyNumberFormat="1" applyFont="1" applyBorder="1"/>
    <xf numFmtId="181" fontId="3" fillId="0" borderId="3" xfId="1" applyNumberFormat="1" applyFont="1" applyBorder="1"/>
    <xf numFmtId="181" fontId="3" fillId="0" borderId="3" xfId="2" applyNumberFormat="1" applyFont="1" applyFill="1" applyBorder="1"/>
    <xf numFmtId="167" fontId="2" fillId="0" borderId="0" xfId="2" applyNumberFormat="1" applyFont="1"/>
    <xf numFmtId="167" fontId="3" fillId="0" borderId="0" xfId="2" applyNumberFormat="1" applyFont="1"/>
    <xf numFmtId="167" fontId="3" fillId="0" borderId="0" xfId="2" applyNumberFormat="1" applyFont="1" applyBorder="1"/>
    <xf numFmtId="167" fontId="3" fillId="0" borderId="4" xfId="2" applyNumberFormat="1" applyFont="1" applyBorder="1"/>
    <xf numFmtId="170" fontId="3" fillId="0" borderId="0" xfId="1" applyNumberFormat="1" applyFont="1"/>
    <xf numFmtId="170" fontId="3" fillId="0" borderId="4" xfId="1" applyNumberFormat="1" applyFont="1" applyBorder="1"/>
    <xf numFmtId="170" fontId="3" fillId="0" borderId="3" xfId="1" applyNumberFormat="1" applyFont="1" applyBorder="1"/>
    <xf numFmtId="167" fontId="3" fillId="0" borderId="3" xfId="2" applyNumberFormat="1" applyFont="1" applyFill="1" applyBorder="1"/>
    <xf numFmtId="165" fontId="3" fillId="0" borderId="4" xfId="1" applyNumberFormat="1" applyFont="1" applyBorder="1"/>
    <xf numFmtId="181" fontId="3" fillId="0" borderId="0" xfId="2" applyNumberFormat="1" applyFont="1"/>
    <xf numFmtId="167" fontId="3" fillId="0" borderId="4" xfId="2" applyNumberFormat="1" applyFont="1" applyFill="1" applyBorder="1"/>
    <xf numFmtId="170" fontId="3" fillId="0" borderId="0" xfId="1" applyNumberFormat="1" applyFont="1" applyFill="1"/>
    <xf numFmtId="170" fontId="3" fillId="0" borderId="0" xfId="1" applyNumberFormat="1" applyFont="1" applyFill="1" applyBorder="1"/>
    <xf numFmtId="170" fontId="3" fillId="0" borderId="4" xfId="1" applyNumberFormat="1" applyFont="1" applyFill="1" applyBorder="1"/>
    <xf numFmtId="170" fontId="3" fillId="0" borderId="2" xfId="1" applyNumberFormat="1" applyFont="1" applyFill="1" applyBorder="1"/>
    <xf numFmtId="0" fontId="3" fillId="0" borderId="0" xfId="0" applyFont="1" applyFill="1"/>
    <xf numFmtId="0" fontId="2" fillId="0" borderId="0" xfId="0" quotePrefix="1" applyFont="1" applyAlignment="1">
      <alignment horizontal="left"/>
    </xf>
    <xf numFmtId="0" fontId="3" fillId="0" borderId="0" xfId="0" quotePrefix="1" applyFont="1" applyAlignment="1">
      <alignment horizontal="left"/>
    </xf>
    <xf numFmtId="0" fontId="2" fillId="0" borderId="0" xfId="0" applyFont="1" applyAlignment="1">
      <alignment horizontal="left"/>
    </xf>
    <xf numFmtId="181" fontId="3" fillId="0" borderId="5" xfId="1" applyNumberFormat="1" applyFont="1" applyFill="1" applyBorder="1"/>
    <xf numFmtId="181" fontId="3" fillId="0" borderId="0" xfId="1" applyNumberFormat="1" applyFont="1" applyFill="1" applyBorder="1"/>
    <xf numFmtId="181" fontId="3" fillId="0" borderId="3" xfId="1" applyNumberFormat="1" applyFont="1" applyFill="1" applyBorder="1"/>
    <xf numFmtId="0" fontId="3" fillId="0" borderId="0" xfId="0" applyFont="1" applyAlignment="1">
      <alignment horizontal="right"/>
    </xf>
    <xf numFmtId="169" fontId="3" fillId="0" borderId="0" xfId="1" applyNumberFormat="1" applyFont="1" applyBorder="1"/>
    <xf numFmtId="169" fontId="3" fillId="2" borderId="0" xfId="1" applyNumberFormat="1" applyFont="1" applyFill="1"/>
    <xf numFmtId="169" fontId="3" fillId="2" borderId="0" xfId="1" applyNumberFormat="1" applyFont="1" applyFill="1" applyBorder="1"/>
    <xf numFmtId="43" fontId="3" fillId="0" borderId="0" xfId="1" applyFont="1" applyBorder="1"/>
    <xf numFmtId="181" fontId="3" fillId="2" borderId="0" xfId="1" applyNumberFormat="1" applyFont="1" applyFill="1" applyBorder="1"/>
    <xf numFmtId="0" fontId="3" fillId="3" borderId="0" xfId="0" applyFont="1" applyFill="1" applyBorder="1"/>
    <xf numFmtId="181" fontId="3" fillId="0" borderId="0" xfId="2" applyNumberFormat="1" applyFont="1" applyFill="1" applyBorder="1"/>
    <xf numFmtId="181" fontId="3" fillId="0" borderId="2" xfId="2" applyNumberFormat="1" applyFont="1" applyFill="1" applyBorder="1"/>
    <xf numFmtId="165" fontId="4" fillId="0" borderId="0" xfId="1" applyNumberFormat="1" applyFont="1"/>
    <xf numFmtId="181" fontId="4" fillId="0" borderId="0" xfId="0" applyNumberFormat="1" applyFont="1"/>
    <xf numFmtId="181" fontId="3" fillId="0" borderId="5" xfId="1" applyNumberFormat="1" applyFont="1" applyBorder="1"/>
    <xf numFmtId="0" fontId="5" fillId="0" borderId="0" xfId="0" applyFont="1"/>
    <xf numFmtId="165" fontId="4" fillId="0" borderId="0" xfId="1" applyNumberFormat="1" applyFont="1" applyFill="1"/>
    <xf numFmtId="165" fontId="2" fillId="0" borderId="0" xfId="1" applyNumberFormat="1" applyFont="1" applyFill="1"/>
    <xf numFmtId="165" fontId="2" fillId="0" borderId="0" xfId="1" applyNumberFormat="1" applyFont="1" applyFill="1" applyBorder="1"/>
    <xf numFmtId="0" fontId="6" fillId="0" borderId="0" xfId="0" applyFont="1"/>
    <xf numFmtId="170" fontId="3" fillId="2" borderId="0" xfId="1" applyNumberFormat="1" applyFont="1" applyFill="1"/>
    <xf numFmtId="170" fontId="3" fillId="0" borderId="0" xfId="0" applyNumberFormat="1" applyFont="1"/>
    <xf numFmtId="170" fontId="2" fillId="0" borderId="0" xfId="1" applyNumberFormat="1" applyFont="1" applyFill="1"/>
    <xf numFmtId="170" fontId="3" fillId="0" borderId="0" xfId="0" applyNumberFormat="1" applyFont="1" applyFill="1" applyBorder="1"/>
    <xf numFmtId="165" fontId="3" fillId="3" borderId="6" xfId="1" applyNumberFormat="1" applyFont="1" applyFill="1" applyBorder="1"/>
    <xf numFmtId="0" fontId="8" fillId="0" borderId="0" xfId="0" applyFont="1"/>
    <xf numFmtId="166" fontId="0" fillId="0" borderId="0" xfId="1" applyNumberFormat="1" applyFont="1"/>
    <xf numFmtId="173" fontId="2" fillId="0" borderId="0" xfId="0" quotePrefix="1" applyNumberFormat="1" applyFont="1" applyBorder="1" applyAlignment="1">
      <alignment horizontal="left"/>
    </xf>
    <xf numFmtId="0" fontId="8" fillId="0" borderId="0" xfId="0" quotePrefix="1" applyFont="1"/>
    <xf numFmtId="181" fontId="3" fillId="0" borderId="7" xfId="2" applyNumberFormat="1" applyFont="1" applyFill="1" applyBorder="1"/>
    <xf numFmtId="2" fontId="3" fillId="0" borderId="0" xfId="0" applyNumberFormat="1" applyFont="1"/>
    <xf numFmtId="0" fontId="2" fillId="0" borderId="0" xfId="0" applyFont="1" applyFill="1"/>
    <xf numFmtId="0" fontId="3" fillId="0" borderId="0" xfId="0" applyFont="1" applyFill="1" applyAlignment="1">
      <alignment horizontal="left"/>
    </xf>
    <xf numFmtId="170" fontId="3" fillId="0" borderId="3" xfId="1" applyNumberFormat="1" applyFont="1" applyFill="1" applyBorder="1"/>
    <xf numFmtId="0" fontId="3" fillId="0" borderId="0" xfId="0"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F480"/>
  <sheetViews>
    <sheetView tabSelected="1" zoomScale="75" workbookViewId="0">
      <pane xSplit="6" ySplit="7" topLeftCell="Q38" activePane="bottomRight" state="frozen"/>
      <selection pane="topRight" activeCell="G1" sqref="G1"/>
      <selection pane="bottomLeft" activeCell="A8" sqref="A8"/>
      <selection pane="bottomRight" activeCell="AD141" sqref="AD141"/>
    </sheetView>
  </sheetViews>
  <sheetFormatPr defaultRowHeight="12.75" x14ac:dyDescent="0.2"/>
  <cols>
    <col min="1" max="1" width="10.28515625" style="8" customWidth="1"/>
    <col min="2" max="2" width="2.85546875" style="8" customWidth="1"/>
    <col min="3" max="3" width="3.7109375" style="2" customWidth="1"/>
    <col min="4" max="4" width="4" style="2" customWidth="1"/>
    <col min="5" max="5" width="41.5703125" style="2" customWidth="1"/>
    <col min="6" max="6" width="2" style="2" customWidth="1"/>
    <col min="7" max="11" width="11.7109375" style="3" customWidth="1"/>
    <col min="12" max="15" width="11.7109375" style="2" customWidth="1"/>
    <col min="16" max="18" width="11.7109375" style="4" customWidth="1"/>
    <col min="19" max="19" width="11.7109375" style="2" customWidth="1"/>
    <col min="20" max="20" width="13.140625" style="2" bestFit="1" customWidth="1"/>
    <col min="21" max="23" width="11.7109375" style="2" customWidth="1"/>
    <col min="24" max="27" width="11.7109375" style="2" hidden="1" customWidth="1"/>
    <col min="28" max="28" width="4.85546875" style="5" customWidth="1"/>
    <col min="29" max="29" width="10.42578125" style="2" bestFit="1" customWidth="1"/>
    <col min="30" max="30" width="6.85546875" style="2" customWidth="1"/>
    <col min="31" max="31" width="2.85546875" style="2" hidden="1" customWidth="1"/>
    <col min="32" max="16384" width="9.140625" style="2"/>
  </cols>
  <sheetData>
    <row r="1" spans="1:31" x14ac:dyDescent="0.2">
      <c r="A1" s="1" t="s">
        <v>0</v>
      </c>
      <c r="B1" s="1"/>
    </row>
    <row r="2" spans="1:31" x14ac:dyDescent="0.2">
      <c r="A2" s="82" t="s">
        <v>172</v>
      </c>
      <c r="B2" s="6"/>
      <c r="C2" s="7"/>
      <c r="AD2" s="5"/>
    </row>
    <row r="3" spans="1:31" x14ac:dyDescent="0.2">
      <c r="A3" s="1" t="s">
        <v>1</v>
      </c>
      <c r="B3" s="1"/>
      <c r="AC3" s="5"/>
      <c r="AD3" s="5"/>
      <c r="AE3" s="5"/>
    </row>
    <row r="4" spans="1:31" x14ac:dyDescent="0.2">
      <c r="A4" s="1"/>
      <c r="B4" s="1"/>
      <c r="AC4" s="5"/>
      <c r="AD4" s="5"/>
      <c r="AE4" s="5"/>
    </row>
    <row r="5" spans="1:31" x14ac:dyDescent="0.2">
      <c r="A5" s="1"/>
      <c r="B5" s="1"/>
      <c r="AC5" s="5"/>
      <c r="AD5" s="5"/>
      <c r="AE5" s="5"/>
    </row>
    <row r="6" spans="1:31" x14ac:dyDescent="0.2">
      <c r="H6" s="9"/>
      <c r="W6" s="9" t="s">
        <v>2</v>
      </c>
      <c r="AB6" s="10"/>
      <c r="AC6" s="11" t="s">
        <v>3</v>
      </c>
      <c r="AD6" s="5"/>
      <c r="AE6" s="11" t="s">
        <v>4</v>
      </c>
    </row>
    <row r="7" spans="1:31" s="13" customFormat="1" x14ac:dyDescent="0.2">
      <c r="A7" s="12"/>
      <c r="B7" s="12"/>
      <c r="G7" s="14">
        <v>37043</v>
      </c>
      <c r="H7" s="14">
        <v>37046</v>
      </c>
      <c r="I7" s="14">
        <v>37047</v>
      </c>
      <c r="J7" s="14">
        <v>37048</v>
      </c>
      <c r="K7" s="14">
        <v>37049</v>
      </c>
      <c r="L7" s="14">
        <v>37050</v>
      </c>
      <c r="M7" s="14">
        <v>37053</v>
      </c>
      <c r="N7" s="14">
        <v>37054</v>
      </c>
      <c r="O7" s="14">
        <v>37055</v>
      </c>
      <c r="P7" s="14">
        <v>37056</v>
      </c>
      <c r="Q7" s="14">
        <v>37057</v>
      </c>
      <c r="R7" s="14">
        <v>37060</v>
      </c>
      <c r="S7" s="14">
        <v>37061</v>
      </c>
      <c r="T7" s="14">
        <v>37062</v>
      </c>
      <c r="U7" s="14">
        <v>37063</v>
      </c>
      <c r="V7" s="14">
        <v>37064</v>
      </c>
      <c r="W7" s="14">
        <v>37067</v>
      </c>
      <c r="X7" s="14">
        <v>37068</v>
      </c>
      <c r="Y7" s="14">
        <v>37069</v>
      </c>
      <c r="Z7" s="14">
        <v>37070</v>
      </c>
      <c r="AA7" s="14">
        <v>37071</v>
      </c>
      <c r="AB7" s="15"/>
      <c r="AC7" s="16" t="s">
        <v>5</v>
      </c>
      <c r="AD7" s="17"/>
      <c r="AE7" s="16" t="s">
        <v>5</v>
      </c>
    </row>
    <row r="8" spans="1:31" x14ac:dyDescent="0.2">
      <c r="A8" s="18"/>
      <c r="B8" s="18"/>
      <c r="G8" s="19"/>
      <c r="H8" s="19"/>
      <c r="I8" s="19"/>
      <c r="J8" s="19"/>
      <c r="K8" s="19"/>
      <c r="L8" s="19"/>
      <c r="M8" s="19"/>
      <c r="N8" s="19"/>
      <c r="O8" s="19"/>
      <c r="P8" s="19"/>
      <c r="Q8" s="19"/>
      <c r="R8" s="19"/>
      <c r="S8" s="20"/>
      <c r="T8" s="20"/>
      <c r="U8" s="20"/>
      <c r="V8" s="20"/>
      <c r="W8" s="20"/>
      <c r="X8" s="20"/>
      <c r="Y8" s="20"/>
      <c r="Z8" s="20"/>
      <c r="AA8" s="20"/>
      <c r="AC8" s="21"/>
      <c r="AD8" s="5"/>
      <c r="AE8" s="21"/>
    </row>
    <row r="9" spans="1:31" x14ac:dyDescent="0.2">
      <c r="A9" s="18" t="s">
        <v>6</v>
      </c>
      <c r="B9" s="18"/>
      <c r="G9" s="19"/>
      <c r="H9" s="19"/>
      <c r="I9" s="19"/>
      <c r="J9" s="19"/>
      <c r="K9" s="19"/>
      <c r="L9" s="19"/>
      <c r="M9" s="19"/>
      <c r="N9" s="19"/>
      <c r="O9" s="19"/>
      <c r="P9" s="19"/>
      <c r="Q9" s="19"/>
      <c r="R9" s="19"/>
      <c r="S9" s="19"/>
      <c r="T9" s="19"/>
      <c r="U9" s="19"/>
      <c r="V9" s="19"/>
      <c r="W9" s="19"/>
      <c r="X9" s="19"/>
      <c r="Y9" s="19"/>
      <c r="Z9" s="19"/>
      <c r="AA9" s="19"/>
      <c r="AC9" s="22"/>
      <c r="AD9" s="5"/>
      <c r="AE9" s="21"/>
    </row>
    <row r="10" spans="1:31" x14ac:dyDescent="0.2">
      <c r="A10" s="2"/>
      <c r="B10" s="18" t="s">
        <v>89</v>
      </c>
      <c r="G10" s="23"/>
      <c r="H10" s="23"/>
      <c r="I10" s="23"/>
      <c r="J10" s="23"/>
      <c r="K10" s="23"/>
      <c r="L10" s="23"/>
      <c r="M10" s="23"/>
      <c r="N10" s="23"/>
      <c r="O10" s="23"/>
      <c r="P10" s="23"/>
      <c r="Q10" s="23"/>
      <c r="R10" s="23"/>
      <c r="S10" s="23"/>
      <c r="T10" s="23"/>
      <c r="U10" s="23"/>
      <c r="V10" s="23"/>
      <c r="W10" s="23"/>
      <c r="X10" s="23"/>
      <c r="Y10" s="23"/>
      <c r="Z10" s="23"/>
      <c r="AA10" s="23"/>
      <c r="AC10" s="24"/>
      <c r="AD10" s="5"/>
      <c r="AE10" s="24"/>
    </row>
    <row r="11" spans="1:31" hidden="1" x14ac:dyDescent="0.2">
      <c r="A11" s="18"/>
      <c r="B11" s="18"/>
      <c r="C11" s="2" t="s">
        <v>7</v>
      </c>
      <c r="G11" s="23"/>
      <c r="H11" s="23"/>
      <c r="I11" s="23"/>
      <c r="J11" s="23"/>
      <c r="K11" s="23"/>
      <c r="L11" s="23"/>
      <c r="M11" s="23"/>
      <c r="N11" s="23"/>
      <c r="O11" s="23"/>
      <c r="P11" s="23"/>
      <c r="Q11" s="23"/>
      <c r="R11" s="23"/>
      <c r="S11" s="23"/>
      <c r="T11" s="23"/>
      <c r="U11" s="23"/>
      <c r="V11" s="23"/>
      <c r="W11" s="23"/>
      <c r="X11" s="23"/>
      <c r="Y11" s="23"/>
      <c r="Z11" s="23"/>
      <c r="AA11" s="23"/>
      <c r="AC11" s="24"/>
      <c r="AD11" s="5"/>
      <c r="AE11" s="24"/>
    </row>
    <row r="12" spans="1:31" s="26" customFormat="1" hidden="1" x14ac:dyDescent="0.2">
      <c r="A12" s="25"/>
      <c r="B12" s="25"/>
      <c r="D12" s="2" t="s">
        <v>8</v>
      </c>
      <c r="G12" s="27">
        <v>8.3819999999999997</v>
      </c>
      <c r="H12" s="27">
        <v>1.3140000000000001</v>
      </c>
      <c r="I12" s="27">
        <v>1.627</v>
      </c>
      <c r="J12" s="27">
        <v>6.2380000000000004</v>
      </c>
      <c r="K12" s="27">
        <v>0.2</v>
      </c>
      <c r="L12" s="27">
        <v>0.49</v>
      </c>
      <c r="M12" s="27">
        <v>0.14599999999999999</v>
      </c>
      <c r="N12" s="27">
        <v>1.5580000000000001</v>
      </c>
      <c r="O12" s="27">
        <v>1.589</v>
      </c>
      <c r="P12" s="27">
        <v>1.589</v>
      </c>
      <c r="Q12" s="27">
        <v>6</v>
      </c>
      <c r="R12" s="27">
        <v>1.7410000000000001</v>
      </c>
      <c r="S12" s="27">
        <v>0</v>
      </c>
      <c r="T12" s="27">
        <v>7.5999999999999998E-2</v>
      </c>
      <c r="U12" s="27">
        <v>15.423</v>
      </c>
      <c r="V12" s="27">
        <v>0.45700000000000002</v>
      </c>
      <c r="W12" s="27">
        <v>0</v>
      </c>
      <c r="X12" s="27">
        <v>0</v>
      </c>
      <c r="Y12" s="27">
        <v>0</v>
      </c>
      <c r="Z12" s="27">
        <v>0</v>
      </c>
      <c r="AA12" s="27">
        <v>0</v>
      </c>
      <c r="AB12" s="56"/>
      <c r="AC12" s="29">
        <f>SUM(G12:AB12)</f>
        <v>46.83</v>
      </c>
      <c r="AD12" s="30"/>
      <c r="AE12" s="31">
        <v>139.90399999999997</v>
      </c>
    </row>
    <row r="13" spans="1:31" hidden="1" x14ac:dyDescent="0.2">
      <c r="A13" s="18"/>
      <c r="B13" s="18"/>
      <c r="D13" s="2" t="s">
        <v>9</v>
      </c>
      <c r="G13" s="32">
        <v>-0.64200000000000002</v>
      </c>
      <c r="H13" s="32">
        <v>-6.5609999999999999</v>
      </c>
      <c r="I13" s="32">
        <v>-3.7869999999999999</v>
      </c>
      <c r="J13" s="32">
        <v>-0.73699999999999999</v>
      </c>
      <c r="K13" s="32">
        <v>-2.1659999999999999</v>
      </c>
      <c r="L13" s="32">
        <v>-1.56</v>
      </c>
      <c r="M13" s="32">
        <v>-6.8259999999999996</v>
      </c>
      <c r="N13" s="32">
        <v>-3.5289999999999999</v>
      </c>
      <c r="O13" s="32">
        <v>-1.0049999999999999</v>
      </c>
      <c r="P13" s="32">
        <v>-2.0390000000000001</v>
      </c>
      <c r="Q13" s="32">
        <v>-0.13800000000000001</v>
      </c>
      <c r="R13" s="32">
        <v>-0.41399999999999998</v>
      </c>
      <c r="S13" s="32">
        <v>-1.103</v>
      </c>
      <c r="T13" s="32">
        <v>-16.279</v>
      </c>
      <c r="U13" s="32">
        <v>-0.124</v>
      </c>
      <c r="V13" s="32">
        <v>-2.827</v>
      </c>
      <c r="W13" s="32">
        <v>0</v>
      </c>
      <c r="X13" s="32">
        <v>0</v>
      </c>
      <c r="Y13" s="32">
        <v>0</v>
      </c>
      <c r="Z13" s="32">
        <v>0</v>
      </c>
      <c r="AA13" s="32">
        <v>0</v>
      </c>
      <c r="AB13" s="48"/>
      <c r="AC13" s="34">
        <f>SUM(G13:AB13)</f>
        <v>-49.737000000000002</v>
      </c>
      <c r="AD13" s="5"/>
      <c r="AE13" s="35">
        <v>-103.313</v>
      </c>
    </row>
    <row r="14" spans="1:31" s="37" customFormat="1" x14ac:dyDescent="0.2">
      <c r="A14" s="36"/>
      <c r="B14" s="36"/>
      <c r="C14" s="2" t="s">
        <v>10</v>
      </c>
      <c r="G14" s="37">
        <f t="shared" ref="G14:AA14" si="0">SUM(G12:G13)</f>
        <v>7.7399999999999993</v>
      </c>
      <c r="H14" s="45">
        <f t="shared" si="0"/>
        <v>-5.2469999999999999</v>
      </c>
      <c r="I14" s="45">
        <f t="shared" si="0"/>
        <v>-2.16</v>
      </c>
      <c r="J14" s="45">
        <f t="shared" si="0"/>
        <v>5.5010000000000003</v>
      </c>
      <c r="K14" s="45">
        <f t="shared" si="0"/>
        <v>-1.966</v>
      </c>
      <c r="L14" s="45">
        <f t="shared" si="0"/>
        <v>-1.07</v>
      </c>
      <c r="M14" s="45">
        <f t="shared" si="0"/>
        <v>-6.68</v>
      </c>
      <c r="N14" s="45">
        <f t="shared" si="0"/>
        <v>-1.9709999999999999</v>
      </c>
      <c r="O14" s="45">
        <f t="shared" si="0"/>
        <v>0.58400000000000007</v>
      </c>
      <c r="P14" s="45">
        <f t="shared" si="0"/>
        <v>-0.45000000000000018</v>
      </c>
      <c r="Q14" s="45">
        <f t="shared" si="0"/>
        <v>5.8620000000000001</v>
      </c>
      <c r="R14" s="45">
        <f t="shared" si="0"/>
        <v>1.3270000000000002</v>
      </c>
      <c r="S14" s="45">
        <f t="shared" si="0"/>
        <v>-1.103</v>
      </c>
      <c r="T14" s="45">
        <f t="shared" si="0"/>
        <v>-16.202999999999999</v>
      </c>
      <c r="U14" s="45">
        <f t="shared" si="0"/>
        <v>15.298999999999999</v>
      </c>
      <c r="V14" s="45">
        <f t="shared" si="0"/>
        <v>-2.37</v>
      </c>
      <c r="W14" s="45">
        <f t="shared" si="0"/>
        <v>0</v>
      </c>
      <c r="X14" s="45">
        <f t="shared" si="0"/>
        <v>0</v>
      </c>
      <c r="Y14" s="45">
        <f t="shared" si="0"/>
        <v>0</v>
      </c>
      <c r="Z14" s="45">
        <f t="shared" si="0"/>
        <v>0</v>
      </c>
      <c r="AA14" s="45">
        <f t="shared" si="0"/>
        <v>0</v>
      </c>
      <c r="AB14" s="65"/>
      <c r="AC14" s="39">
        <f>SUM(AC12:AC13)</f>
        <v>-2.9070000000000036</v>
      </c>
      <c r="AD14" s="38"/>
      <c r="AE14" s="39">
        <v>36.590999999999966</v>
      </c>
    </row>
    <row r="15" spans="1:31" hidden="1" x14ac:dyDescent="0.2">
      <c r="A15" s="18"/>
      <c r="B15" s="18"/>
      <c r="G15" s="40"/>
      <c r="H15" s="40"/>
      <c r="I15" s="40"/>
      <c r="J15" s="40"/>
      <c r="K15" s="40"/>
      <c r="L15" s="40"/>
      <c r="M15" s="40"/>
      <c r="N15" s="40"/>
      <c r="O15" s="40"/>
      <c r="P15" s="40"/>
      <c r="Q15" s="40"/>
      <c r="R15" s="40"/>
      <c r="S15" s="40"/>
      <c r="T15" s="40"/>
      <c r="U15" s="40"/>
      <c r="V15" s="40"/>
      <c r="W15" s="40"/>
      <c r="X15" s="40"/>
      <c r="Y15" s="40"/>
      <c r="Z15" s="40"/>
      <c r="AA15" s="40"/>
      <c r="AB15" s="48"/>
      <c r="AC15" s="41"/>
      <c r="AD15" s="5"/>
      <c r="AE15" s="24"/>
    </row>
    <row r="16" spans="1:31" hidden="1" x14ac:dyDescent="0.2">
      <c r="A16" s="18"/>
      <c r="B16" s="18"/>
      <c r="C16" s="2" t="s">
        <v>11</v>
      </c>
      <c r="G16" s="40"/>
      <c r="H16" s="40"/>
      <c r="I16" s="40"/>
      <c r="J16" s="40"/>
      <c r="K16" s="40"/>
      <c r="L16" s="40"/>
      <c r="M16" s="40"/>
      <c r="N16" s="40"/>
      <c r="O16" s="40"/>
      <c r="P16" s="40"/>
      <c r="Q16" s="40"/>
      <c r="R16" s="40"/>
      <c r="S16" s="40"/>
      <c r="T16" s="40"/>
      <c r="U16" s="40"/>
      <c r="V16" s="40"/>
      <c r="W16" s="40"/>
      <c r="X16" s="40"/>
      <c r="Y16" s="40"/>
      <c r="Z16" s="40"/>
      <c r="AA16" s="40"/>
      <c r="AB16" s="48"/>
      <c r="AC16" s="41"/>
      <c r="AD16" s="5"/>
      <c r="AE16" s="24"/>
    </row>
    <row r="17" spans="1:31" hidden="1" x14ac:dyDescent="0.2">
      <c r="A17" s="18"/>
      <c r="B17" s="18"/>
      <c r="D17" s="2" t="s">
        <v>12</v>
      </c>
      <c r="G17" s="40">
        <v>3.7240000000000002</v>
      </c>
      <c r="H17" s="40">
        <v>4.2439999999999998</v>
      </c>
      <c r="I17" s="40">
        <v>4.9050000000000002</v>
      </c>
      <c r="J17" s="40">
        <v>2.3319999999999999</v>
      </c>
      <c r="K17" s="40">
        <v>4.7969999999999997</v>
      </c>
      <c r="L17" s="40">
        <v>4.71</v>
      </c>
      <c r="M17" s="40">
        <v>4.6890000000000001</v>
      </c>
      <c r="N17" s="40">
        <v>8.8829999999999991</v>
      </c>
      <c r="O17" s="40">
        <v>9.9469999999999992</v>
      </c>
      <c r="P17" s="40">
        <v>12.337999999999999</v>
      </c>
      <c r="Q17" s="40">
        <v>7.9</v>
      </c>
      <c r="R17" s="40">
        <v>7.87</v>
      </c>
      <c r="S17" s="40">
        <v>9.4429999999999996</v>
      </c>
      <c r="T17" s="40">
        <v>11.013</v>
      </c>
      <c r="U17" s="40">
        <v>18.981000000000002</v>
      </c>
      <c r="V17" s="40">
        <v>1.109</v>
      </c>
      <c r="W17" s="40">
        <v>0</v>
      </c>
      <c r="X17" s="40">
        <v>0</v>
      </c>
      <c r="Y17" s="40">
        <v>0</v>
      </c>
      <c r="Z17" s="40">
        <v>0</v>
      </c>
      <c r="AA17" s="40">
        <v>0</v>
      </c>
      <c r="AB17" s="48"/>
      <c r="AC17" s="29">
        <f>SUM(G17:AB17)</f>
        <v>116.88500000000001</v>
      </c>
      <c r="AD17" s="5"/>
      <c r="AE17" s="31">
        <v>315.49600000000004</v>
      </c>
    </row>
    <row r="18" spans="1:31" hidden="1" x14ac:dyDescent="0.2">
      <c r="A18" s="18"/>
      <c r="B18" s="18"/>
      <c r="D18" s="2" t="s">
        <v>13</v>
      </c>
      <c r="G18" s="32">
        <v>-11.667999999999999</v>
      </c>
      <c r="H18" s="32">
        <v>-4.6829999999999998</v>
      </c>
      <c r="I18" s="32">
        <v>-5.8339999999999996</v>
      </c>
      <c r="J18" s="32">
        <v>-8.6630000000000003</v>
      </c>
      <c r="K18" s="32">
        <v>-5.8289999999999997</v>
      </c>
      <c r="L18" s="32">
        <v>-0.72899999999999998</v>
      </c>
      <c r="M18" s="32">
        <v>-12.148999999999999</v>
      </c>
      <c r="N18" s="32">
        <v>-20.311</v>
      </c>
      <c r="O18" s="32">
        <v>-14.454000000000001</v>
      </c>
      <c r="P18" s="32">
        <v>-6.2430000000000003</v>
      </c>
      <c r="Q18" s="32">
        <v>-2.5</v>
      </c>
      <c r="R18" s="32">
        <v>-1.073</v>
      </c>
      <c r="S18" s="32">
        <v>-5.2590000000000003</v>
      </c>
      <c r="T18" s="32">
        <v>-3.052</v>
      </c>
      <c r="U18" s="32">
        <v>-23.347000000000001</v>
      </c>
      <c r="V18" s="32">
        <v>-2.2029999999999998</v>
      </c>
      <c r="W18" s="32">
        <v>0</v>
      </c>
      <c r="X18" s="32">
        <v>0</v>
      </c>
      <c r="Y18" s="32">
        <v>0</v>
      </c>
      <c r="Z18" s="32">
        <v>0</v>
      </c>
      <c r="AA18" s="32">
        <v>0</v>
      </c>
      <c r="AB18" s="48"/>
      <c r="AC18" s="34">
        <f>SUM(G18:AB18)</f>
        <v>-127.99699999999999</v>
      </c>
      <c r="AD18" s="5"/>
      <c r="AE18" s="35">
        <v>-267.29900000000004</v>
      </c>
    </row>
    <row r="19" spans="1:31" x14ac:dyDescent="0.2">
      <c r="A19" s="18"/>
      <c r="B19" s="18"/>
      <c r="C19" s="2" t="s">
        <v>14</v>
      </c>
      <c r="G19" s="32">
        <f t="shared" ref="G19:AA19" si="1">SUM(G17:G18)</f>
        <v>-7.9439999999999991</v>
      </c>
      <c r="H19" s="32">
        <f t="shared" si="1"/>
        <v>-0.43900000000000006</v>
      </c>
      <c r="I19" s="32">
        <f t="shared" si="1"/>
        <v>-0.92899999999999938</v>
      </c>
      <c r="J19" s="32">
        <f t="shared" si="1"/>
        <v>-6.3310000000000004</v>
      </c>
      <c r="K19" s="32">
        <f t="shared" si="1"/>
        <v>-1.032</v>
      </c>
      <c r="L19" s="32">
        <f t="shared" si="1"/>
        <v>3.9809999999999999</v>
      </c>
      <c r="M19" s="32">
        <f t="shared" si="1"/>
        <v>-7.4599999999999991</v>
      </c>
      <c r="N19" s="32">
        <f t="shared" si="1"/>
        <v>-11.428000000000001</v>
      </c>
      <c r="O19" s="32">
        <f t="shared" si="1"/>
        <v>-4.5070000000000014</v>
      </c>
      <c r="P19" s="32">
        <f t="shared" si="1"/>
        <v>6.0949999999999989</v>
      </c>
      <c r="Q19" s="32">
        <f t="shared" si="1"/>
        <v>5.4</v>
      </c>
      <c r="R19" s="32">
        <f t="shared" si="1"/>
        <v>6.7970000000000006</v>
      </c>
      <c r="S19" s="32">
        <f t="shared" si="1"/>
        <v>4.1839999999999993</v>
      </c>
      <c r="T19" s="32">
        <f t="shared" si="1"/>
        <v>7.9610000000000003</v>
      </c>
      <c r="U19" s="32">
        <f t="shared" si="1"/>
        <v>-4.3659999999999997</v>
      </c>
      <c r="V19" s="32">
        <f t="shared" si="1"/>
        <v>-1.0939999999999999</v>
      </c>
      <c r="W19" s="32">
        <f t="shared" si="1"/>
        <v>0</v>
      </c>
      <c r="X19" s="32">
        <f t="shared" si="1"/>
        <v>0</v>
      </c>
      <c r="Y19" s="32">
        <f t="shared" si="1"/>
        <v>0</v>
      </c>
      <c r="Z19" s="32">
        <f t="shared" si="1"/>
        <v>0</v>
      </c>
      <c r="AA19" s="32">
        <f t="shared" si="1"/>
        <v>0</v>
      </c>
      <c r="AB19" s="48"/>
      <c r="AC19" s="42">
        <f>SUM(AC17:AC18)</f>
        <v>-11.111999999999981</v>
      </c>
      <c r="AD19" s="5"/>
      <c r="AE19" s="43">
        <v>48.197000000000003</v>
      </c>
    </row>
    <row r="20" spans="1:31" hidden="1" x14ac:dyDescent="0.2">
      <c r="A20" s="2"/>
      <c r="B20" s="2"/>
      <c r="C20" s="2" t="s">
        <v>15</v>
      </c>
      <c r="G20" s="40"/>
      <c r="H20" s="40"/>
      <c r="I20" s="40"/>
      <c r="J20" s="40"/>
      <c r="K20" s="40"/>
      <c r="L20" s="40"/>
      <c r="M20" s="40"/>
      <c r="N20" s="40"/>
      <c r="O20" s="40"/>
      <c r="P20" s="40"/>
      <c r="Q20" s="40"/>
      <c r="R20" s="40"/>
      <c r="S20" s="40"/>
      <c r="T20" s="40"/>
      <c r="U20" s="40"/>
      <c r="V20" s="40"/>
      <c r="W20" s="40"/>
      <c r="X20" s="40"/>
      <c r="Y20" s="40"/>
      <c r="Z20" s="40"/>
      <c r="AA20" s="40"/>
      <c r="AB20" s="48"/>
      <c r="AC20" s="41"/>
      <c r="AD20" s="5"/>
      <c r="AE20" s="24"/>
    </row>
    <row r="21" spans="1:31" ht="10.5" hidden="1" customHeight="1" x14ac:dyDescent="0.2">
      <c r="A21" s="18"/>
      <c r="B21" s="18"/>
      <c r="D21" s="2" t="s">
        <v>16</v>
      </c>
      <c r="G21" s="40">
        <f>G12+G17</f>
        <v>12.106</v>
      </c>
      <c r="H21" s="40">
        <f t="shared" ref="H21:AA21" si="2">H12+H17</f>
        <v>5.5579999999999998</v>
      </c>
      <c r="I21" s="40">
        <f t="shared" si="2"/>
        <v>6.532</v>
      </c>
      <c r="J21" s="40">
        <f t="shared" si="2"/>
        <v>8.57</v>
      </c>
      <c r="K21" s="40">
        <f t="shared" si="2"/>
        <v>4.9969999999999999</v>
      </c>
      <c r="L21" s="40">
        <f t="shared" si="2"/>
        <v>5.2</v>
      </c>
      <c r="M21" s="40">
        <f t="shared" si="2"/>
        <v>4.835</v>
      </c>
      <c r="N21" s="40">
        <f t="shared" si="2"/>
        <v>10.440999999999999</v>
      </c>
      <c r="O21" s="40">
        <f t="shared" si="2"/>
        <v>11.536</v>
      </c>
      <c r="P21" s="40">
        <f t="shared" si="2"/>
        <v>13.927</v>
      </c>
      <c r="Q21" s="40">
        <f t="shared" si="2"/>
        <v>13.9</v>
      </c>
      <c r="R21" s="40">
        <f t="shared" si="2"/>
        <v>9.6110000000000007</v>
      </c>
      <c r="S21" s="40">
        <f t="shared" si="2"/>
        <v>9.4429999999999996</v>
      </c>
      <c r="T21" s="40">
        <f t="shared" si="2"/>
        <v>11.089</v>
      </c>
      <c r="U21" s="40">
        <f t="shared" si="2"/>
        <v>34.404000000000003</v>
      </c>
      <c r="V21" s="40">
        <f t="shared" si="2"/>
        <v>1.5660000000000001</v>
      </c>
      <c r="W21" s="40">
        <f t="shared" si="2"/>
        <v>0</v>
      </c>
      <c r="X21" s="40">
        <f t="shared" si="2"/>
        <v>0</v>
      </c>
      <c r="Y21" s="40">
        <f t="shared" si="2"/>
        <v>0</v>
      </c>
      <c r="Z21" s="40">
        <f t="shared" si="2"/>
        <v>0</v>
      </c>
      <c r="AA21" s="40">
        <f t="shared" si="2"/>
        <v>0</v>
      </c>
      <c r="AB21" s="48"/>
      <c r="AC21" s="41">
        <f>AC12+AC17</f>
        <v>163.715</v>
      </c>
      <c r="AD21" s="5"/>
      <c r="AE21" s="31">
        <v>455.4</v>
      </c>
    </row>
    <row r="22" spans="1:31" hidden="1" x14ac:dyDescent="0.2">
      <c r="A22" s="18"/>
      <c r="B22" s="18"/>
      <c r="D22" s="2" t="s">
        <v>17</v>
      </c>
      <c r="G22" s="32">
        <f>G13+G18</f>
        <v>-12.309999999999999</v>
      </c>
      <c r="H22" s="32">
        <f t="shared" ref="H22:AA22" si="3">H13+H18</f>
        <v>-11.244</v>
      </c>
      <c r="I22" s="32">
        <f t="shared" si="3"/>
        <v>-9.6209999999999987</v>
      </c>
      <c r="J22" s="32">
        <f t="shared" si="3"/>
        <v>-9.4</v>
      </c>
      <c r="K22" s="32">
        <f t="shared" si="3"/>
        <v>-7.9949999999999992</v>
      </c>
      <c r="L22" s="32">
        <f t="shared" si="3"/>
        <v>-2.2890000000000001</v>
      </c>
      <c r="M22" s="32">
        <f t="shared" si="3"/>
        <v>-18.974999999999998</v>
      </c>
      <c r="N22" s="32">
        <f t="shared" si="3"/>
        <v>-23.84</v>
      </c>
      <c r="O22" s="32">
        <f t="shared" si="3"/>
        <v>-15.459</v>
      </c>
      <c r="P22" s="32">
        <f t="shared" si="3"/>
        <v>-8.282</v>
      </c>
      <c r="Q22" s="32">
        <f t="shared" si="3"/>
        <v>-2.6379999999999999</v>
      </c>
      <c r="R22" s="32">
        <f t="shared" si="3"/>
        <v>-1.4869999999999999</v>
      </c>
      <c r="S22" s="32">
        <f t="shared" si="3"/>
        <v>-6.3620000000000001</v>
      </c>
      <c r="T22" s="32">
        <f t="shared" si="3"/>
        <v>-19.331</v>
      </c>
      <c r="U22" s="32">
        <f t="shared" si="3"/>
        <v>-23.471</v>
      </c>
      <c r="V22" s="32">
        <f t="shared" si="3"/>
        <v>-5.0299999999999994</v>
      </c>
      <c r="W22" s="32">
        <f t="shared" si="3"/>
        <v>0</v>
      </c>
      <c r="X22" s="32">
        <f t="shared" si="3"/>
        <v>0</v>
      </c>
      <c r="Y22" s="32">
        <f t="shared" si="3"/>
        <v>0</v>
      </c>
      <c r="Z22" s="32">
        <f t="shared" si="3"/>
        <v>0</v>
      </c>
      <c r="AA22" s="32">
        <f t="shared" si="3"/>
        <v>0</v>
      </c>
      <c r="AB22" s="48"/>
      <c r="AC22" s="42">
        <f>AC13+AC18</f>
        <v>-177.73399999999998</v>
      </c>
      <c r="AD22" s="5"/>
      <c r="AE22" s="35">
        <v>-370.61200000000008</v>
      </c>
    </row>
    <row r="23" spans="1:31" x14ac:dyDescent="0.2">
      <c r="A23" s="18"/>
      <c r="B23" s="18"/>
      <c r="C23" s="18" t="s">
        <v>15</v>
      </c>
      <c r="G23" s="40">
        <f t="shared" ref="G23:AA23" si="4">SUM(G21:G22)</f>
        <v>-0.20399999999999885</v>
      </c>
      <c r="H23" s="40">
        <f t="shared" si="4"/>
        <v>-5.6859999999999999</v>
      </c>
      <c r="I23" s="40">
        <f t="shared" si="4"/>
        <v>-3.0889999999999986</v>
      </c>
      <c r="J23" s="40">
        <f t="shared" si="4"/>
        <v>-0.83000000000000007</v>
      </c>
      <c r="K23" s="40">
        <f t="shared" si="4"/>
        <v>-2.9979999999999993</v>
      </c>
      <c r="L23" s="40">
        <f t="shared" si="4"/>
        <v>2.911</v>
      </c>
      <c r="M23" s="40">
        <f t="shared" si="4"/>
        <v>-14.139999999999997</v>
      </c>
      <c r="N23" s="40">
        <f t="shared" si="4"/>
        <v>-13.399000000000001</v>
      </c>
      <c r="O23" s="40">
        <f t="shared" si="4"/>
        <v>-3.923</v>
      </c>
      <c r="P23" s="40">
        <f t="shared" si="4"/>
        <v>5.6449999999999996</v>
      </c>
      <c r="Q23" s="40">
        <f t="shared" si="4"/>
        <v>11.262</v>
      </c>
      <c r="R23" s="40">
        <f t="shared" si="4"/>
        <v>8.1240000000000006</v>
      </c>
      <c r="S23" s="40">
        <f t="shared" si="4"/>
        <v>3.0809999999999995</v>
      </c>
      <c r="T23" s="40">
        <f t="shared" si="4"/>
        <v>-8.2419999999999991</v>
      </c>
      <c r="U23" s="40">
        <f t="shared" si="4"/>
        <v>10.933000000000003</v>
      </c>
      <c r="V23" s="40">
        <f t="shared" si="4"/>
        <v>-3.4639999999999995</v>
      </c>
      <c r="W23" s="40">
        <f t="shared" si="4"/>
        <v>0</v>
      </c>
      <c r="X23" s="40">
        <f t="shared" si="4"/>
        <v>0</v>
      </c>
      <c r="Y23" s="40">
        <f t="shared" si="4"/>
        <v>0</v>
      </c>
      <c r="Z23" s="40">
        <f t="shared" si="4"/>
        <v>0</v>
      </c>
      <c r="AA23" s="40">
        <f t="shared" si="4"/>
        <v>0</v>
      </c>
      <c r="AB23" s="48"/>
      <c r="AC23" s="41">
        <f>SUM(AC21:AC22)</f>
        <v>-14.018999999999977</v>
      </c>
      <c r="AD23" s="5"/>
      <c r="AE23" s="44">
        <v>84.788000000000011</v>
      </c>
    </row>
    <row r="24" spans="1:31" x14ac:dyDescent="0.2">
      <c r="A24" s="18"/>
      <c r="B24" s="18"/>
      <c r="G24" s="40"/>
      <c r="H24" s="40"/>
      <c r="I24" s="40"/>
      <c r="J24" s="40"/>
      <c r="K24" s="40"/>
      <c r="L24" s="40"/>
      <c r="M24" s="40"/>
      <c r="N24" s="40"/>
      <c r="O24" s="40"/>
      <c r="P24" s="40"/>
      <c r="Q24" s="40"/>
      <c r="R24" s="40"/>
      <c r="S24" s="40"/>
      <c r="T24" s="40"/>
      <c r="U24" s="40"/>
      <c r="V24" s="40"/>
      <c r="W24" s="40"/>
      <c r="X24" s="40"/>
      <c r="Y24" s="40"/>
      <c r="Z24" s="40"/>
      <c r="AA24" s="40"/>
      <c r="AB24" s="48"/>
      <c r="AC24" s="41"/>
      <c r="AD24" s="5"/>
      <c r="AE24" s="44"/>
    </row>
    <row r="25" spans="1:31" x14ac:dyDescent="0.2">
      <c r="A25" s="18"/>
      <c r="B25" s="18" t="s">
        <v>18</v>
      </c>
      <c r="G25" s="40"/>
      <c r="H25" s="40"/>
      <c r="I25" s="40"/>
      <c r="J25" s="40"/>
      <c r="K25" s="40"/>
      <c r="L25" s="40"/>
      <c r="M25" s="40"/>
      <c r="N25" s="40"/>
      <c r="O25" s="40"/>
      <c r="P25" s="40"/>
      <c r="Q25" s="40"/>
      <c r="R25" s="40"/>
      <c r="S25" s="40"/>
      <c r="T25" s="40"/>
      <c r="U25" s="40"/>
      <c r="V25" s="40"/>
      <c r="W25" s="40"/>
      <c r="X25" s="40"/>
      <c r="Y25" s="40"/>
      <c r="Z25" s="40"/>
      <c r="AA25" s="40"/>
      <c r="AB25" s="48"/>
      <c r="AC25" s="41"/>
      <c r="AD25" s="5"/>
      <c r="AE25" s="44"/>
    </row>
    <row r="26" spans="1:31" hidden="1" x14ac:dyDescent="0.2">
      <c r="A26" s="18"/>
      <c r="B26" s="18"/>
      <c r="C26" s="2" t="s">
        <v>19</v>
      </c>
      <c r="G26" s="40"/>
      <c r="H26" s="40"/>
      <c r="I26" s="40"/>
      <c r="J26" s="40"/>
      <c r="K26" s="40"/>
      <c r="L26" s="40"/>
      <c r="M26" s="40"/>
      <c r="N26" s="40"/>
      <c r="O26" s="40"/>
      <c r="P26" s="40"/>
      <c r="Q26" s="40"/>
      <c r="R26" s="40"/>
      <c r="S26" s="40"/>
      <c r="T26" s="40"/>
      <c r="U26" s="40"/>
      <c r="V26" s="40"/>
      <c r="W26" s="40"/>
      <c r="X26" s="40"/>
      <c r="Y26" s="40"/>
      <c r="Z26" s="40"/>
      <c r="AA26" s="40"/>
      <c r="AB26" s="48"/>
      <c r="AC26" s="41"/>
      <c r="AD26" s="5"/>
      <c r="AE26" s="44"/>
    </row>
    <row r="27" spans="1:31" hidden="1" x14ac:dyDescent="0.2">
      <c r="A27" s="18"/>
      <c r="B27" s="25"/>
      <c r="C27" s="26"/>
      <c r="D27" s="2" t="s">
        <v>8</v>
      </c>
      <c r="E27" s="26"/>
      <c r="G27" s="27">
        <v>0</v>
      </c>
      <c r="H27" s="27">
        <v>0</v>
      </c>
      <c r="I27" s="27">
        <v>0</v>
      </c>
      <c r="J27" s="27">
        <v>0</v>
      </c>
      <c r="K27" s="27">
        <v>0</v>
      </c>
      <c r="L27" s="27">
        <v>0</v>
      </c>
      <c r="M27" s="27">
        <v>0</v>
      </c>
      <c r="N27" s="27">
        <v>0</v>
      </c>
      <c r="O27" s="27">
        <v>0</v>
      </c>
      <c r="P27" s="27">
        <v>0</v>
      </c>
      <c r="Q27" s="27">
        <v>0</v>
      </c>
      <c r="R27" s="27">
        <v>0</v>
      </c>
      <c r="S27" s="27">
        <v>0</v>
      </c>
      <c r="T27" s="27">
        <v>0</v>
      </c>
      <c r="U27" s="27">
        <v>0</v>
      </c>
      <c r="V27" s="27">
        <v>0</v>
      </c>
      <c r="W27" s="27">
        <v>0</v>
      </c>
      <c r="X27" s="27">
        <v>0</v>
      </c>
      <c r="Y27" s="27">
        <v>0</v>
      </c>
      <c r="Z27" s="27">
        <v>0</v>
      </c>
      <c r="AA27" s="27">
        <v>0</v>
      </c>
      <c r="AB27" s="56"/>
      <c r="AC27" s="41">
        <f>SUM(G27:AB27)</f>
        <v>0</v>
      </c>
      <c r="AD27" s="5"/>
      <c r="AE27" s="44"/>
    </row>
    <row r="28" spans="1:31" hidden="1" x14ac:dyDescent="0.2">
      <c r="A28" s="18"/>
      <c r="B28" s="18"/>
      <c r="D28" s="2" t="s">
        <v>9</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48"/>
      <c r="AC28" s="42">
        <f>SUM(G28:AB28)</f>
        <v>0</v>
      </c>
      <c r="AD28" s="5"/>
      <c r="AE28" s="44"/>
    </row>
    <row r="29" spans="1:31" x14ac:dyDescent="0.2">
      <c r="A29" s="18"/>
      <c r="B29" s="18"/>
      <c r="C29" s="2" t="s">
        <v>10</v>
      </c>
      <c r="G29" s="40">
        <f t="shared" ref="G29:AA29" si="5">SUM(G27:G28)</f>
        <v>0</v>
      </c>
      <c r="H29" s="40">
        <f t="shared" si="5"/>
        <v>0</v>
      </c>
      <c r="I29" s="40">
        <f t="shared" si="5"/>
        <v>0</v>
      </c>
      <c r="J29" s="40">
        <f t="shared" si="5"/>
        <v>0</v>
      </c>
      <c r="K29" s="40">
        <f t="shared" si="5"/>
        <v>0</v>
      </c>
      <c r="L29" s="40">
        <f t="shared" si="5"/>
        <v>0</v>
      </c>
      <c r="M29" s="40">
        <f t="shared" si="5"/>
        <v>0</v>
      </c>
      <c r="N29" s="40">
        <f t="shared" si="5"/>
        <v>0</v>
      </c>
      <c r="O29" s="40">
        <f t="shared" si="5"/>
        <v>0</v>
      </c>
      <c r="P29" s="40">
        <f t="shared" si="5"/>
        <v>0</v>
      </c>
      <c r="Q29" s="40">
        <f t="shared" si="5"/>
        <v>0</v>
      </c>
      <c r="R29" s="40">
        <f t="shared" si="5"/>
        <v>0</v>
      </c>
      <c r="S29" s="40">
        <f t="shared" si="5"/>
        <v>0</v>
      </c>
      <c r="T29" s="40">
        <f t="shared" si="5"/>
        <v>0</v>
      </c>
      <c r="U29" s="40">
        <f t="shared" si="5"/>
        <v>0</v>
      </c>
      <c r="V29" s="40">
        <f t="shared" si="5"/>
        <v>0</v>
      </c>
      <c r="W29" s="40">
        <f t="shared" si="5"/>
        <v>0</v>
      </c>
      <c r="X29" s="40">
        <f t="shared" si="5"/>
        <v>0</v>
      </c>
      <c r="Y29" s="40">
        <f t="shared" si="5"/>
        <v>0</v>
      </c>
      <c r="Z29" s="40">
        <f t="shared" si="5"/>
        <v>0</v>
      </c>
      <c r="AA29" s="40">
        <f t="shared" si="5"/>
        <v>0</v>
      </c>
      <c r="AB29" s="48"/>
      <c r="AC29" s="41">
        <f>SUM(AC27:AC28)</f>
        <v>0</v>
      </c>
      <c r="AD29" s="5"/>
      <c r="AE29" s="44"/>
    </row>
    <row r="30" spans="1:31" hidden="1" x14ac:dyDescent="0.2">
      <c r="A30" s="18"/>
      <c r="B30" s="18"/>
      <c r="G30" s="40"/>
      <c r="H30" s="40"/>
      <c r="I30" s="40"/>
      <c r="J30" s="40"/>
      <c r="K30" s="40"/>
      <c r="L30" s="40"/>
      <c r="M30" s="40"/>
      <c r="N30" s="40"/>
      <c r="O30" s="40"/>
      <c r="P30" s="40"/>
      <c r="Q30" s="40"/>
      <c r="R30" s="40"/>
      <c r="S30" s="40"/>
      <c r="T30" s="40"/>
      <c r="U30" s="40"/>
      <c r="V30" s="40"/>
      <c r="W30" s="40"/>
      <c r="X30" s="40"/>
      <c r="Y30" s="40"/>
      <c r="Z30" s="40"/>
      <c r="AA30" s="40"/>
      <c r="AB30" s="48"/>
      <c r="AC30" s="41"/>
      <c r="AD30" s="5"/>
      <c r="AE30" s="44"/>
    </row>
    <row r="31" spans="1:31" hidden="1" x14ac:dyDescent="0.2">
      <c r="A31" s="18"/>
      <c r="B31" s="18"/>
      <c r="C31" s="2" t="s">
        <v>20</v>
      </c>
      <c r="G31" s="40"/>
      <c r="H31" s="40"/>
      <c r="I31" s="40"/>
      <c r="J31" s="40"/>
      <c r="K31" s="40"/>
      <c r="L31" s="40"/>
      <c r="M31" s="40"/>
      <c r="N31" s="40"/>
      <c r="O31" s="40"/>
      <c r="P31" s="40"/>
      <c r="Q31" s="40"/>
      <c r="R31" s="40"/>
      <c r="S31" s="40"/>
      <c r="T31" s="40"/>
      <c r="U31" s="40"/>
      <c r="V31" s="40"/>
      <c r="W31" s="40"/>
      <c r="X31" s="40"/>
      <c r="Y31" s="40"/>
      <c r="Z31" s="40"/>
      <c r="AA31" s="40"/>
      <c r="AB31" s="48"/>
      <c r="AC31" s="41"/>
      <c r="AD31" s="5"/>
      <c r="AE31" s="44"/>
    </row>
    <row r="32" spans="1:31" hidden="1" x14ac:dyDescent="0.2">
      <c r="A32" s="18"/>
      <c r="B32" s="18"/>
      <c r="D32" s="2" t="s">
        <v>12</v>
      </c>
      <c r="G32" s="40">
        <v>0.155</v>
      </c>
      <c r="H32" s="40">
        <v>0</v>
      </c>
      <c r="I32" s="40">
        <v>0.13900000000000001</v>
      </c>
      <c r="J32" s="40">
        <v>0.20200000000000001</v>
      </c>
      <c r="K32" s="40">
        <v>0.13800000000000001</v>
      </c>
      <c r="L32" s="40">
        <v>0</v>
      </c>
      <c r="M32" s="40">
        <v>0</v>
      </c>
      <c r="N32" s="40">
        <v>0</v>
      </c>
      <c r="O32" s="40">
        <v>0</v>
      </c>
      <c r="P32" s="40">
        <v>0</v>
      </c>
      <c r="Q32" s="40">
        <v>0.217</v>
      </c>
      <c r="R32" s="40">
        <v>0</v>
      </c>
      <c r="S32" s="40">
        <v>2.8000000000000001E-2</v>
      </c>
      <c r="T32" s="40">
        <v>0.20699999999999999</v>
      </c>
      <c r="U32" s="40">
        <v>0</v>
      </c>
      <c r="V32" s="40">
        <v>3.9E-2</v>
      </c>
      <c r="W32" s="40">
        <v>0</v>
      </c>
      <c r="X32" s="40">
        <v>0</v>
      </c>
      <c r="Y32" s="40">
        <v>0</v>
      </c>
      <c r="Z32" s="40">
        <v>0</v>
      </c>
      <c r="AA32" s="40">
        <v>0</v>
      </c>
      <c r="AB32" s="48"/>
      <c r="AC32" s="41">
        <f>SUM(G32:AB32)</f>
        <v>1.125</v>
      </c>
      <c r="AD32" s="5"/>
      <c r="AE32" s="44"/>
    </row>
    <row r="33" spans="1:31" hidden="1" x14ac:dyDescent="0.2">
      <c r="A33" s="18"/>
      <c r="B33" s="18"/>
      <c r="D33" s="2" t="s">
        <v>13</v>
      </c>
      <c r="G33" s="32">
        <v>0</v>
      </c>
      <c r="H33" s="32">
        <v>-4.4999999999999998E-2</v>
      </c>
      <c r="I33" s="32">
        <v>0</v>
      </c>
      <c r="J33" s="32">
        <v>0</v>
      </c>
      <c r="K33" s="32">
        <v>0</v>
      </c>
      <c r="L33" s="32">
        <v>0</v>
      </c>
      <c r="M33" s="32">
        <v>-0.11</v>
      </c>
      <c r="N33" s="32">
        <v>0</v>
      </c>
      <c r="O33" s="32">
        <v>0</v>
      </c>
      <c r="P33" s="32">
        <v>0</v>
      </c>
      <c r="Q33" s="32">
        <v>0</v>
      </c>
      <c r="R33" s="32">
        <v>0</v>
      </c>
      <c r="S33" s="32">
        <v>0</v>
      </c>
      <c r="T33" s="32">
        <v>0</v>
      </c>
      <c r="U33" s="32">
        <v>0</v>
      </c>
      <c r="V33" s="32">
        <v>0</v>
      </c>
      <c r="W33" s="32">
        <v>0</v>
      </c>
      <c r="X33" s="32">
        <v>0</v>
      </c>
      <c r="Y33" s="32">
        <v>0</v>
      </c>
      <c r="Z33" s="32">
        <v>0</v>
      </c>
      <c r="AA33" s="32">
        <v>0</v>
      </c>
      <c r="AB33" s="48"/>
      <c r="AC33" s="42">
        <f>SUM(G33:AB33)</f>
        <v>-0.155</v>
      </c>
      <c r="AD33" s="5"/>
      <c r="AE33" s="44"/>
    </row>
    <row r="34" spans="1:31" x14ac:dyDescent="0.2">
      <c r="A34" s="18"/>
      <c r="B34" s="18"/>
      <c r="C34" s="2" t="s">
        <v>14</v>
      </c>
      <c r="G34" s="32">
        <f t="shared" ref="G34:AA34" si="6">SUM(G32:G33)</f>
        <v>0.155</v>
      </c>
      <c r="H34" s="32">
        <f t="shared" si="6"/>
        <v>-4.4999999999999998E-2</v>
      </c>
      <c r="I34" s="32">
        <f t="shared" si="6"/>
        <v>0.13900000000000001</v>
      </c>
      <c r="J34" s="32">
        <f t="shared" si="6"/>
        <v>0.20200000000000001</v>
      </c>
      <c r="K34" s="32">
        <f t="shared" si="6"/>
        <v>0.13800000000000001</v>
      </c>
      <c r="L34" s="32">
        <f t="shared" si="6"/>
        <v>0</v>
      </c>
      <c r="M34" s="32">
        <f t="shared" si="6"/>
        <v>-0.11</v>
      </c>
      <c r="N34" s="32">
        <f t="shared" si="6"/>
        <v>0</v>
      </c>
      <c r="O34" s="32">
        <f t="shared" si="6"/>
        <v>0</v>
      </c>
      <c r="P34" s="32">
        <f t="shared" si="6"/>
        <v>0</v>
      </c>
      <c r="Q34" s="32">
        <f t="shared" si="6"/>
        <v>0.217</v>
      </c>
      <c r="R34" s="32">
        <f t="shared" si="6"/>
        <v>0</v>
      </c>
      <c r="S34" s="32">
        <f t="shared" si="6"/>
        <v>2.8000000000000001E-2</v>
      </c>
      <c r="T34" s="32">
        <f t="shared" si="6"/>
        <v>0.20699999999999999</v>
      </c>
      <c r="U34" s="32">
        <f t="shared" si="6"/>
        <v>0</v>
      </c>
      <c r="V34" s="32">
        <f t="shared" si="6"/>
        <v>3.9E-2</v>
      </c>
      <c r="W34" s="32">
        <f t="shared" si="6"/>
        <v>0</v>
      </c>
      <c r="X34" s="32">
        <f t="shared" si="6"/>
        <v>0</v>
      </c>
      <c r="Y34" s="32">
        <f t="shared" si="6"/>
        <v>0</v>
      </c>
      <c r="Z34" s="32">
        <f t="shared" si="6"/>
        <v>0</v>
      </c>
      <c r="AA34" s="32">
        <f t="shared" si="6"/>
        <v>0</v>
      </c>
      <c r="AB34" s="48"/>
      <c r="AC34" s="42">
        <f>SUM(AC32:AC33)</f>
        <v>0.97</v>
      </c>
      <c r="AD34" s="5"/>
      <c r="AE34" s="44"/>
    </row>
    <row r="35" spans="1:31" hidden="1" x14ac:dyDescent="0.2">
      <c r="A35" s="18"/>
      <c r="B35" s="2"/>
      <c r="C35" s="2" t="s">
        <v>21</v>
      </c>
      <c r="G35" s="40"/>
      <c r="H35" s="40"/>
      <c r="I35" s="40"/>
      <c r="J35" s="40"/>
      <c r="K35" s="40"/>
      <c r="L35" s="40"/>
      <c r="M35" s="40"/>
      <c r="N35" s="40"/>
      <c r="O35" s="40"/>
      <c r="P35" s="40"/>
      <c r="Q35" s="40"/>
      <c r="R35" s="40"/>
      <c r="S35" s="40"/>
      <c r="T35" s="40"/>
      <c r="U35" s="40"/>
      <c r="V35" s="40"/>
      <c r="W35" s="40"/>
      <c r="X35" s="40"/>
      <c r="Y35" s="40"/>
      <c r="Z35" s="40"/>
      <c r="AA35" s="40"/>
      <c r="AB35" s="48"/>
      <c r="AC35" s="41"/>
      <c r="AD35" s="5"/>
      <c r="AE35" s="44"/>
    </row>
    <row r="36" spans="1:31" hidden="1" x14ac:dyDescent="0.2">
      <c r="A36" s="18"/>
      <c r="B36" s="18"/>
      <c r="D36" s="2" t="s">
        <v>16</v>
      </c>
      <c r="G36" s="40">
        <f>G27+G32</f>
        <v>0.155</v>
      </c>
      <c r="H36" s="40">
        <f t="shared" ref="H36:AA36" si="7">H27+H32</f>
        <v>0</v>
      </c>
      <c r="I36" s="40">
        <f t="shared" si="7"/>
        <v>0.13900000000000001</v>
      </c>
      <c r="J36" s="40">
        <f t="shared" si="7"/>
        <v>0.20200000000000001</v>
      </c>
      <c r="K36" s="40">
        <f t="shared" si="7"/>
        <v>0.13800000000000001</v>
      </c>
      <c r="L36" s="40">
        <f t="shared" si="7"/>
        <v>0</v>
      </c>
      <c r="M36" s="40">
        <f t="shared" si="7"/>
        <v>0</v>
      </c>
      <c r="N36" s="40">
        <f t="shared" si="7"/>
        <v>0</v>
      </c>
      <c r="O36" s="40">
        <f t="shared" si="7"/>
        <v>0</v>
      </c>
      <c r="P36" s="40">
        <f t="shared" si="7"/>
        <v>0</v>
      </c>
      <c r="Q36" s="40">
        <f t="shared" si="7"/>
        <v>0.217</v>
      </c>
      <c r="R36" s="40">
        <f t="shared" si="7"/>
        <v>0</v>
      </c>
      <c r="S36" s="40">
        <f t="shared" si="7"/>
        <v>2.8000000000000001E-2</v>
      </c>
      <c r="T36" s="40">
        <f t="shared" si="7"/>
        <v>0.20699999999999999</v>
      </c>
      <c r="U36" s="40">
        <f t="shared" si="7"/>
        <v>0</v>
      </c>
      <c r="V36" s="40">
        <f t="shared" si="7"/>
        <v>3.9E-2</v>
      </c>
      <c r="W36" s="40">
        <f t="shared" si="7"/>
        <v>0</v>
      </c>
      <c r="X36" s="40">
        <f t="shared" si="7"/>
        <v>0</v>
      </c>
      <c r="Y36" s="40">
        <f t="shared" si="7"/>
        <v>0</v>
      </c>
      <c r="Z36" s="40">
        <f t="shared" si="7"/>
        <v>0</v>
      </c>
      <c r="AA36" s="40">
        <f t="shared" si="7"/>
        <v>0</v>
      </c>
      <c r="AB36" s="48"/>
      <c r="AC36" s="41">
        <f>AC27+AC32</f>
        <v>1.125</v>
      </c>
      <c r="AD36" s="5"/>
      <c r="AE36" s="44"/>
    </row>
    <row r="37" spans="1:31" hidden="1" x14ac:dyDescent="0.2">
      <c r="A37" s="18"/>
      <c r="B37" s="18"/>
      <c r="D37" s="2" t="s">
        <v>17</v>
      </c>
      <c r="G37" s="32">
        <f>G28+G33</f>
        <v>0</v>
      </c>
      <c r="H37" s="32">
        <f t="shared" ref="H37:AA37" si="8">H28+H33</f>
        <v>-4.4999999999999998E-2</v>
      </c>
      <c r="I37" s="32">
        <f t="shared" si="8"/>
        <v>0</v>
      </c>
      <c r="J37" s="32">
        <f t="shared" si="8"/>
        <v>0</v>
      </c>
      <c r="K37" s="32">
        <f t="shared" si="8"/>
        <v>0</v>
      </c>
      <c r="L37" s="32">
        <f t="shared" si="8"/>
        <v>0</v>
      </c>
      <c r="M37" s="32">
        <f t="shared" si="8"/>
        <v>-0.11</v>
      </c>
      <c r="N37" s="32">
        <f t="shared" si="8"/>
        <v>0</v>
      </c>
      <c r="O37" s="32">
        <f t="shared" si="8"/>
        <v>0</v>
      </c>
      <c r="P37" s="32">
        <f t="shared" si="8"/>
        <v>0</v>
      </c>
      <c r="Q37" s="32">
        <f t="shared" si="8"/>
        <v>0</v>
      </c>
      <c r="R37" s="32">
        <f t="shared" si="8"/>
        <v>0</v>
      </c>
      <c r="S37" s="32">
        <f t="shared" si="8"/>
        <v>0</v>
      </c>
      <c r="T37" s="32">
        <f t="shared" si="8"/>
        <v>0</v>
      </c>
      <c r="U37" s="32">
        <f t="shared" si="8"/>
        <v>0</v>
      </c>
      <c r="V37" s="32">
        <f t="shared" si="8"/>
        <v>0</v>
      </c>
      <c r="W37" s="32">
        <f t="shared" si="8"/>
        <v>0</v>
      </c>
      <c r="X37" s="32">
        <f t="shared" si="8"/>
        <v>0</v>
      </c>
      <c r="Y37" s="32">
        <f t="shared" si="8"/>
        <v>0</v>
      </c>
      <c r="Z37" s="32">
        <f t="shared" si="8"/>
        <v>0</v>
      </c>
      <c r="AA37" s="32">
        <f t="shared" si="8"/>
        <v>0</v>
      </c>
      <c r="AB37" s="48"/>
      <c r="AC37" s="42">
        <f>AC28+AC33</f>
        <v>-0.155</v>
      </c>
      <c r="AD37" s="5"/>
      <c r="AE37" s="44"/>
    </row>
    <row r="38" spans="1:31" x14ac:dyDescent="0.2">
      <c r="A38" s="18"/>
      <c r="B38" s="18"/>
      <c r="C38" s="18" t="s">
        <v>90</v>
      </c>
      <c r="G38" s="40">
        <f t="shared" ref="G38:AA38" si="9">SUM(G36:G37)</f>
        <v>0.155</v>
      </c>
      <c r="H38" s="40">
        <f t="shared" si="9"/>
        <v>-4.4999999999999998E-2</v>
      </c>
      <c r="I38" s="40">
        <f t="shared" si="9"/>
        <v>0.13900000000000001</v>
      </c>
      <c r="J38" s="40">
        <f t="shared" si="9"/>
        <v>0.20200000000000001</v>
      </c>
      <c r="K38" s="40">
        <f t="shared" si="9"/>
        <v>0.13800000000000001</v>
      </c>
      <c r="L38" s="40">
        <f t="shared" si="9"/>
        <v>0</v>
      </c>
      <c r="M38" s="40">
        <f t="shared" si="9"/>
        <v>-0.11</v>
      </c>
      <c r="N38" s="40">
        <f t="shared" si="9"/>
        <v>0</v>
      </c>
      <c r="O38" s="40">
        <f t="shared" si="9"/>
        <v>0</v>
      </c>
      <c r="P38" s="40">
        <f t="shared" si="9"/>
        <v>0</v>
      </c>
      <c r="Q38" s="40">
        <f t="shared" si="9"/>
        <v>0.217</v>
      </c>
      <c r="R38" s="40">
        <f t="shared" si="9"/>
        <v>0</v>
      </c>
      <c r="S38" s="40">
        <f t="shared" si="9"/>
        <v>2.8000000000000001E-2</v>
      </c>
      <c r="T38" s="40">
        <f t="shared" si="9"/>
        <v>0.20699999999999999</v>
      </c>
      <c r="U38" s="40">
        <f t="shared" si="9"/>
        <v>0</v>
      </c>
      <c r="V38" s="40">
        <f t="shared" si="9"/>
        <v>3.9E-2</v>
      </c>
      <c r="W38" s="40">
        <f t="shared" si="9"/>
        <v>0</v>
      </c>
      <c r="X38" s="40">
        <f t="shared" si="9"/>
        <v>0</v>
      </c>
      <c r="Y38" s="40">
        <f t="shared" si="9"/>
        <v>0</v>
      </c>
      <c r="Z38" s="40">
        <f t="shared" si="9"/>
        <v>0</v>
      </c>
      <c r="AA38" s="40">
        <f t="shared" si="9"/>
        <v>0</v>
      </c>
      <c r="AB38" s="48"/>
      <c r="AC38" s="41">
        <f>SUM(AC36:AC37)</f>
        <v>0.97</v>
      </c>
      <c r="AD38" s="5"/>
      <c r="AE38" s="44"/>
    </row>
    <row r="39" spans="1:31" x14ac:dyDescent="0.2">
      <c r="A39" s="18"/>
      <c r="B39" s="18"/>
      <c r="G39" s="40"/>
      <c r="H39" s="40"/>
      <c r="I39" s="40"/>
      <c r="J39" s="40"/>
      <c r="K39" s="40"/>
      <c r="L39" s="40"/>
      <c r="M39" s="40"/>
      <c r="N39" s="40"/>
      <c r="O39" s="40"/>
      <c r="P39" s="40"/>
      <c r="Q39" s="40"/>
      <c r="R39" s="40"/>
      <c r="S39" s="40"/>
      <c r="T39" s="40"/>
      <c r="U39" s="40"/>
      <c r="V39" s="40"/>
      <c r="W39" s="40"/>
      <c r="X39" s="40"/>
      <c r="Y39" s="40"/>
      <c r="Z39" s="40"/>
      <c r="AA39" s="40"/>
      <c r="AB39" s="48"/>
      <c r="AC39" s="41"/>
      <c r="AD39" s="5"/>
      <c r="AE39" s="44"/>
    </row>
    <row r="40" spans="1:31" hidden="1" x14ac:dyDescent="0.2">
      <c r="A40" s="18"/>
      <c r="B40" s="18" t="s">
        <v>22</v>
      </c>
      <c r="G40" s="40"/>
      <c r="H40" s="40"/>
      <c r="I40" s="40"/>
      <c r="J40" s="40"/>
      <c r="K40" s="40"/>
      <c r="L40" s="40"/>
      <c r="M40" s="40"/>
      <c r="N40" s="40"/>
      <c r="O40" s="40"/>
      <c r="P40" s="40"/>
      <c r="Q40" s="40"/>
      <c r="R40" s="40"/>
      <c r="S40" s="40"/>
      <c r="T40" s="40"/>
      <c r="U40" s="40"/>
      <c r="V40" s="40"/>
      <c r="W40" s="40"/>
      <c r="X40" s="40"/>
      <c r="Y40" s="40"/>
      <c r="Z40" s="40"/>
      <c r="AA40" s="40"/>
      <c r="AB40" s="48"/>
      <c r="AC40" s="41"/>
      <c r="AD40" s="5"/>
      <c r="AE40" s="44"/>
    </row>
    <row r="41" spans="1:31" hidden="1" x14ac:dyDescent="0.2">
      <c r="A41" s="18"/>
      <c r="B41" s="18"/>
      <c r="C41" s="2" t="s">
        <v>10</v>
      </c>
      <c r="G41" s="45">
        <f>G21+G36</f>
        <v>12.260999999999999</v>
      </c>
      <c r="H41" s="45">
        <f>H21+H36</f>
        <v>5.5579999999999998</v>
      </c>
      <c r="I41" s="45">
        <f t="shared" ref="I41:AA41" si="10">I21+I36</f>
        <v>6.6710000000000003</v>
      </c>
      <c r="J41" s="45">
        <f t="shared" si="10"/>
        <v>8.7720000000000002</v>
      </c>
      <c r="K41" s="45">
        <f t="shared" si="10"/>
        <v>5.1349999999999998</v>
      </c>
      <c r="L41" s="45">
        <f t="shared" si="10"/>
        <v>5.2</v>
      </c>
      <c r="M41" s="45">
        <f t="shared" si="10"/>
        <v>4.835</v>
      </c>
      <c r="N41" s="45">
        <f t="shared" si="10"/>
        <v>10.440999999999999</v>
      </c>
      <c r="O41" s="45">
        <f t="shared" si="10"/>
        <v>11.536</v>
      </c>
      <c r="P41" s="45">
        <f t="shared" si="10"/>
        <v>13.927</v>
      </c>
      <c r="Q41" s="45">
        <f t="shared" si="10"/>
        <v>14.117000000000001</v>
      </c>
      <c r="R41" s="45">
        <f t="shared" si="10"/>
        <v>9.6110000000000007</v>
      </c>
      <c r="S41" s="45">
        <f t="shared" si="10"/>
        <v>9.4710000000000001</v>
      </c>
      <c r="T41" s="45">
        <f t="shared" si="10"/>
        <v>11.296000000000001</v>
      </c>
      <c r="U41" s="45">
        <f t="shared" si="10"/>
        <v>34.404000000000003</v>
      </c>
      <c r="V41" s="45">
        <f t="shared" si="10"/>
        <v>1.605</v>
      </c>
      <c r="W41" s="45">
        <f t="shared" si="10"/>
        <v>0</v>
      </c>
      <c r="X41" s="45">
        <f t="shared" si="10"/>
        <v>0</v>
      </c>
      <c r="Y41" s="45">
        <f t="shared" si="10"/>
        <v>0</v>
      </c>
      <c r="Z41" s="45">
        <f t="shared" si="10"/>
        <v>0</v>
      </c>
      <c r="AA41" s="45">
        <f t="shared" si="10"/>
        <v>0</v>
      </c>
      <c r="AB41" s="65"/>
      <c r="AC41" s="41">
        <f>SUM(G41:AB41)</f>
        <v>164.84</v>
      </c>
      <c r="AD41" s="5"/>
      <c r="AE41" s="44"/>
    </row>
    <row r="42" spans="1:31" hidden="1" x14ac:dyDescent="0.2">
      <c r="A42" s="18"/>
      <c r="B42" s="18"/>
      <c r="C42" s="2" t="s">
        <v>14</v>
      </c>
      <c r="G42" s="32">
        <f>G22+G37</f>
        <v>-12.309999999999999</v>
      </c>
      <c r="H42" s="32">
        <f t="shared" ref="H42:AA42" si="11">H22+H37</f>
        <v>-11.289</v>
      </c>
      <c r="I42" s="32">
        <f t="shared" si="11"/>
        <v>-9.6209999999999987</v>
      </c>
      <c r="J42" s="32">
        <f t="shared" si="11"/>
        <v>-9.4</v>
      </c>
      <c r="K42" s="32">
        <f t="shared" si="11"/>
        <v>-7.9949999999999992</v>
      </c>
      <c r="L42" s="32">
        <f t="shared" si="11"/>
        <v>-2.2890000000000001</v>
      </c>
      <c r="M42" s="32">
        <f t="shared" si="11"/>
        <v>-19.084999999999997</v>
      </c>
      <c r="N42" s="32">
        <f t="shared" si="11"/>
        <v>-23.84</v>
      </c>
      <c r="O42" s="32">
        <f t="shared" si="11"/>
        <v>-15.459</v>
      </c>
      <c r="P42" s="32">
        <f t="shared" si="11"/>
        <v>-8.282</v>
      </c>
      <c r="Q42" s="32">
        <f t="shared" si="11"/>
        <v>-2.6379999999999999</v>
      </c>
      <c r="R42" s="32">
        <f t="shared" si="11"/>
        <v>-1.4869999999999999</v>
      </c>
      <c r="S42" s="32">
        <f t="shared" si="11"/>
        <v>-6.3620000000000001</v>
      </c>
      <c r="T42" s="32">
        <f t="shared" si="11"/>
        <v>-19.331</v>
      </c>
      <c r="U42" s="32">
        <f t="shared" si="11"/>
        <v>-23.471</v>
      </c>
      <c r="V42" s="32">
        <f t="shared" si="11"/>
        <v>-5.0299999999999994</v>
      </c>
      <c r="W42" s="32">
        <f t="shared" si="11"/>
        <v>0</v>
      </c>
      <c r="X42" s="32">
        <f t="shared" si="11"/>
        <v>0</v>
      </c>
      <c r="Y42" s="32">
        <f t="shared" si="11"/>
        <v>0</v>
      </c>
      <c r="Z42" s="32">
        <f t="shared" si="11"/>
        <v>0</v>
      </c>
      <c r="AA42" s="32">
        <f t="shared" si="11"/>
        <v>0</v>
      </c>
      <c r="AB42" s="48"/>
      <c r="AC42" s="42">
        <f>SUM(G42:AB42)</f>
        <v>-177.88899999999998</v>
      </c>
      <c r="AD42" s="5"/>
      <c r="AE42" s="44"/>
    </row>
    <row r="43" spans="1:31" x14ac:dyDescent="0.2">
      <c r="A43" s="18"/>
      <c r="C43" s="18" t="s">
        <v>22</v>
      </c>
      <c r="G43" s="40">
        <f t="shared" ref="G43:AA43" si="12">SUM(G41:G42)</f>
        <v>-4.8999999999999488E-2</v>
      </c>
      <c r="H43" s="40">
        <f t="shared" si="12"/>
        <v>-5.7309999999999999</v>
      </c>
      <c r="I43" s="40">
        <f t="shared" si="12"/>
        <v>-2.9499999999999984</v>
      </c>
      <c r="J43" s="40">
        <f t="shared" si="12"/>
        <v>-0.62800000000000011</v>
      </c>
      <c r="K43" s="40">
        <f t="shared" si="12"/>
        <v>-2.8599999999999994</v>
      </c>
      <c r="L43" s="40">
        <f t="shared" si="12"/>
        <v>2.911</v>
      </c>
      <c r="M43" s="40">
        <f t="shared" si="12"/>
        <v>-14.249999999999996</v>
      </c>
      <c r="N43" s="40">
        <f t="shared" si="12"/>
        <v>-13.399000000000001</v>
      </c>
      <c r="O43" s="40">
        <f t="shared" si="12"/>
        <v>-3.923</v>
      </c>
      <c r="P43" s="40">
        <f t="shared" si="12"/>
        <v>5.6449999999999996</v>
      </c>
      <c r="Q43" s="40">
        <f t="shared" si="12"/>
        <v>11.479000000000001</v>
      </c>
      <c r="R43" s="40">
        <f t="shared" si="12"/>
        <v>8.1240000000000006</v>
      </c>
      <c r="S43" s="40">
        <f t="shared" si="12"/>
        <v>3.109</v>
      </c>
      <c r="T43" s="40">
        <f t="shared" si="12"/>
        <v>-8.0349999999999984</v>
      </c>
      <c r="U43" s="40">
        <f t="shared" si="12"/>
        <v>10.933000000000003</v>
      </c>
      <c r="V43" s="40">
        <f t="shared" si="12"/>
        <v>-3.4249999999999994</v>
      </c>
      <c r="W43" s="40">
        <f t="shared" si="12"/>
        <v>0</v>
      </c>
      <c r="X43" s="40">
        <f t="shared" si="12"/>
        <v>0</v>
      </c>
      <c r="Y43" s="40">
        <f t="shared" si="12"/>
        <v>0</v>
      </c>
      <c r="Z43" s="40">
        <f t="shared" si="12"/>
        <v>0</v>
      </c>
      <c r="AA43" s="40">
        <f t="shared" si="12"/>
        <v>0</v>
      </c>
      <c r="AB43" s="48"/>
      <c r="AC43" s="41">
        <f>SUM(AC41:AC42)</f>
        <v>-13.048999999999978</v>
      </c>
      <c r="AD43" s="5"/>
      <c r="AE43" s="44"/>
    </row>
    <row r="44" spans="1:31" x14ac:dyDescent="0.2">
      <c r="A44" s="18"/>
      <c r="B44" s="18"/>
      <c r="G44" s="40"/>
      <c r="H44" s="40"/>
      <c r="I44" s="40"/>
      <c r="J44" s="40"/>
      <c r="K44" s="40"/>
      <c r="L44" s="40"/>
      <c r="M44" s="40"/>
      <c r="N44" s="40"/>
      <c r="O44" s="40"/>
      <c r="P44" s="40"/>
      <c r="Q44" s="40"/>
      <c r="R44" s="40"/>
      <c r="S44" s="40"/>
      <c r="T44" s="40"/>
      <c r="U44" s="40"/>
      <c r="V44" s="40"/>
      <c r="W44" s="40"/>
      <c r="X44" s="40"/>
      <c r="Y44" s="40"/>
      <c r="Z44" s="40"/>
      <c r="AA44" s="40"/>
      <c r="AB44" s="48"/>
      <c r="AC44" s="41"/>
      <c r="AD44" s="5"/>
      <c r="AE44" s="44"/>
    </row>
    <row r="45" spans="1:31" x14ac:dyDescent="0.2">
      <c r="A45" s="2"/>
      <c r="B45" s="18" t="s">
        <v>23</v>
      </c>
      <c r="G45" s="40"/>
      <c r="H45" s="40"/>
      <c r="I45" s="40"/>
      <c r="J45" s="40"/>
      <c r="K45" s="40"/>
      <c r="L45" s="40"/>
      <c r="M45" s="40"/>
      <c r="N45" s="40"/>
      <c r="O45" s="40"/>
      <c r="P45" s="40"/>
      <c r="Q45" s="40"/>
      <c r="R45" s="40"/>
      <c r="S45" s="40"/>
      <c r="T45" s="40"/>
      <c r="U45" s="40"/>
      <c r="V45" s="40"/>
      <c r="W45" s="40"/>
      <c r="X45" s="40"/>
      <c r="Y45" s="40"/>
      <c r="Z45" s="40"/>
      <c r="AA45" s="40"/>
      <c r="AB45" s="48"/>
      <c r="AC45" s="41"/>
      <c r="AD45" s="5"/>
      <c r="AE45" s="24"/>
    </row>
    <row r="46" spans="1:31" x14ac:dyDescent="0.2">
      <c r="A46" s="18"/>
      <c r="B46" s="18"/>
      <c r="C46" s="2" t="s">
        <v>16</v>
      </c>
      <c r="G46" s="40">
        <v>2.1259999999999999</v>
      </c>
      <c r="H46" s="40">
        <v>184.625</v>
      </c>
      <c r="I46" s="40">
        <v>45.41</v>
      </c>
      <c r="J46" s="40">
        <v>3.31</v>
      </c>
      <c r="K46" s="40">
        <v>64.015000000000001</v>
      </c>
      <c r="L46" s="40">
        <v>137.774</v>
      </c>
      <c r="M46" s="40">
        <v>195.83</v>
      </c>
      <c r="N46" s="40">
        <v>21.4</v>
      </c>
      <c r="O46" s="40">
        <v>73.296000000000006</v>
      </c>
      <c r="P46" s="40">
        <v>89.69</v>
      </c>
      <c r="Q46" s="40">
        <v>125.45</v>
      </c>
      <c r="R46" s="40">
        <v>91</v>
      </c>
      <c r="S46" s="40">
        <v>83.79</v>
      </c>
      <c r="T46" s="40">
        <v>124.46</v>
      </c>
      <c r="U46" s="40">
        <v>44.65</v>
      </c>
      <c r="V46" s="40">
        <v>131.6</v>
      </c>
      <c r="W46" s="40">
        <v>0</v>
      </c>
      <c r="X46" s="40">
        <v>0</v>
      </c>
      <c r="Y46" s="40">
        <v>0</v>
      </c>
      <c r="Z46" s="40">
        <v>0</v>
      </c>
      <c r="AA46" s="40">
        <v>0</v>
      </c>
      <c r="AB46" s="48"/>
      <c r="AC46" s="41">
        <f>SUM(G46:AB46)</f>
        <v>1418.4260000000002</v>
      </c>
      <c r="AD46" s="5"/>
      <c r="AE46" s="31">
        <v>1867.1429999999998</v>
      </c>
    </row>
    <row r="47" spans="1:31" x14ac:dyDescent="0.2">
      <c r="A47" s="18"/>
      <c r="B47" s="18"/>
      <c r="C47" s="2" t="s">
        <v>17</v>
      </c>
      <c r="G47" s="32">
        <v>-26.7</v>
      </c>
      <c r="H47" s="32">
        <f>-156.875</f>
        <v>-156.875</v>
      </c>
      <c r="I47" s="32">
        <v>-78.194999999999993</v>
      </c>
      <c r="J47" s="32">
        <v>-128.69999999999999</v>
      </c>
      <c r="K47" s="32">
        <v>-9.4260000000000002</v>
      </c>
      <c r="L47" s="32">
        <v>-80.427000000000007</v>
      </c>
      <c r="M47" s="32">
        <v>-68.087999999999994</v>
      </c>
      <c r="N47" s="32">
        <v>-130.762</v>
      </c>
      <c r="O47" s="32">
        <v>-164.64</v>
      </c>
      <c r="P47" s="32">
        <v>-159.91</v>
      </c>
      <c r="Q47" s="32">
        <v>-33.1</v>
      </c>
      <c r="R47" s="32">
        <v>-27.12</v>
      </c>
      <c r="S47" s="32">
        <v>-63.5</v>
      </c>
      <c r="T47" s="32">
        <v>-95.614999999999995</v>
      </c>
      <c r="U47" s="32">
        <v>-20.448</v>
      </c>
      <c r="V47" s="32">
        <v>-137.18</v>
      </c>
      <c r="W47" s="32">
        <v>0</v>
      </c>
      <c r="X47" s="32">
        <v>0</v>
      </c>
      <c r="Y47" s="32">
        <v>0</v>
      </c>
      <c r="Z47" s="32">
        <v>0</v>
      </c>
      <c r="AA47" s="32">
        <v>0</v>
      </c>
      <c r="AB47" s="48"/>
      <c r="AC47" s="42">
        <f>SUM(G47:AB47)</f>
        <v>-1380.6859999999999</v>
      </c>
      <c r="AD47" s="5"/>
      <c r="AE47" s="35">
        <v>-2379.75</v>
      </c>
    </row>
    <row r="48" spans="1:31" x14ac:dyDescent="0.2">
      <c r="A48" s="18"/>
      <c r="B48" s="18"/>
      <c r="C48" s="18" t="s">
        <v>24</v>
      </c>
      <c r="G48" s="40">
        <f t="shared" ref="G48:AA48" si="13">SUM(G46:G47)</f>
        <v>-24.573999999999998</v>
      </c>
      <c r="H48" s="40">
        <f t="shared" si="13"/>
        <v>27.75</v>
      </c>
      <c r="I48" s="40">
        <f t="shared" si="13"/>
        <v>-32.784999999999997</v>
      </c>
      <c r="J48" s="40">
        <f t="shared" si="13"/>
        <v>-125.38999999999999</v>
      </c>
      <c r="K48" s="40">
        <f t="shared" si="13"/>
        <v>54.588999999999999</v>
      </c>
      <c r="L48" s="40">
        <f t="shared" si="13"/>
        <v>57.346999999999994</v>
      </c>
      <c r="M48" s="40">
        <f t="shared" si="13"/>
        <v>127.74200000000002</v>
      </c>
      <c r="N48" s="40">
        <f t="shared" si="13"/>
        <v>-109.36199999999999</v>
      </c>
      <c r="O48" s="40">
        <f t="shared" si="13"/>
        <v>-91.34399999999998</v>
      </c>
      <c r="P48" s="40">
        <f t="shared" si="13"/>
        <v>-70.22</v>
      </c>
      <c r="Q48" s="40">
        <f t="shared" si="13"/>
        <v>92.35</v>
      </c>
      <c r="R48" s="40">
        <f t="shared" si="13"/>
        <v>63.879999999999995</v>
      </c>
      <c r="S48" s="40">
        <f t="shared" si="13"/>
        <v>20.290000000000006</v>
      </c>
      <c r="T48" s="40">
        <f t="shared" si="13"/>
        <v>28.844999999999999</v>
      </c>
      <c r="U48" s="40">
        <f t="shared" si="13"/>
        <v>24.201999999999998</v>
      </c>
      <c r="V48" s="40">
        <f t="shared" si="13"/>
        <v>-5.5800000000000125</v>
      </c>
      <c r="W48" s="40">
        <f t="shared" si="13"/>
        <v>0</v>
      </c>
      <c r="X48" s="40">
        <f t="shared" si="13"/>
        <v>0</v>
      </c>
      <c r="Y48" s="40">
        <f t="shared" si="13"/>
        <v>0</v>
      </c>
      <c r="Z48" s="40">
        <f t="shared" si="13"/>
        <v>0</v>
      </c>
      <c r="AA48" s="40">
        <f t="shared" si="13"/>
        <v>0</v>
      </c>
      <c r="AB48" s="48"/>
      <c r="AC48" s="41">
        <f>SUM(AC46:AC47)</f>
        <v>37.740000000000236</v>
      </c>
      <c r="AD48" s="5"/>
      <c r="AE48" s="44">
        <v>-512.6070000000002</v>
      </c>
    </row>
    <row r="49" spans="1:31" x14ac:dyDescent="0.2">
      <c r="A49" s="18"/>
      <c r="B49" s="18"/>
      <c r="G49" s="40"/>
      <c r="H49" s="40"/>
      <c r="I49" s="40"/>
      <c r="J49" s="40"/>
      <c r="K49" s="40"/>
      <c r="L49" s="40"/>
      <c r="M49" s="40"/>
      <c r="N49" s="40"/>
      <c r="O49" s="40"/>
      <c r="P49" s="40"/>
      <c r="Q49" s="40"/>
      <c r="R49" s="40"/>
      <c r="S49" s="40"/>
      <c r="T49" s="40"/>
      <c r="U49" s="40"/>
      <c r="V49" s="40"/>
      <c r="W49" s="40"/>
      <c r="X49" s="40"/>
      <c r="Y49" s="40"/>
      <c r="Z49" s="40"/>
      <c r="AA49" s="40"/>
      <c r="AB49" s="48"/>
      <c r="AC49" s="41"/>
      <c r="AD49" s="5"/>
      <c r="AE49" s="44"/>
    </row>
    <row r="50" spans="1:31" x14ac:dyDescent="0.2">
      <c r="A50" s="18"/>
      <c r="B50" s="18" t="s">
        <v>25</v>
      </c>
      <c r="G50" s="40"/>
      <c r="H50" s="40"/>
      <c r="I50" s="40"/>
      <c r="J50" s="40"/>
      <c r="K50" s="40"/>
      <c r="L50" s="40"/>
      <c r="M50" s="40"/>
      <c r="N50" s="40"/>
      <c r="O50" s="40"/>
      <c r="P50" s="40"/>
      <c r="Q50" s="40"/>
      <c r="R50" s="40"/>
      <c r="S50" s="40"/>
      <c r="T50" s="40"/>
      <c r="U50" s="40"/>
      <c r="V50" s="40"/>
      <c r="W50" s="40"/>
      <c r="X50" s="40"/>
      <c r="Y50" s="40"/>
      <c r="Z50" s="40"/>
      <c r="AA50" s="40"/>
      <c r="AB50" s="48"/>
      <c r="AC50" s="41"/>
      <c r="AD50" s="5"/>
      <c r="AE50" s="44"/>
    </row>
    <row r="51" spans="1:31" x14ac:dyDescent="0.2">
      <c r="A51" s="18"/>
      <c r="B51" s="18"/>
      <c r="C51" s="2" t="s">
        <v>16</v>
      </c>
      <c r="G51" s="40">
        <v>0</v>
      </c>
      <c r="H51" s="40">
        <v>0</v>
      </c>
      <c r="I51" s="40">
        <v>0</v>
      </c>
      <c r="J51" s="40">
        <v>0</v>
      </c>
      <c r="K51" s="40">
        <v>2</v>
      </c>
      <c r="L51" s="40">
        <v>11.25</v>
      </c>
      <c r="M51" s="40">
        <v>14.25</v>
      </c>
      <c r="N51" s="40">
        <v>50.8</v>
      </c>
      <c r="O51" s="40">
        <v>99.5</v>
      </c>
      <c r="P51" s="40">
        <v>15.75</v>
      </c>
      <c r="Q51" s="40">
        <v>3.5</v>
      </c>
      <c r="R51" s="40">
        <v>20.5</v>
      </c>
      <c r="S51" s="40">
        <v>41.5</v>
      </c>
      <c r="T51" s="40">
        <v>11</v>
      </c>
      <c r="U51" s="40">
        <v>4.25</v>
      </c>
      <c r="V51" s="40">
        <v>10.55</v>
      </c>
      <c r="W51" s="40">
        <v>0</v>
      </c>
      <c r="X51" s="40">
        <v>0</v>
      </c>
      <c r="Y51" s="40">
        <v>0</v>
      </c>
      <c r="Z51" s="40">
        <v>0</v>
      </c>
      <c r="AA51" s="40">
        <v>0</v>
      </c>
      <c r="AB51" s="48"/>
      <c r="AC51" s="41">
        <f>SUM(G51:AB51)</f>
        <v>284.85000000000002</v>
      </c>
      <c r="AD51" s="5"/>
      <c r="AE51" s="44"/>
    </row>
    <row r="52" spans="1:31" x14ac:dyDescent="0.2">
      <c r="A52" s="18"/>
      <c r="B52" s="18"/>
      <c r="C52" s="2" t="s">
        <v>17</v>
      </c>
      <c r="G52" s="32">
        <v>-89</v>
      </c>
      <c r="H52" s="32">
        <v>-37.299999999999997</v>
      </c>
      <c r="I52" s="32">
        <v>-0.48899999999999999</v>
      </c>
      <c r="J52" s="32">
        <v>-45.573999999999998</v>
      </c>
      <c r="K52" s="32">
        <v>-143.80799999999999</v>
      </c>
      <c r="L52" s="32">
        <v>-153.30000000000001</v>
      </c>
      <c r="M52" s="32">
        <v>-35.5</v>
      </c>
      <c r="N52" s="32">
        <v>-5.75</v>
      </c>
      <c r="O52" s="32">
        <v>-4</v>
      </c>
      <c r="P52" s="32">
        <v>0</v>
      </c>
      <c r="Q52" s="32">
        <v>-35.299999999999997</v>
      </c>
      <c r="R52" s="32">
        <v>-126.75</v>
      </c>
      <c r="S52" s="32">
        <v>-112.6</v>
      </c>
      <c r="T52" s="32">
        <v>-40.5</v>
      </c>
      <c r="U52" s="32">
        <v>-158</v>
      </c>
      <c r="V52" s="32">
        <v>-27.75</v>
      </c>
      <c r="W52" s="32">
        <v>0</v>
      </c>
      <c r="X52" s="32">
        <v>0</v>
      </c>
      <c r="Y52" s="32">
        <v>0</v>
      </c>
      <c r="Z52" s="32">
        <v>0</v>
      </c>
      <c r="AA52" s="32">
        <v>0</v>
      </c>
      <c r="AB52" s="48"/>
      <c r="AC52" s="42">
        <f>SUM(G52:AB52)</f>
        <v>-1015.621</v>
      </c>
      <c r="AD52" s="5"/>
      <c r="AE52" s="44"/>
    </row>
    <row r="53" spans="1:31" x14ac:dyDescent="0.2">
      <c r="A53" s="18"/>
      <c r="B53" s="18"/>
      <c r="C53" s="18" t="s">
        <v>26</v>
      </c>
      <c r="G53" s="40">
        <f t="shared" ref="G53:AA53" si="14">SUM(G51:G52)</f>
        <v>-89</v>
      </c>
      <c r="H53" s="40">
        <f t="shared" si="14"/>
        <v>-37.299999999999997</v>
      </c>
      <c r="I53" s="40">
        <f t="shared" si="14"/>
        <v>-0.48899999999999999</v>
      </c>
      <c r="J53" s="40">
        <f t="shared" si="14"/>
        <v>-45.573999999999998</v>
      </c>
      <c r="K53" s="40">
        <f t="shared" si="14"/>
        <v>-141.80799999999999</v>
      </c>
      <c r="L53" s="40">
        <f t="shared" si="14"/>
        <v>-142.05000000000001</v>
      </c>
      <c r="M53" s="40">
        <f t="shared" si="14"/>
        <v>-21.25</v>
      </c>
      <c r="N53" s="40">
        <f t="shared" si="14"/>
        <v>45.05</v>
      </c>
      <c r="O53" s="40">
        <f t="shared" si="14"/>
        <v>95.5</v>
      </c>
      <c r="P53" s="40">
        <f t="shared" si="14"/>
        <v>15.75</v>
      </c>
      <c r="Q53" s="40">
        <f t="shared" si="14"/>
        <v>-31.799999999999997</v>
      </c>
      <c r="R53" s="40">
        <f t="shared" si="14"/>
        <v>-106.25</v>
      </c>
      <c r="S53" s="40">
        <f t="shared" si="14"/>
        <v>-71.099999999999994</v>
      </c>
      <c r="T53" s="40">
        <f t="shared" si="14"/>
        <v>-29.5</v>
      </c>
      <c r="U53" s="40">
        <f t="shared" si="14"/>
        <v>-153.75</v>
      </c>
      <c r="V53" s="40">
        <f t="shared" si="14"/>
        <v>-17.2</v>
      </c>
      <c r="W53" s="40">
        <f t="shared" si="14"/>
        <v>0</v>
      </c>
      <c r="X53" s="40">
        <f t="shared" si="14"/>
        <v>0</v>
      </c>
      <c r="Y53" s="40">
        <f t="shared" si="14"/>
        <v>0</v>
      </c>
      <c r="Z53" s="40">
        <f t="shared" si="14"/>
        <v>0</v>
      </c>
      <c r="AA53" s="40">
        <f t="shared" si="14"/>
        <v>0</v>
      </c>
      <c r="AB53" s="48"/>
      <c r="AC53" s="41">
        <f>SUM(AC51:AC52)</f>
        <v>-730.77099999999996</v>
      </c>
      <c r="AD53" s="5"/>
      <c r="AE53" s="44"/>
    </row>
    <row r="54" spans="1:31" x14ac:dyDescent="0.2">
      <c r="A54" s="2"/>
      <c r="B54" s="18"/>
      <c r="G54" s="40"/>
      <c r="H54" s="40"/>
      <c r="I54" s="40"/>
      <c r="J54" s="40"/>
      <c r="K54" s="40"/>
      <c r="L54" s="40"/>
      <c r="M54" s="40"/>
      <c r="N54" s="40"/>
      <c r="O54" s="40"/>
      <c r="P54" s="40"/>
      <c r="Q54" s="40"/>
      <c r="R54" s="40"/>
      <c r="S54" s="40"/>
      <c r="T54" s="40"/>
      <c r="U54" s="40"/>
      <c r="V54" s="40"/>
      <c r="W54" s="40"/>
      <c r="X54" s="40"/>
      <c r="Y54" s="40"/>
      <c r="Z54" s="40"/>
      <c r="AA54" s="40"/>
      <c r="AB54" s="48"/>
      <c r="AC54" s="41"/>
      <c r="AD54" s="5"/>
      <c r="AE54" s="24"/>
    </row>
    <row r="55" spans="1:31" hidden="1" x14ac:dyDescent="0.2">
      <c r="A55" s="2"/>
      <c r="B55" s="18" t="s">
        <v>88</v>
      </c>
      <c r="G55" s="40"/>
      <c r="H55" s="40"/>
      <c r="I55" s="40"/>
      <c r="J55" s="40"/>
      <c r="K55" s="40"/>
      <c r="L55" s="40"/>
      <c r="M55" s="40"/>
      <c r="N55" s="40"/>
      <c r="O55" s="40"/>
      <c r="P55" s="40"/>
      <c r="Q55" s="40"/>
      <c r="R55" s="40"/>
      <c r="S55" s="40"/>
      <c r="T55" s="40"/>
      <c r="U55" s="40"/>
      <c r="V55" s="40"/>
      <c r="W55" s="40"/>
      <c r="X55" s="40"/>
      <c r="Y55" s="40"/>
      <c r="Z55" s="40"/>
      <c r="AA55" s="40"/>
      <c r="AB55" s="48"/>
      <c r="AC55" s="41"/>
      <c r="AD55" s="5"/>
      <c r="AE55" s="24"/>
    </row>
    <row r="56" spans="1:31" hidden="1" x14ac:dyDescent="0.2">
      <c r="A56" s="2"/>
      <c r="B56" s="18"/>
      <c r="C56" s="2" t="s">
        <v>16</v>
      </c>
      <c r="G56" s="40">
        <f>G46+G51</f>
        <v>2.1259999999999999</v>
      </c>
      <c r="H56" s="40">
        <f t="shared" ref="H56:AA56" si="15">H46+H51</f>
        <v>184.625</v>
      </c>
      <c r="I56" s="40">
        <f t="shared" si="15"/>
        <v>45.41</v>
      </c>
      <c r="J56" s="40">
        <f t="shared" si="15"/>
        <v>3.31</v>
      </c>
      <c r="K56" s="40">
        <f t="shared" si="15"/>
        <v>66.015000000000001</v>
      </c>
      <c r="L56" s="40">
        <f t="shared" si="15"/>
        <v>149.024</v>
      </c>
      <c r="M56" s="40">
        <f t="shared" si="15"/>
        <v>210.08</v>
      </c>
      <c r="N56" s="40">
        <f t="shared" si="15"/>
        <v>72.199999999999989</v>
      </c>
      <c r="O56" s="40">
        <f t="shared" si="15"/>
        <v>172.79599999999999</v>
      </c>
      <c r="P56" s="40">
        <f t="shared" si="15"/>
        <v>105.44</v>
      </c>
      <c r="Q56" s="40">
        <f t="shared" si="15"/>
        <v>128.94999999999999</v>
      </c>
      <c r="R56" s="40">
        <f t="shared" si="15"/>
        <v>111.5</v>
      </c>
      <c r="S56" s="40">
        <f t="shared" si="15"/>
        <v>125.29</v>
      </c>
      <c r="T56" s="40">
        <f t="shared" si="15"/>
        <v>135.45999999999998</v>
      </c>
      <c r="U56" s="40">
        <f t="shared" si="15"/>
        <v>48.9</v>
      </c>
      <c r="V56" s="40">
        <f t="shared" si="15"/>
        <v>142.15</v>
      </c>
      <c r="W56" s="40">
        <f t="shared" si="15"/>
        <v>0</v>
      </c>
      <c r="X56" s="40">
        <f t="shared" si="15"/>
        <v>0</v>
      </c>
      <c r="Y56" s="40">
        <f t="shared" si="15"/>
        <v>0</v>
      </c>
      <c r="Z56" s="40">
        <f t="shared" si="15"/>
        <v>0</v>
      </c>
      <c r="AA56" s="40">
        <f t="shared" si="15"/>
        <v>0</v>
      </c>
      <c r="AB56" s="48"/>
      <c r="AC56" s="41">
        <f>AC46+AC51</f>
        <v>1703.2760000000003</v>
      </c>
      <c r="AD56" s="5"/>
      <c r="AE56" s="24"/>
    </row>
    <row r="57" spans="1:31" hidden="1" x14ac:dyDescent="0.2">
      <c r="A57" s="2"/>
      <c r="B57" s="18"/>
      <c r="C57" s="2" t="s">
        <v>17</v>
      </c>
      <c r="G57" s="32">
        <f>G47+G52</f>
        <v>-115.7</v>
      </c>
      <c r="H57" s="32">
        <f t="shared" ref="H57:AA57" si="16">H47+H52</f>
        <v>-194.17500000000001</v>
      </c>
      <c r="I57" s="32">
        <f t="shared" si="16"/>
        <v>-78.683999999999997</v>
      </c>
      <c r="J57" s="32">
        <f t="shared" si="16"/>
        <v>-174.274</v>
      </c>
      <c r="K57" s="32">
        <f t="shared" si="16"/>
        <v>-153.23399999999998</v>
      </c>
      <c r="L57" s="32">
        <f t="shared" si="16"/>
        <v>-233.72700000000003</v>
      </c>
      <c r="M57" s="32">
        <f t="shared" si="16"/>
        <v>-103.58799999999999</v>
      </c>
      <c r="N57" s="32">
        <f t="shared" si="16"/>
        <v>-136.512</v>
      </c>
      <c r="O57" s="32">
        <f t="shared" si="16"/>
        <v>-168.64</v>
      </c>
      <c r="P57" s="32">
        <f t="shared" si="16"/>
        <v>-159.91</v>
      </c>
      <c r="Q57" s="32">
        <f t="shared" si="16"/>
        <v>-68.400000000000006</v>
      </c>
      <c r="R57" s="32">
        <f t="shared" si="16"/>
        <v>-153.87</v>
      </c>
      <c r="S57" s="32">
        <f t="shared" si="16"/>
        <v>-176.1</v>
      </c>
      <c r="T57" s="32">
        <f t="shared" si="16"/>
        <v>-136.11500000000001</v>
      </c>
      <c r="U57" s="32">
        <f t="shared" si="16"/>
        <v>-178.44800000000001</v>
      </c>
      <c r="V57" s="32">
        <f t="shared" si="16"/>
        <v>-164.93</v>
      </c>
      <c r="W57" s="32">
        <f t="shared" si="16"/>
        <v>0</v>
      </c>
      <c r="X57" s="32">
        <f t="shared" si="16"/>
        <v>0</v>
      </c>
      <c r="Y57" s="32">
        <f t="shared" si="16"/>
        <v>0</v>
      </c>
      <c r="Z57" s="32">
        <f t="shared" si="16"/>
        <v>0</v>
      </c>
      <c r="AA57" s="32">
        <f t="shared" si="16"/>
        <v>0</v>
      </c>
      <c r="AB57" s="48"/>
      <c r="AC57" s="42">
        <f>AC47+AC52</f>
        <v>-2396.3069999999998</v>
      </c>
      <c r="AD57" s="5"/>
      <c r="AE57" s="24"/>
    </row>
    <row r="58" spans="1:31" x14ac:dyDescent="0.2">
      <c r="A58" s="2"/>
      <c r="C58" s="18" t="s">
        <v>27</v>
      </c>
      <c r="G58" s="40">
        <f t="shared" ref="G58:AA58" si="17">SUM(G56:G57)</f>
        <v>-113.574</v>
      </c>
      <c r="H58" s="40">
        <f t="shared" si="17"/>
        <v>-9.5500000000000114</v>
      </c>
      <c r="I58" s="40">
        <f t="shared" si="17"/>
        <v>-33.274000000000001</v>
      </c>
      <c r="J58" s="40">
        <f t="shared" si="17"/>
        <v>-170.964</v>
      </c>
      <c r="K58" s="40">
        <f t="shared" si="17"/>
        <v>-87.21899999999998</v>
      </c>
      <c r="L58" s="40">
        <f t="shared" si="17"/>
        <v>-84.703000000000031</v>
      </c>
      <c r="M58" s="40">
        <f t="shared" si="17"/>
        <v>106.49200000000002</v>
      </c>
      <c r="N58" s="40">
        <f t="shared" si="17"/>
        <v>-64.312000000000012</v>
      </c>
      <c r="O58" s="40">
        <f t="shared" si="17"/>
        <v>4.1560000000000059</v>
      </c>
      <c r="P58" s="40">
        <f t="shared" si="17"/>
        <v>-54.47</v>
      </c>
      <c r="Q58" s="40">
        <f t="shared" si="17"/>
        <v>60.549999999999983</v>
      </c>
      <c r="R58" s="40">
        <f t="shared" si="17"/>
        <v>-42.370000000000005</v>
      </c>
      <c r="S58" s="40">
        <f t="shared" si="17"/>
        <v>-50.809999999999988</v>
      </c>
      <c r="T58" s="40">
        <f t="shared" si="17"/>
        <v>-0.65500000000002956</v>
      </c>
      <c r="U58" s="40">
        <f t="shared" si="17"/>
        <v>-129.548</v>
      </c>
      <c r="V58" s="40">
        <f t="shared" si="17"/>
        <v>-22.78</v>
      </c>
      <c r="W58" s="40">
        <f t="shared" si="17"/>
        <v>0</v>
      </c>
      <c r="X58" s="40">
        <f t="shared" si="17"/>
        <v>0</v>
      </c>
      <c r="Y58" s="40">
        <f t="shared" si="17"/>
        <v>0</v>
      </c>
      <c r="Z58" s="40">
        <f t="shared" si="17"/>
        <v>0</v>
      </c>
      <c r="AA58" s="40">
        <f t="shared" si="17"/>
        <v>0</v>
      </c>
      <c r="AB58" s="48"/>
      <c r="AC58" s="41">
        <f>SUM(AC56:AC57)</f>
        <v>-693.03099999999949</v>
      </c>
      <c r="AD58" s="5"/>
      <c r="AE58" s="24"/>
    </row>
    <row r="59" spans="1:31" x14ac:dyDescent="0.2">
      <c r="A59" s="2"/>
      <c r="B59" s="18"/>
      <c r="G59" s="40"/>
      <c r="H59" s="40"/>
      <c r="I59" s="40"/>
      <c r="J59" s="40"/>
      <c r="K59" s="40"/>
      <c r="L59" s="40"/>
      <c r="M59" s="40"/>
      <c r="N59" s="40"/>
      <c r="O59" s="40"/>
      <c r="P59" s="40"/>
      <c r="Q59" s="40"/>
      <c r="R59" s="40"/>
      <c r="S59" s="40"/>
      <c r="T59" s="40"/>
      <c r="U59" s="40"/>
      <c r="V59" s="40"/>
      <c r="W59" s="40"/>
      <c r="X59" s="40"/>
      <c r="Y59" s="40"/>
      <c r="Z59" s="40"/>
      <c r="AA59" s="40"/>
      <c r="AB59" s="48"/>
      <c r="AC59" s="41"/>
      <c r="AD59" s="5"/>
      <c r="AE59" s="24"/>
    </row>
    <row r="60" spans="1:31" hidden="1" x14ac:dyDescent="0.2">
      <c r="A60" s="2"/>
      <c r="B60" s="18" t="s">
        <v>28</v>
      </c>
      <c r="G60" s="40"/>
      <c r="H60" s="40"/>
      <c r="I60" s="40"/>
      <c r="J60" s="40"/>
      <c r="K60" s="40"/>
      <c r="L60" s="40"/>
      <c r="M60" s="40"/>
      <c r="N60" s="40"/>
      <c r="O60" s="40"/>
      <c r="P60" s="40"/>
      <c r="Q60" s="40"/>
      <c r="R60" s="40"/>
      <c r="S60" s="40"/>
      <c r="T60" s="40"/>
      <c r="U60" s="40"/>
      <c r="V60" s="40"/>
      <c r="W60" s="40"/>
      <c r="X60" s="40"/>
      <c r="Y60" s="40"/>
      <c r="Z60" s="40"/>
      <c r="AA60" s="40"/>
      <c r="AB60" s="48"/>
      <c r="AC60" s="41"/>
      <c r="AD60" s="5"/>
      <c r="AE60" s="24"/>
    </row>
    <row r="61" spans="1:31" hidden="1" x14ac:dyDescent="0.2">
      <c r="A61" s="18"/>
      <c r="B61" s="18"/>
      <c r="C61" s="2" t="s">
        <v>16</v>
      </c>
      <c r="G61" s="40">
        <f>G41+G56</f>
        <v>14.386999999999999</v>
      </c>
      <c r="H61" s="40">
        <f t="shared" ref="H61:AA61" si="18">H41+H56</f>
        <v>190.18299999999999</v>
      </c>
      <c r="I61" s="40">
        <f t="shared" si="18"/>
        <v>52.080999999999996</v>
      </c>
      <c r="J61" s="40">
        <f t="shared" si="18"/>
        <v>12.082000000000001</v>
      </c>
      <c r="K61" s="40">
        <f t="shared" si="18"/>
        <v>71.150000000000006</v>
      </c>
      <c r="L61" s="40">
        <f t="shared" si="18"/>
        <v>154.22399999999999</v>
      </c>
      <c r="M61" s="40">
        <f t="shared" si="18"/>
        <v>214.91500000000002</v>
      </c>
      <c r="N61" s="40">
        <f t="shared" si="18"/>
        <v>82.640999999999991</v>
      </c>
      <c r="O61" s="40">
        <f t="shared" si="18"/>
        <v>184.33199999999999</v>
      </c>
      <c r="P61" s="40">
        <f t="shared" si="18"/>
        <v>119.36699999999999</v>
      </c>
      <c r="Q61" s="40">
        <f t="shared" si="18"/>
        <v>143.06699999999998</v>
      </c>
      <c r="R61" s="40">
        <f t="shared" si="18"/>
        <v>121.111</v>
      </c>
      <c r="S61" s="40">
        <f t="shared" si="18"/>
        <v>134.761</v>
      </c>
      <c r="T61" s="40">
        <f t="shared" si="18"/>
        <v>146.75599999999997</v>
      </c>
      <c r="U61" s="40">
        <f t="shared" si="18"/>
        <v>83.304000000000002</v>
      </c>
      <c r="V61" s="40">
        <f t="shared" si="18"/>
        <v>143.755</v>
      </c>
      <c r="W61" s="40">
        <f t="shared" si="18"/>
        <v>0</v>
      </c>
      <c r="X61" s="40">
        <f t="shared" si="18"/>
        <v>0</v>
      </c>
      <c r="Y61" s="40">
        <f t="shared" si="18"/>
        <v>0</v>
      </c>
      <c r="Z61" s="40">
        <f t="shared" si="18"/>
        <v>0</v>
      </c>
      <c r="AA61" s="40">
        <f t="shared" si="18"/>
        <v>0</v>
      </c>
      <c r="AB61" s="48"/>
      <c r="AC61" s="41">
        <f>AC41+AC56</f>
        <v>1868.1160000000002</v>
      </c>
      <c r="AD61" s="5"/>
      <c r="AE61" s="31">
        <v>2322.5430000000001</v>
      </c>
    </row>
    <row r="62" spans="1:31" hidden="1" x14ac:dyDescent="0.2">
      <c r="C62" s="2" t="s">
        <v>17</v>
      </c>
      <c r="G62" s="32">
        <f>G42+G57</f>
        <v>-128.01</v>
      </c>
      <c r="H62" s="32">
        <f t="shared" ref="H62:AA62" si="19">H42+H57</f>
        <v>-205.464</v>
      </c>
      <c r="I62" s="32">
        <f t="shared" si="19"/>
        <v>-88.304999999999993</v>
      </c>
      <c r="J62" s="32">
        <f t="shared" si="19"/>
        <v>-183.67400000000001</v>
      </c>
      <c r="K62" s="32">
        <f t="shared" si="19"/>
        <v>-161.22899999999998</v>
      </c>
      <c r="L62" s="32">
        <f t="shared" si="19"/>
        <v>-236.01600000000002</v>
      </c>
      <c r="M62" s="32">
        <f t="shared" si="19"/>
        <v>-122.67299999999999</v>
      </c>
      <c r="N62" s="32">
        <f t="shared" si="19"/>
        <v>-160.352</v>
      </c>
      <c r="O62" s="32">
        <f t="shared" si="19"/>
        <v>-184.09899999999999</v>
      </c>
      <c r="P62" s="32">
        <f t="shared" si="19"/>
        <v>-168.19200000000001</v>
      </c>
      <c r="Q62" s="32">
        <f t="shared" si="19"/>
        <v>-71.038000000000011</v>
      </c>
      <c r="R62" s="32">
        <f t="shared" si="19"/>
        <v>-155.357</v>
      </c>
      <c r="S62" s="32">
        <f t="shared" si="19"/>
        <v>-182.46199999999999</v>
      </c>
      <c r="T62" s="32">
        <f t="shared" si="19"/>
        <v>-155.446</v>
      </c>
      <c r="U62" s="32">
        <f t="shared" si="19"/>
        <v>-201.91900000000001</v>
      </c>
      <c r="V62" s="32">
        <f t="shared" si="19"/>
        <v>-169.96</v>
      </c>
      <c r="W62" s="32">
        <f t="shared" si="19"/>
        <v>0</v>
      </c>
      <c r="X62" s="32">
        <f t="shared" si="19"/>
        <v>0</v>
      </c>
      <c r="Y62" s="32">
        <f t="shared" si="19"/>
        <v>0</v>
      </c>
      <c r="Z62" s="32">
        <f t="shared" si="19"/>
        <v>0</v>
      </c>
      <c r="AA62" s="32">
        <f t="shared" si="19"/>
        <v>0</v>
      </c>
      <c r="AB62" s="48"/>
      <c r="AC62" s="42">
        <f>AC42+AC57</f>
        <v>-2574.1959999999999</v>
      </c>
      <c r="AD62" s="5"/>
      <c r="AE62" s="35">
        <v>-2750.3620000000005</v>
      </c>
    </row>
    <row r="63" spans="1:31" x14ac:dyDescent="0.2">
      <c r="B63" s="2"/>
      <c r="C63" s="18" t="s">
        <v>28</v>
      </c>
      <c r="G63" s="40">
        <f t="shared" ref="G63:V63" si="20">SUM(G61:G62)</f>
        <v>-113.62299999999999</v>
      </c>
      <c r="H63" s="40">
        <f t="shared" si="20"/>
        <v>-15.281000000000006</v>
      </c>
      <c r="I63" s="40">
        <f t="shared" si="20"/>
        <v>-36.223999999999997</v>
      </c>
      <c r="J63" s="40">
        <f t="shared" si="20"/>
        <v>-171.59200000000001</v>
      </c>
      <c r="K63" s="40">
        <f t="shared" si="20"/>
        <v>-90.078999999999979</v>
      </c>
      <c r="L63" s="40">
        <f t="shared" si="20"/>
        <v>-81.79200000000003</v>
      </c>
      <c r="M63" s="40">
        <f t="shared" si="20"/>
        <v>92.242000000000033</v>
      </c>
      <c r="N63" s="40">
        <f t="shared" si="20"/>
        <v>-77.711000000000013</v>
      </c>
      <c r="O63" s="40">
        <f t="shared" si="20"/>
        <v>0.23300000000000409</v>
      </c>
      <c r="P63" s="40">
        <f t="shared" si="20"/>
        <v>-48.825000000000017</v>
      </c>
      <c r="Q63" s="40">
        <f t="shared" si="20"/>
        <v>72.028999999999968</v>
      </c>
      <c r="R63" s="40">
        <f t="shared" si="20"/>
        <v>-34.245999999999995</v>
      </c>
      <c r="S63" s="40">
        <f t="shared" si="20"/>
        <v>-47.700999999999993</v>
      </c>
      <c r="T63" s="40">
        <f t="shared" si="20"/>
        <v>-8.6900000000000261</v>
      </c>
      <c r="U63" s="40">
        <f t="shared" si="20"/>
        <v>-118.61500000000001</v>
      </c>
      <c r="V63" s="40">
        <f t="shared" si="20"/>
        <v>-26.205000000000013</v>
      </c>
      <c r="W63" s="40">
        <f>-6.677-116.8</f>
        <v>-123.477</v>
      </c>
      <c r="X63" s="40">
        <f>SUM(X61:X62)</f>
        <v>0</v>
      </c>
      <c r="Y63" s="40">
        <f>SUM(Y61:Y62)</f>
        <v>0</v>
      </c>
      <c r="Z63" s="40">
        <f>SUM(Z61:Z62)</f>
        <v>0</v>
      </c>
      <c r="AA63" s="40">
        <f>SUM(AA61:AA62)</f>
        <v>0</v>
      </c>
      <c r="AB63" s="48"/>
      <c r="AC63" s="41">
        <f>SUM(AC61:AC62)-123.5</f>
        <v>-829.5799999999997</v>
      </c>
      <c r="AD63" s="5"/>
      <c r="AE63" s="44">
        <v>-427.81900000000041</v>
      </c>
    </row>
    <row r="64" spans="1:31" x14ac:dyDescent="0.2">
      <c r="A64" s="18"/>
      <c r="G64" s="40"/>
      <c r="H64" s="40"/>
      <c r="I64" s="40"/>
      <c r="J64" s="40"/>
      <c r="K64" s="40"/>
      <c r="L64" s="40"/>
      <c r="M64" s="40"/>
      <c r="N64" s="40"/>
      <c r="O64" s="40"/>
      <c r="P64" s="40"/>
      <c r="Q64" s="40"/>
      <c r="R64" s="40"/>
      <c r="S64" s="40"/>
      <c r="T64" s="40"/>
      <c r="U64" s="40"/>
      <c r="V64" s="40"/>
      <c r="W64" s="40"/>
      <c r="X64" s="40"/>
      <c r="Y64" s="40"/>
      <c r="Z64" s="40"/>
      <c r="AA64" s="40"/>
      <c r="AB64" s="48"/>
      <c r="AC64" s="41"/>
      <c r="AD64" s="5"/>
      <c r="AE64" s="44"/>
    </row>
    <row r="65" spans="1:31" hidden="1" x14ac:dyDescent="0.2">
      <c r="A65" s="18" t="s">
        <v>29</v>
      </c>
      <c r="G65" s="40"/>
      <c r="H65" s="40"/>
      <c r="I65" s="40"/>
      <c r="J65" s="40"/>
      <c r="K65" s="40"/>
      <c r="L65" s="40"/>
      <c r="M65" s="40"/>
      <c r="N65" s="40"/>
      <c r="O65" s="40"/>
      <c r="P65" s="40"/>
      <c r="Q65" s="40"/>
      <c r="R65" s="40"/>
      <c r="S65" s="40"/>
      <c r="T65" s="40"/>
      <c r="U65" s="40"/>
      <c r="V65" s="40"/>
      <c r="W65" s="40"/>
      <c r="X65" s="40"/>
      <c r="Y65" s="40"/>
      <c r="Z65" s="40"/>
      <c r="AA65" s="40"/>
      <c r="AB65" s="48"/>
      <c r="AC65" s="41"/>
      <c r="AD65" s="5"/>
      <c r="AE65" s="44"/>
    </row>
    <row r="66" spans="1:31" hidden="1" x14ac:dyDescent="0.2">
      <c r="A66" s="2"/>
      <c r="C66" s="2" t="s">
        <v>30</v>
      </c>
      <c r="G66" s="40">
        <v>0</v>
      </c>
      <c r="H66" s="40">
        <v>0</v>
      </c>
      <c r="I66" s="40">
        <v>0</v>
      </c>
      <c r="J66" s="40">
        <v>0</v>
      </c>
      <c r="K66" s="40">
        <v>0</v>
      </c>
      <c r="L66" s="40">
        <v>0</v>
      </c>
      <c r="M66" s="40">
        <v>0</v>
      </c>
      <c r="N66" s="40">
        <v>0</v>
      </c>
      <c r="O66" s="40">
        <v>0</v>
      </c>
      <c r="P66" s="40">
        <v>0</v>
      </c>
      <c r="Q66" s="40">
        <v>0</v>
      </c>
      <c r="R66" s="40">
        <v>0</v>
      </c>
      <c r="S66" s="40">
        <v>0</v>
      </c>
      <c r="T66" s="40">
        <v>0</v>
      </c>
      <c r="U66" s="40">
        <v>0</v>
      </c>
      <c r="V66" s="40">
        <v>0</v>
      </c>
      <c r="W66" s="40">
        <v>0</v>
      </c>
      <c r="X66" s="40">
        <v>0</v>
      </c>
      <c r="Y66" s="40">
        <v>0</v>
      </c>
      <c r="Z66" s="40">
        <v>0</v>
      </c>
      <c r="AA66" s="40">
        <v>0</v>
      </c>
      <c r="AB66" s="48"/>
      <c r="AC66" s="41">
        <f>SUM(G66:AB66)</f>
        <v>0</v>
      </c>
      <c r="AD66" s="5"/>
      <c r="AE66" s="31">
        <v>781.46799999999996</v>
      </c>
    </row>
    <row r="67" spans="1:31" hidden="1" x14ac:dyDescent="0.2">
      <c r="A67" s="2"/>
      <c r="C67" s="2" t="s">
        <v>31</v>
      </c>
      <c r="G67" s="32">
        <v>0</v>
      </c>
      <c r="H67" s="32">
        <v>0</v>
      </c>
      <c r="I67" s="32">
        <v>0</v>
      </c>
      <c r="J67" s="32">
        <v>0</v>
      </c>
      <c r="K67" s="32">
        <v>0</v>
      </c>
      <c r="L67" s="32">
        <v>0</v>
      </c>
      <c r="M67" s="32">
        <v>0</v>
      </c>
      <c r="N67" s="32">
        <v>0</v>
      </c>
      <c r="O67" s="32">
        <v>0</v>
      </c>
      <c r="P67" s="32">
        <v>0</v>
      </c>
      <c r="Q67" s="32">
        <v>0</v>
      </c>
      <c r="R67" s="32">
        <v>0</v>
      </c>
      <c r="S67" s="32">
        <v>0</v>
      </c>
      <c r="T67" s="32">
        <v>0</v>
      </c>
      <c r="U67" s="32">
        <v>0</v>
      </c>
      <c r="V67" s="32">
        <v>0</v>
      </c>
      <c r="W67" s="32">
        <v>0</v>
      </c>
      <c r="X67" s="32">
        <v>0</v>
      </c>
      <c r="Y67" s="32">
        <v>0</v>
      </c>
      <c r="Z67" s="32">
        <v>0</v>
      </c>
      <c r="AA67" s="32">
        <v>0</v>
      </c>
      <c r="AB67" s="48"/>
      <c r="AC67" s="42">
        <f>SUM(G67:AB67)</f>
        <v>0</v>
      </c>
      <c r="AD67" s="5"/>
      <c r="AE67" s="35">
        <v>-3.5449999999999999</v>
      </c>
    </row>
    <row r="68" spans="1:31" hidden="1" x14ac:dyDescent="0.2">
      <c r="A68" s="2"/>
      <c r="G68" s="40">
        <f t="shared" ref="G68:AA68" si="21">SUM(G66:G67)</f>
        <v>0</v>
      </c>
      <c r="H68" s="40">
        <f t="shared" si="21"/>
        <v>0</v>
      </c>
      <c r="I68" s="40">
        <f t="shared" si="21"/>
        <v>0</v>
      </c>
      <c r="J68" s="40">
        <f t="shared" si="21"/>
        <v>0</v>
      </c>
      <c r="K68" s="40">
        <f t="shared" si="21"/>
        <v>0</v>
      </c>
      <c r="L68" s="40">
        <f t="shared" si="21"/>
        <v>0</v>
      </c>
      <c r="M68" s="40">
        <f t="shared" si="21"/>
        <v>0</v>
      </c>
      <c r="N68" s="40">
        <f t="shared" si="21"/>
        <v>0</v>
      </c>
      <c r="O68" s="40">
        <f t="shared" si="21"/>
        <v>0</v>
      </c>
      <c r="P68" s="40">
        <f t="shared" si="21"/>
        <v>0</v>
      </c>
      <c r="Q68" s="40">
        <f t="shared" si="21"/>
        <v>0</v>
      </c>
      <c r="R68" s="40">
        <f t="shared" si="21"/>
        <v>0</v>
      </c>
      <c r="S68" s="40">
        <f t="shared" si="21"/>
        <v>0</v>
      </c>
      <c r="T68" s="40">
        <f t="shared" si="21"/>
        <v>0</v>
      </c>
      <c r="U68" s="40">
        <f t="shared" si="21"/>
        <v>0</v>
      </c>
      <c r="V68" s="40">
        <f t="shared" si="21"/>
        <v>0</v>
      </c>
      <c r="W68" s="40">
        <f t="shared" si="21"/>
        <v>0</v>
      </c>
      <c r="X68" s="40">
        <f t="shared" si="21"/>
        <v>0</v>
      </c>
      <c r="Y68" s="40">
        <f t="shared" si="21"/>
        <v>0</v>
      </c>
      <c r="Z68" s="40">
        <f t="shared" si="21"/>
        <v>0</v>
      </c>
      <c r="AA68" s="40">
        <f t="shared" si="21"/>
        <v>0</v>
      </c>
      <c r="AB68" s="48"/>
      <c r="AC68" s="41">
        <f>SUM(AC66:AC67)</f>
        <v>0</v>
      </c>
      <c r="AD68" s="5"/>
      <c r="AE68" s="46">
        <v>777.923</v>
      </c>
    </row>
    <row r="69" spans="1:31" hidden="1" x14ac:dyDescent="0.2">
      <c r="A69" s="18"/>
      <c r="G69" s="40"/>
      <c r="H69" s="40"/>
      <c r="I69" s="40"/>
      <c r="J69" s="40"/>
      <c r="K69" s="40"/>
      <c r="L69" s="40"/>
      <c r="M69" s="40"/>
      <c r="N69" s="40"/>
      <c r="O69" s="40"/>
      <c r="P69" s="40"/>
      <c r="Q69" s="40"/>
      <c r="R69" s="40"/>
      <c r="S69" s="40"/>
      <c r="T69" s="40"/>
      <c r="U69" s="40"/>
      <c r="V69" s="40"/>
      <c r="W69" s="40"/>
      <c r="X69" s="40"/>
      <c r="Y69" s="40"/>
      <c r="Z69" s="40"/>
      <c r="AA69" s="40"/>
      <c r="AB69" s="48"/>
      <c r="AC69" s="41"/>
      <c r="AD69" s="5"/>
      <c r="AE69" s="44"/>
    </row>
    <row r="70" spans="1:31" x14ac:dyDescent="0.2">
      <c r="A70" s="18" t="s">
        <v>32</v>
      </c>
      <c r="B70" s="18"/>
      <c r="G70" s="47"/>
      <c r="H70" s="47"/>
      <c r="I70" s="47"/>
      <c r="J70" s="47"/>
      <c r="K70" s="47"/>
      <c r="L70" s="47"/>
      <c r="M70" s="47"/>
      <c r="N70" s="47"/>
      <c r="O70" s="47"/>
      <c r="P70" s="47"/>
      <c r="Q70" s="47"/>
      <c r="R70" s="47"/>
      <c r="S70" s="47"/>
      <c r="T70" s="47"/>
      <c r="U70" s="47"/>
      <c r="V70" s="47"/>
      <c r="W70" s="47"/>
      <c r="X70" s="47"/>
      <c r="Y70" s="47"/>
      <c r="Z70" s="47"/>
      <c r="AA70" s="47"/>
      <c r="AB70" s="48"/>
      <c r="AC70" s="49"/>
      <c r="AD70" s="5"/>
      <c r="AE70" s="21"/>
    </row>
    <row r="71" spans="1:31" x14ac:dyDescent="0.2">
      <c r="A71" s="18"/>
      <c r="B71" s="8" t="s">
        <v>33</v>
      </c>
      <c r="G71" s="48"/>
      <c r="H71" s="48"/>
      <c r="I71" s="48"/>
      <c r="J71" s="48"/>
      <c r="K71" s="48"/>
      <c r="L71" s="48"/>
      <c r="M71" s="48"/>
      <c r="N71" s="48"/>
      <c r="O71" s="48"/>
      <c r="P71" s="48"/>
      <c r="Q71" s="48"/>
      <c r="R71" s="48"/>
      <c r="S71" s="48"/>
      <c r="T71" s="48"/>
      <c r="U71" s="48"/>
      <c r="V71" s="48"/>
      <c r="W71" s="48"/>
      <c r="X71" s="48"/>
      <c r="Y71" s="48"/>
      <c r="Z71" s="48"/>
      <c r="AA71" s="48"/>
      <c r="AB71" s="48"/>
      <c r="AC71" s="49"/>
      <c r="AD71" s="5"/>
      <c r="AE71" s="21"/>
    </row>
    <row r="72" spans="1:31" x14ac:dyDescent="0.2">
      <c r="A72" s="18"/>
      <c r="D72" s="2" t="s">
        <v>34</v>
      </c>
      <c r="G72" s="48"/>
      <c r="H72" s="48"/>
      <c r="I72" s="48"/>
      <c r="J72" s="48"/>
      <c r="K72" s="48"/>
      <c r="L72" s="48"/>
      <c r="M72" s="48"/>
      <c r="N72" s="48"/>
      <c r="O72" s="48"/>
      <c r="P72" s="48"/>
      <c r="Q72" s="48"/>
      <c r="R72" s="48"/>
      <c r="S72" s="48"/>
      <c r="T72" s="48"/>
      <c r="U72" s="48"/>
      <c r="V72" s="48"/>
      <c r="W72" s="48"/>
      <c r="X72" s="48"/>
      <c r="Y72" s="48"/>
      <c r="Z72" s="48"/>
      <c r="AA72" s="48"/>
      <c r="AB72" s="48"/>
      <c r="AC72" s="49"/>
      <c r="AD72" s="5"/>
      <c r="AE72" s="21"/>
    </row>
    <row r="73" spans="1:31" x14ac:dyDescent="0.2">
      <c r="A73" s="18"/>
      <c r="E73" s="2" t="s">
        <v>16</v>
      </c>
      <c r="G73" s="48">
        <v>18.696999999999999</v>
      </c>
      <c r="H73" s="48">
        <f>18.136+5.8</f>
        <v>23.936</v>
      </c>
      <c r="I73" s="48">
        <f>292.266-1.5</f>
        <v>290.76600000000002</v>
      </c>
      <c r="J73" s="48">
        <f>41.723+10.5</f>
        <v>52.222999999999999</v>
      </c>
      <c r="K73" s="48">
        <v>61.073999999999998</v>
      </c>
      <c r="L73" s="48">
        <v>137.93899999999999</v>
      </c>
      <c r="M73" s="48">
        <f>29.072+7.6-0.7</f>
        <v>35.971999999999994</v>
      </c>
      <c r="N73" s="48">
        <v>12.077999999999999</v>
      </c>
      <c r="O73" s="48">
        <f>13.456+3.7</f>
        <v>17.155999999999999</v>
      </c>
      <c r="P73" s="48">
        <v>33.799999999999997</v>
      </c>
      <c r="Q73" s="48">
        <f>168.485568-11.862008-123.7+0.1</f>
        <v>33.023559999999996</v>
      </c>
      <c r="R73" s="48">
        <v>8.0389999999999997</v>
      </c>
      <c r="S73" s="48">
        <f>9.762+3.6</f>
        <v>13.362</v>
      </c>
      <c r="T73" s="48">
        <f>4.658+7.1</f>
        <v>11.757999999999999</v>
      </c>
      <c r="U73" s="48">
        <f>19.466+1.4</f>
        <v>20.866</v>
      </c>
      <c r="V73" s="48">
        <f>46.192+3.4</f>
        <v>49.591999999999999</v>
      </c>
      <c r="W73" s="48">
        <v>0</v>
      </c>
      <c r="X73" s="48">
        <v>0</v>
      </c>
      <c r="Y73" s="48">
        <v>0</v>
      </c>
      <c r="Z73" s="48">
        <v>0</v>
      </c>
      <c r="AA73" s="48">
        <v>0</v>
      </c>
      <c r="AB73" s="48"/>
      <c r="AC73" s="41">
        <f>SUM(G73:AB73)</f>
        <v>820.28155999999979</v>
      </c>
      <c r="AD73" s="5"/>
      <c r="AE73" s="21"/>
    </row>
    <row r="74" spans="1:31" x14ac:dyDescent="0.2">
      <c r="A74" s="18"/>
      <c r="E74" s="2" t="s">
        <v>17</v>
      </c>
      <c r="G74" s="50">
        <f>-208.88+120.336-2.8</f>
        <v>-91.343999999999994</v>
      </c>
      <c r="H74" s="50">
        <f>-317.594+203.375</f>
        <v>-114.21899999999999</v>
      </c>
      <c r="I74" s="50">
        <f>-211.986+81.428+5.634</f>
        <v>-124.92399999999999</v>
      </c>
      <c r="J74" s="50">
        <f>-195.932+183.647</f>
        <v>-12.284999999999997</v>
      </c>
      <c r="K74" s="50">
        <f>-246.725+161.066+7.5</f>
        <v>-78.158999999999992</v>
      </c>
      <c r="L74" s="50">
        <f>-372.762+234.615-10.8</f>
        <v>-148.947</v>
      </c>
      <c r="M74" s="50">
        <f>-149.527+123.971</f>
        <v>-25.555999999999983</v>
      </c>
      <c r="N74" s="50">
        <f>-181.969+159.447-1.2</f>
        <v>-23.721999999999991</v>
      </c>
      <c r="O74" s="50">
        <f>-205.143+182.028</f>
        <v>-23.115000000000009</v>
      </c>
      <c r="P74" s="50">
        <f>-198.521+163.607-15.7</f>
        <v>-50.61399999999999</v>
      </c>
      <c r="Q74" s="50">
        <f>-76.456995+69.040671</f>
        <v>-7.416324000000003</v>
      </c>
      <c r="R74" s="50">
        <f>-160.087+154.595-1</f>
        <v>-6.4919999999999902</v>
      </c>
      <c r="S74" s="50">
        <f>-188.478+181.554</f>
        <v>-6.9240000000000066</v>
      </c>
      <c r="T74" s="50">
        <f>-150.604+145.255</f>
        <v>-5.349000000000018</v>
      </c>
      <c r="U74" s="50">
        <f>-213.592+185.592</f>
        <v>-28</v>
      </c>
      <c r="V74" s="50">
        <f>-190.377+168.217</f>
        <v>-22.159999999999997</v>
      </c>
      <c r="W74" s="50">
        <v>-228.13900000000001</v>
      </c>
      <c r="X74" s="50">
        <v>0</v>
      </c>
      <c r="Y74" s="50">
        <v>0</v>
      </c>
      <c r="Z74" s="50">
        <v>0</v>
      </c>
      <c r="AA74" s="50">
        <v>0</v>
      </c>
      <c r="AB74" s="48"/>
      <c r="AC74" s="42">
        <f>SUM(G74:AB74)</f>
        <v>-997.36532399999999</v>
      </c>
      <c r="AD74" s="5"/>
      <c r="AE74" s="21"/>
    </row>
    <row r="75" spans="1:31" x14ac:dyDescent="0.2">
      <c r="A75" s="18"/>
      <c r="E75" s="2" t="s">
        <v>35</v>
      </c>
      <c r="G75" s="48">
        <f>SUM(G73:G74)</f>
        <v>-72.646999999999991</v>
      </c>
      <c r="H75" s="48">
        <f>SUM(H73:H74)</f>
        <v>-90.282999999999987</v>
      </c>
      <c r="I75" s="48">
        <f t="shared" ref="I75:AA75" si="22">SUM(I73:I74)</f>
        <v>165.84200000000004</v>
      </c>
      <c r="J75" s="48">
        <f t="shared" si="22"/>
        <v>39.938000000000002</v>
      </c>
      <c r="K75" s="48">
        <f t="shared" si="22"/>
        <v>-17.084999999999994</v>
      </c>
      <c r="L75" s="48">
        <f t="shared" si="22"/>
        <v>-11.00800000000001</v>
      </c>
      <c r="M75" s="48">
        <f t="shared" si="22"/>
        <v>10.416000000000011</v>
      </c>
      <c r="N75" s="48">
        <f t="shared" si="22"/>
        <v>-11.643999999999991</v>
      </c>
      <c r="O75" s="48">
        <f t="shared" si="22"/>
        <v>-5.9590000000000103</v>
      </c>
      <c r="P75" s="48">
        <f t="shared" si="22"/>
        <v>-16.813999999999993</v>
      </c>
      <c r="Q75" s="48">
        <f t="shared" si="22"/>
        <v>25.607235999999993</v>
      </c>
      <c r="R75" s="48">
        <f t="shared" si="22"/>
        <v>1.5470000000000095</v>
      </c>
      <c r="S75" s="48">
        <f t="shared" si="22"/>
        <v>6.4379999999999935</v>
      </c>
      <c r="T75" s="48">
        <f t="shared" si="22"/>
        <v>6.4089999999999812</v>
      </c>
      <c r="U75" s="48">
        <f t="shared" si="22"/>
        <v>-7.1340000000000003</v>
      </c>
      <c r="V75" s="48">
        <f t="shared" si="22"/>
        <v>27.432000000000002</v>
      </c>
      <c r="W75" s="48">
        <f t="shared" si="22"/>
        <v>-228.13900000000001</v>
      </c>
      <c r="X75" s="48">
        <f t="shared" si="22"/>
        <v>0</v>
      </c>
      <c r="Y75" s="48">
        <f t="shared" si="22"/>
        <v>0</v>
      </c>
      <c r="Z75" s="48">
        <f t="shared" si="22"/>
        <v>0</v>
      </c>
      <c r="AA75" s="48">
        <f t="shared" si="22"/>
        <v>0</v>
      </c>
      <c r="AB75" s="48"/>
      <c r="AC75" s="41">
        <f>SUM(G75:AB75)</f>
        <v>-177.08376399999995</v>
      </c>
      <c r="AD75" s="5"/>
      <c r="AE75" s="21"/>
    </row>
    <row r="76" spans="1:31" x14ac:dyDescent="0.2">
      <c r="A76" s="18"/>
      <c r="G76" s="48"/>
      <c r="H76" s="48"/>
      <c r="I76" s="48"/>
      <c r="J76" s="48"/>
      <c r="K76" s="48"/>
      <c r="L76" s="48"/>
      <c r="M76" s="48"/>
      <c r="N76" s="48"/>
      <c r="O76" s="48"/>
      <c r="P76" s="48"/>
      <c r="Q76" s="48"/>
      <c r="R76" s="48"/>
      <c r="S76" s="48"/>
      <c r="T76" s="48"/>
      <c r="U76" s="48"/>
      <c r="V76" s="48"/>
      <c r="W76" s="48"/>
      <c r="X76" s="48"/>
      <c r="Y76" s="48"/>
      <c r="Z76" s="48"/>
      <c r="AA76" s="48"/>
      <c r="AB76" s="48"/>
      <c r="AC76" s="49"/>
      <c r="AD76" s="5"/>
      <c r="AE76" s="21"/>
    </row>
    <row r="77" spans="1:31" x14ac:dyDescent="0.2">
      <c r="A77" s="18"/>
      <c r="D77" s="2" t="s">
        <v>36</v>
      </c>
      <c r="G77" s="48"/>
      <c r="H77" s="48"/>
      <c r="I77" s="48"/>
      <c r="J77" s="48"/>
      <c r="K77" s="48"/>
      <c r="L77" s="48"/>
      <c r="M77" s="48"/>
      <c r="N77" s="48"/>
      <c r="O77" s="48"/>
      <c r="P77" s="48"/>
      <c r="Q77" s="48"/>
      <c r="R77" s="48"/>
      <c r="S77" s="48"/>
      <c r="T77" s="48"/>
      <c r="U77" s="48"/>
      <c r="V77" s="48"/>
      <c r="W77" s="48"/>
      <c r="X77" s="48"/>
      <c r="Y77" s="48"/>
      <c r="Z77" s="48"/>
      <c r="AA77" s="48"/>
      <c r="AB77" s="48"/>
      <c r="AC77" s="49"/>
      <c r="AD77" s="5"/>
      <c r="AE77" s="21"/>
    </row>
    <row r="78" spans="1:31" x14ac:dyDescent="0.2">
      <c r="A78" s="18"/>
      <c r="E78" s="2" t="s">
        <v>16</v>
      </c>
      <c r="G78" s="48">
        <f>11.514+2.206</f>
        <v>13.719999999999999</v>
      </c>
      <c r="H78" s="48">
        <f>25.321+5.214</f>
        <v>30.535000000000004</v>
      </c>
      <c r="I78" s="48">
        <f>29.724+1.13</f>
        <v>30.853999999999999</v>
      </c>
      <c r="J78" s="48">
        <f>0.991+21.249</f>
        <v>22.24</v>
      </c>
      <c r="K78" s="48">
        <f>17.74+0.096</f>
        <v>17.835999999999999</v>
      </c>
      <c r="L78" s="48">
        <f>0.931+8.328</f>
        <v>9.2590000000000003</v>
      </c>
      <c r="M78" s="48">
        <f>0.487+0.472</f>
        <v>0.95899999999999996</v>
      </c>
      <c r="N78" s="48">
        <f>0.458+0.001</f>
        <v>0.45900000000000002</v>
      </c>
      <c r="O78" s="48">
        <f>0.2+0.002</f>
        <v>0.20200000000000001</v>
      </c>
      <c r="P78" s="48">
        <f>1.749+0.179</f>
        <v>1.9280000000000002</v>
      </c>
      <c r="Q78" s="48">
        <v>44.4</v>
      </c>
      <c r="R78" s="48">
        <f>0.198+0.693</f>
        <v>0.89100000000000001</v>
      </c>
      <c r="S78" s="48">
        <f>0.744+0.697</f>
        <v>1.4409999999999998</v>
      </c>
      <c r="T78" s="48">
        <f>60.799+1.906</f>
        <v>62.704999999999998</v>
      </c>
      <c r="U78" s="48">
        <f>4.425+1.47</f>
        <v>5.8949999999999996</v>
      </c>
      <c r="V78" s="48">
        <f>13.505+0.601</f>
        <v>14.106000000000002</v>
      </c>
      <c r="W78" s="48">
        <v>0</v>
      </c>
      <c r="X78" s="48">
        <v>0</v>
      </c>
      <c r="Y78" s="48">
        <v>0</v>
      </c>
      <c r="Z78" s="48">
        <v>0</v>
      </c>
      <c r="AA78" s="48">
        <v>0</v>
      </c>
      <c r="AB78" s="48"/>
      <c r="AC78" s="41">
        <f>SUM(G78:AB78)</f>
        <v>257.43</v>
      </c>
      <c r="AD78" s="5"/>
      <c r="AE78" s="21"/>
    </row>
    <row r="79" spans="1:31" x14ac:dyDescent="0.2">
      <c r="A79" s="18"/>
      <c r="E79" s="2" t="s">
        <v>17</v>
      </c>
      <c r="G79" s="50">
        <v>-14.712</v>
      </c>
      <c r="H79" s="50">
        <v>-7.4080000000000004</v>
      </c>
      <c r="I79" s="50">
        <v>-24.943000000000001</v>
      </c>
      <c r="J79" s="50">
        <v>-24.8</v>
      </c>
      <c r="K79" s="50">
        <v>-1.304</v>
      </c>
      <c r="L79" s="50">
        <v>-16.254000000000001</v>
      </c>
      <c r="M79" s="50">
        <f>-1.403</f>
        <v>-1.403</v>
      </c>
      <c r="N79" s="50">
        <f>-0.457</f>
        <v>-0.45700000000000002</v>
      </c>
      <c r="O79" s="50">
        <f>-1.388</f>
        <v>-1.3879999999999999</v>
      </c>
      <c r="P79" s="50">
        <f>-12.855</f>
        <v>-12.855</v>
      </c>
      <c r="Q79" s="50">
        <v>-33.607303999999999</v>
      </c>
      <c r="R79" s="50">
        <v>-4.7750000000000004</v>
      </c>
      <c r="S79" s="50">
        <v>-1.881</v>
      </c>
      <c r="T79" s="50">
        <f>-18.489</f>
        <v>-18.489000000000001</v>
      </c>
      <c r="U79" s="50">
        <v>-1.335</v>
      </c>
      <c r="V79" s="50">
        <f>-6.147</f>
        <v>-6.1470000000000002</v>
      </c>
      <c r="W79" s="50">
        <v>-1064.992</v>
      </c>
      <c r="X79" s="50">
        <v>0</v>
      </c>
      <c r="Y79" s="50">
        <v>0</v>
      </c>
      <c r="Z79" s="50">
        <v>0</v>
      </c>
      <c r="AA79" s="50">
        <v>0</v>
      </c>
      <c r="AB79" s="48"/>
      <c r="AC79" s="42">
        <f>SUM(G79:AB79)</f>
        <v>-1236.7503039999999</v>
      </c>
      <c r="AD79" s="5"/>
      <c r="AE79" s="21"/>
    </row>
    <row r="80" spans="1:31" x14ac:dyDescent="0.2">
      <c r="A80" s="18"/>
      <c r="E80" s="2" t="s">
        <v>35</v>
      </c>
      <c r="G80" s="48">
        <f>SUM(G78:G79)</f>
        <v>-0.99200000000000088</v>
      </c>
      <c r="H80" s="48">
        <f>SUM(H78:H79)</f>
        <v>23.127000000000002</v>
      </c>
      <c r="I80" s="48">
        <f t="shared" ref="I80:AA80" si="23">SUM(I78:I79)</f>
        <v>5.9109999999999978</v>
      </c>
      <c r="J80" s="48">
        <f t="shared" si="23"/>
        <v>-2.5600000000000023</v>
      </c>
      <c r="K80" s="48">
        <f t="shared" si="23"/>
        <v>16.532</v>
      </c>
      <c r="L80" s="48">
        <f t="shared" si="23"/>
        <v>-6.995000000000001</v>
      </c>
      <c r="M80" s="48">
        <f t="shared" si="23"/>
        <v>-0.44400000000000006</v>
      </c>
      <c r="N80" s="48">
        <f t="shared" si="23"/>
        <v>2.0000000000000018E-3</v>
      </c>
      <c r="O80" s="48">
        <f t="shared" si="23"/>
        <v>-1.1859999999999999</v>
      </c>
      <c r="P80" s="48">
        <f t="shared" si="23"/>
        <v>-10.927</v>
      </c>
      <c r="Q80" s="48">
        <f t="shared" si="23"/>
        <v>10.792695999999999</v>
      </c>
      <c r="R80" s="48">
        <f t="shared" si="23"/>
        <v>-3.8840000000000003</v>
      </c>
      <c r="S80" s="48">
        <f t="shared" si="23"/>
        <v>-0.44000000000000017</v>
      </c>
      <c r="T80" s="48">
        <f t="shared" si="23"/>
        <v>44.215999999999994</v>
      </c>
      <c r="U80" s="48">
        <f t="shared" si="23"/>
        <v>4.5599999999999996</v>
      </c>
      <c r="V80" s="48">
        <f t="shared" si="23"/>
        <v>7.9590000000000014</v>
      </c>
      <c r="W80" s="48">
        <f t="shared" si="23"/>
        <v>-1064.992</v>
      </c>
      <c r="X80" s="48">
        <f t="shared" si="23"/>
        <v>0</v>
      </c>
      <c r="Y80" s="48">
        <f t="shared" si="23"/>
        <v>0</v>
      </c>
      <c r="Z80" s="48">
        <f t="shared" si="23"/>
        <v>0</v>
      </c>
      <c r="AA80" s="48">
        <f t="shared" si="23"/>
        <v>0</v>
      </c>
      <c r="AB80" s="48"/>
      <c r="AC80" s="41">
        <f>SUM(G80:AB80)</f>
        <v>-979.32030399999996</v>
      </c>
      <c r="AD80" s="5"/>
      <c r="AE80" s="21"/>
    </row>
    <row r="81" spans="1:31" x14ac:dyDescent="0.2">
      <c r="A81" s="18"/>
      <c r="G81" s="48"/>
      <c r="H81" s="48"/>
      <c r="I81" s="48"/>
      <c r="J81" s="48"/>
      <c r="K81" s="48"/>
      <c r="L81" s="48"/>
      <c r="M81" s="48"/>
      <c r="N81" s="48"/>
      <c r="O81" s="48"/>
      <c r="P81" s="48"/>
      <c r="Q81" s="48"/>
      <c r="R81" s="48"/>
      <c r="S81" s="48"/>
      <c r="T81" s="48"/>
      <c r="U81" s="48"/>
      <c r="V81" s="48"/>
      <c r="W81" s="48"/>
      <c r="X81" s="48"/>
      <c r="Y81" s="48"/>
      <c r="Z81" s="48"/>
      <c r="AA81" s="48"/>
      <c r="AB81" s="48"/>
      <c r="AC81" s="49"/>
      <c r="AD81" s="5"/>
      <c r="AE81" s="21"/>
    </row>
    <row r="82" spans="1:31" x14ac:dyDescent="0.2">
      <c r="A82" s="18"/>
      <c r="D82" s="8" t="s">
        <v>37</v>
      </c>
      <c r="G82" s="48">
        <f>G75+G80</f>
        <v>-73.638999999999996</v>
      </c>
      <c r="H82" s="48">
        <f>H75+H80</f>
        <v>-67.155999999999977</v>
      </c>
      <c r="I82" s="48">
        <f t="shared" ref="I82:AA82" si="24">I75+I80</f>
        <v>171.75300000000004</v>
      </c>
      <c r="J82" s="48">
        <f t="shared" si="24"/>
        <v>37.378</v>
      </c>
      <c r="K82" s="48">
        <f t="shared" si="24"/>
        <v>-0.55299999999999372</v>
      </c>
      <c r="L82" s="48">
        <f t="shared" si="24"/>
        <v>-18.003000000000011</v>
      </c>
      <c r="M82" s="48">
        <f t="shared" si="24"/>
        <v>9.9720000000000102</v>
      </c>
      <c r="N82" s="48">
        <f t="shared" si="24"/>
        <v>-11.641999999999991</v>
      </c>
      <c r="O82" s="48">
        <f t="shared" si="24"/>
        <v>-7.1450000000000102</v>
      </c>
      <c r="P82" s="48">
        <f t="shared" si="24"/>
        <v>-27.740999999999993</v>
      </c>
      <c r="Q82" s="48">
        <f t="shared" si="24"/>
        <v>36.399931999999993</v>
      </c>
      <c r="R82" s="48">
        <f t="shared" si="24"/>
        <v>-2.3369999999999909</v>
      </c>
      <c r="S82" s="48">
        <f t="shared" si="24"/>
        <v>5.9979999999999931</v>
      </c>
      <c r="T82" s="48">
        <f t="shared" si="24"/>
        <v>50.624999999999972</v>
      </c>
      <c r="U82" s="48">
        <f t="shared" si="24"/>
        <v>-2.5740000000000007</v>
      </c>
      <c r="V82" s="48">
        <f t="shared" si="24"/>
        <v>35.391000000000005</v>
      </c>
      <c r="W82" s="48">
        <f t="shared" si="24"/>
        <v>-1293.1309999999999</v>
      </c>
      <c r="X82" s="48">
        <f t="shared" si="24"/>
        <v>0</v>
      </c>
      <c r="Y82" s="48">
        <f t="shared" si="24"/>
        <v>0</v>
      </c>
      <c r="Z82" s="48">
        <f t="shared" si="24"/>
        <v>0</v>
      </c>
      <c r="AA82" s="48">
        <f t="shared" si="24"/>
        <v>0</v>
      </c>
      <c r="AB82" s="48"/>
      <c r="AC82" s="41">
        <f>SUM(G82:AB82)</f>
        <v>-1156.4040679999998</v>
      </c>
      <c r="AD82" s="5"/>
      <c r="AE82" s="21"/>
    </row>
    <row r="83" spans="1:31" x14ac:dyDescent="0.2">
      <c r="A83" s="18"/>
      <c r="G83" s="48"/>
      <c r="H83" s="48"/>
      <c r="I83" s="48"/>
      <c r="J83" s="48"/>
      <c r="K83" s="48"/>
      <c r="L83" s="48"/>
      <c r="M83" s="48"/>
      <c r="N83" s="48"/>
      <c r="O83" s="48"/>
      <c r="P83" s="48"/>
      <c r="Q83" s="48"/>
      <c r="R83" s="48"/>
      <c r="S83" s="48"/>
      <c r="T83" s="48"/>
      <c r="U83" s="48"/>
      <c r="V83" s="48"/>
      <c r="W83" s="48"/>
      <c r="X83" s="48"/>
      <c r="Y83" s="48"/>
      <c r="Z83" s="48"/>
      <c r="AA83" s="48"/>
      <c r="AB83" s="48"/>
      <c r="AC83" s="49"/>
      <c r="AD83" s="5"/>
      <c r="AE83" s="21"/>
    </row>
    <row r="84" spans="1:31" x14ac:dyDescent="0.2">
      <c r="A84" s="18"/>
      <c r="B84" s="8" t="s">
        <v>38</v>
      </c>
      <c r="G84" s="48"/>
      <c r="H84" s="48"/>
      <c r="I84" s="48"/>
      <c r="J84" s="48"/>
      <c r="K84" s="48"/>
      <c r="L84" s="48"/>
      <c r="M84" s="48"/>
      <c r="N84" s="48"/>
      <c r="O84" s="48"/>
      <c r="P84" s="48"/>
      <c r="Q84" s="48"/>
      <c r="R84" s="48"/>
      <c r="S84" s="48"/>
      <c r="T84" s="48"/>
      <c r="U84" s="48"/>
      <c r="V84" s="48"/>
      <c r="W84" s="48"/>
      <c r="X84" s="48"/>
      <c r="Y84" s="48"/>
      <c r="Z84" s="48"/>
      <c r="AA84" s="48"/>
      <c r="AB84" s="48"/>
      <c r="AC84" s="49"/>
      <c r="AD84" s="5"/>
      <c r="AE84" s="21"/>
    </row>
    <row r="85" spans="1:31" x14ac:dyDescent="0.2">
      <c r="A85" s="18"/>
      <c r="D85" s="2" t="s">
        <v>16</v>
      </c>
      <c r="G85" s="48">
        <v>25.620999999999999</v>
      </c>
      <c r="H85" s="48">
        <f>15.763</f>
        <v>15.763</v>
      </c>
      <c r="I85" s="48">
        <v>5.4450000000000003</v>
      </c>
      <c r="J85" s="48">
        <v>1.391</v>
      </c>
      <c r="K85" s="48">
        <f>0.554</f>
        <v>0.55400000000000005</v>
      </c>
      <c r="L85" s="48">
        <v>23.969000000000001</v>
      </c>
      <c r="M85" s="48">
        <f>49.15</f>
        <v>49.15</v>
      </c>
      <c r="N85" s="48">
        <f>4.26</f>
        <v>4.26</v>
      </c>
      <c r="O85" s="48">
        <v>2.8000000000000001E-2</v>
      </c>
      <c r="P85" s="48">
        <v>7.569</v>
      </c>
      <c r="Q85" s="48">
        <v>16.3</v>
      </c>
      <c r="R85" s="48">
        <v>6.9249999999999998</v>
      </c>
      <c r="S85" s="48">
        <v>2.1800000000000002</v>
      </c>
      <c r="T85" s="48">
        <v>219.97</v>
      </c>
      <c r="U85" s="48">
        <v>143.625</v>
      </c>
      <c r="V85" s="48">
        <v>2.802</v>
      </c>
      <c r="W85" s="48">
        <v>0</v>
      </c>
      <c r="X85" s="48">
        <v>0</v>
      </c>
      <c r="Y85" s="48">
        <v>0</v>
      </c>
      <c r="Z85" s="48">
        <v>0</v>
      </c>
      <c r="AA85" s="48">
        <v>0</v>
      </c>
      <c r="AB85" s="48"/>
      <c r="AC85" s="41">
        <f>SUM(G85:AB85)</f>
        <v>525.55200000000002</v>
      </c>
      <c r="AD85" s="5"/>
      <c r="AE85" s="21"/>
    </row>
    <row r="86" spans="1:31" x14ac:dyDescent="0.2">
      <c r="A86" s="18"/>
      <c r="D86" s="2" t="s">
        <v>17</v>
      </c>
      <c r="G86" s="50">
        <v>-19.632000000000001</v>
      </c>
      <c r="H86" s="50">
        <v>-0.879</v>
      </c>
      <c r="I86" s="50">
        <v>-7.32</v>
      </c>
      <c r="J86" s="50">
        <v>-5.7290000000000001</v>
      </c>
      <c r="K86" s="50">
        <v>-7.8929999999999998</v>
      </c>
      <c r="L86" s="50">
        <v>-3.3809999999999998</v>
      </c>
      <c r="M86" s="50">
        <f>-15.729</f>
        <v>-15.728999999999999</v>
      </c>
      <c r="N86" s="50">
        <v>-1.31</v>
      </c>
      <c r="O86" s="50">
        <f>-0.936</f>
        <v>-0.93600000000000005</v>
      </c>
      <c r="P86" s="50">
        <f>-3.093</f>
        <v>-3.093</v>
      </c>
      <c r="Q86" s="50">
        <f>-14.743255-2.724595</f>
        <v>-17.467849999999999</v>
      </c>
      <c r="R86" s="50">
        <v>-199.036</v>
      </c>
      <c r="S86" s="50">
        <v>-7.181</v>
      </c>
      <c r="T86" s="50">
        <f>-231.933</f>
        <v>-231.93299999999999</v>
      </c>
      <c r="U86" s="50">
        <v>-6.7190000000000003</v>
      </c>
      <c r="V86" s="50">
        <f>-26.618+8.487</f>
        <v>-18.131</v>
      </c>
      <c r="W86" s="50">
        <v>-31.280999999999999</v>
      </c>
      <c r="X86" s="50">
        <v>0</v>
      </c>
      <c r="Y86" s="50">
        <v>0</v>
      </c>
      <c r="Z86" s="50">
        <v>0</v>
      </c>
      <c r="AA86" s="50">
        <v>0</v>
      </c>
      <c r="AB86" s="48"/>
      <c r="AC86" s="42">
        <f>SUM(G86:AB86)</f>
        <v>-577.65084999999988</v>
      </c>
      <c r="AD86" s="5"/>
      <c r="AE86" s="21"/>
    </row>
    <row r="87" spans="1:31" x14ac:dyDescent="0.2">
      <c r="A87" s="18"/>
      <c r="D87" s="2" t="s">
        <v>35</v>
      </c>
      <c r="G87" s="48">
        <f>SUM(G85:G86)</f>
        <v>5.9889999999999972</v>
      </c>
      <c r="H87" s="48">
        <f>SUM(H85:H86)</f>
        <v>14.884</v>
      </c>
      <c r="I87" s="48">
        <f t="shared" ref="I87:AA87" si="25">SUM(I85:I86)</f>
        <v>-1.875</v>
      </c>
      <c r="J87" s="48">
        <f t="shared" si="25"/>
        <v>-4.3380000000000001</v>
      </c>
      <c r="K87" s="48">
        <f t="shared" si="25"/>
        <v>-7.3389999999999995</v>
      </c>
      <c r="L87" s="48">
        <f t="shared" si="25"/>
        <v>20.588000000000001</v>
      </c>
      <c r="M87" s="48">
        <f t="shared" si="25"/>
        <v>33.420999999999999</v>
      </c>
      <c r="N87" s="48">
        <f t="shared" si="25"/>
        <v>2.9499999999999997</v>
      </c>
      <c r="O87" s="48">
        <f t="shared" si="25"/>
        <v>-0.90800000000000003</v>
      </c>
      <c r="P87" s="48">
        <f t="shared" si="25"/>
        <v>4.476</v>
      </c>
      <c r="Q87" s="48">
        <f t="shared" si="25"/>
        <v>-1.1678499999999978</v>
      </c>
      <c r="R87" s="48">
        <f t="shared" si="25"/>
        <v>-192.11099999999999</v>
      </c>
      <c r="S87" s="48">
        <f t="shared" si="25"/>
        <v>-5.0009999999999994</v>
      </c>
      <c r="T87" s="48">
        <f t="shared" si="25"/>
        <v>-11.962999999999994</v>
      </c>
      <c r="U87" s="48">
        <f t="shared" si="25"/>
        <v>136.90600000000001</v>
      </c>
      <c r="V87" s="48">
        <f t="shared" si="25"/>
        <v>-15.329000000000001</v>
      </c>
      <c r="W87" s="48">
        <f t="shared" si="25"/>
        <v>-31.280999999999999</v>
      </c>
      <c r="X87" s="48">
        <f t="shared" si="25"/>
        <v>0</v>
      </c>
      <c r="Y87" s="48">
        <f t="shared" si="25"/>
        <v>0</v>
      </c>
      <c r="Z87" s="48">
        <f t="shared" si="25"/>
        <v>0</v>
      </c>
      <c r="AA87" s="48">
        <f t="shared" si="25"/>
        <v>0</v>
      </c>
      <c r="AB87" s="48"/>
      <c r="AC87" s="49">
        <f>SUM(AC85:AC86)</f>
        <v>-52.098849999999857</v>
      </c>
      <c r="AD87" s="5"/>
      <c r="AE87" s="21"/>
    </row>
    <row r="88" spans="1:31" x14ac:dyDescent="0.2">
      <c r="A88" s="18"/>
      <c r="G88" s="48"/>
      <c r="H88" s="48"/>
      <c r="I88" s="48"/>
      <c r="J88" s="48"/>
      <c r="K88" s="48"/>
      <c r="L88" s="48"/>
      <c r="M88" s="48"/>
      <c r="N88" s="48"/>
      <c r="O88" s="48"/>
      <c r="P88" s="48"/>
      <c r="Q88" s="48"/>
      <c r="R88" s="48"/>
      <c r="S88" s="48"/>
      <c r="T88" s="48"/>
      <c r="U88" s="48"/>
      <c r="V88" s="48"/>
      <c r="W88" s="48"/>
      <c r="X88" s="48"/>
      <c r="Y88" s="48"/>
      <c r="Z88" s="48"/>
      <c r="AA88" s="48"/>
      <c r="AB88" s="48"/>
      <c r="AC88" s="49"/>
      <c r="AD88" s="5"/>
      <c r="AE88" s="21"/>
    </row>
    <row r="89" spans="1:31" x14ac:dyDescent="0.2">
      <c r="A89" s="18"/>
      <c r="B89" s="18" t="s">
        <v>39</v>
      </c>
      <c r="G89" s="48">
        <f>G87+G82</f>
        <v>-67.650000000000006</v>
      </c>
      <c r="H89" s="48">
        <f>H87+H82</f>
        <v>-52.271999999999977</v>
      </c>
      <c r="I89" s="48">
        <f t="shared" ref="I89:AA89" si="26">I87+I82</f>
        <v>169.87800000000004</v>
      </c>
      <c r="J89" s="48">
        <f t="shared" si="26"/>
        <v>33.04</v>
      </c>
      <c r="K89" s="48">
        <f t="shared" si="26"/>
        <v>-7.8919999999999932</v>
      </c>
      <c r="L89" s="48">
        <f t="shared" si="26"/>
        <v>2.5849999999999902</v>
      </c>
      <c r="M89" s="48">
        <f t="shared" si="26"/>
        <v>43.393000000000008</v>
      </c>
      <c r="N89" s="48">
        <f t="shared" si="26"/>
        <v>-8.6919999999999913</v>
      </c>
      <c r="O89" s="48">
        <f t="shared" si="26"/>
        <v>-8.0530000000000097</v>
      </c>
      <c r="P89" s="48">
        <f t="shared" si="26"/>
        <v>-23.264999999999993</v>
      </c>
      <c r="Q89" s="48">
        <f t="shared" si="26"/>
        <v>35.232081999999991</v>
      </c>
      <c r="R89" s="48">
        <f t="shared" si="26"/>
        <v>-194.44799999999998</v>
      </c>
      <c r="S89" s="48">
        <f t="shared" si="26"/>
        <v>0.99699999999999367</v>
      </c>
      <c r="T89" s="48">
        <f t="shared" si="26"/>
        <v>38.661999999999978</v>
      </c>
      <c r="U89" s="48">
        <f t="shared" si="26"/>
        <v>134.33199999999999</v>
      </c>
      <c r="V89" s="48">
        <f t="shared" si="26"/>
        <v>20.062000000000005</v>
      </c>
      <c r="W89" s="48">
        <f t="shared" si="26"/>
        <v>-1324.4119999999998</v>
      </c>
      <c r="X89" s="48">
        <f t="shared" si="26"/>
        <v>0</v>
      </c>
      <c r="Y89" s="48">
        <f t="shared" si="26"/>
        <v>0</v>
      </c>
      <c r="Z89" s="48">
        <f t="shared" si="26"/>
        <v>0</v>
      </c>
      <c r="AA89" s="48">
        <f t="shared" si="26"/>
        <v>0</v>
      </c>
      <c r="AB89" s="48"/>
      <c r="AC89" s="49">
        <f>AC87+AC82</f>
        <v>-1208.5029179999997</v>
      </c>
      <c r="AD89" s="5"/>
      <c r="AE89" s="21"/>
    </row>
    <row r="90" spans="1:31" x14ac:dyDescent="0.2">
      <c r="A90" s="18"/>
      <c r="B90" s="18"/>
      <c r="G90" s="48"/>
      <c r="H90" s="48"/>
      <c r="I90" s="48"/>
      <c r="J90" s="48"/>
      <c r="K90" s="48"/>
      <c r="L90" s="48"/>
      <c r="M90" s="48"/>
      <c r="N90" s="48"/>
      <c r="O90" s="48"/>
      <c r="P90" s="48"/>
      <c r="Q90" s="48"/>
      <c r="R90" s="48"/>
      <c r="S90" s="48"/>
      <c r="T90" s="48"/>
      <c r="U90" s="48"/>
      <c r="V90" s="48"/>
      <c r="W90" s="48"/>
      <c r="X90" s="48"/>
      <c r="Y90" s="48"/>
      <c r="Z90" s="48"/>
      <c r="AA90" s="48"/>
      <c r="AB90" s="48"/>
      <c r="AC90" s="49"/>
      <c r="AD90" s="5"/>
      <c r="AE90" s="21"/>
    </row>
    <row r="91" spans="1:31" x14ac:dyDescent="0.2">
      <c r="A91" s="18" t="s">
        <v>40</v>
      </c>
      <c r="B91" s="18"/>
      <c r="G91" s="48"/>
      <c r="H91" s="48"/>
      <c r="I91" s="48"/>
      <c r="J91" s="48"/>
      <c r="K91" s="48"/>
      <c r="L91" s="48"/>
      <c r="M91" s="48"/>
      <c r="N91" s="48"/>
      <c r="O91" s="48"/>
      <c r="P91" s="48"/>
      <c r="Q91" s="48"/>
      <c r="R91" s="48"/>
      <c r="S91" s="48"/>
      <c r="T91" s="48"/>
      <c r="U91" s="48"/>
      <c r="V91" s="48"/>
      <c r="W91" s="48"/>
      <c r="X91" s="48"/>
      <c r="Y91" s="48"/>
      <c r="Z91" s="48"/>
      <c r="AA91" s="48"/>
      <c r="AB91" s="48"/>
      <c r="AC91" s="49"/>
      <c r="AD91" s="5"/>
      <c r="AE91" s="21"/>
    </row>
    <row r="92" spans="1:31" x14ac:dyDescent="0.2">
      <c r="A92" s="18"/>
      <c r="B92" s="18"/>
      <c r="C92" s="18" t="s">
        <v>41</v>
      </c>
      <c r="G92" s="48"/>
      <c r="H92" s="48"/>
      <c r="I92" s="48"/>
      <c r="J92" s="48"/>
      <c r="K92" s="48"/>
      <c r="L92" s="48"/>
      <c r="M92" s="48"/>
      <c r="N92" s="48"/>
      <c r="O92" s="48"/>
      <c r="P92" s="48"/>
      <c r="Q92" s="48"/>
      <c r="R92" s="48"/>
      <c r="S92" s="48"/>
      <c r="T92" s="48"/>
      <c r="U92" s="48"/>
      <c r="V92" s="48"/>
      <c r="W92" s="48"/>
      <c r="X92" s="48"/>
      <c r="Y92" s="48"/>
      <c r="Z92" s="48"/>
      <c r="AA92" s="48"/>
      <c r="AB92" s="48"/>
      <c r="AC92" s="49"/>
      <c r="AD92" s="5"/>
      <c r="AE92" s="21"/>
    </row>
    <row r="93" spans="1:31" x14ac:dyDescent="0.2">
      <c r="A93" s="18"/>
      <c r="B93" s="18"/>
      <c r="D93" s="2" t="s">
        <v>175</v>
      </c>
      <c r="E93" s="51"/>
      <c r="G93" s="48">
        <v>0</v>
      </c>
      <c r="H93" s="48">
        <v>0</v>
      </c>
      <c r="I93" s="48">
        <v>0</v>
      </c>
      <c r="J93" s="48">
        <v>0</v>
      </c>
      <c r="K93" s="48">
        <v>0</v>
      </c>
      <c r="L93" s="48">
        <v>0</v>
      </c>
      <c r="M93" s="48">
        <v>0</v>
      </c>
      <c r="N93" s="48">
        <v>0</v>
      </c>
      <c r="O93" s="48">
        <v>0</v>
      </c>
      <c r="P93" s="48">
        <v>0</v>
      </c>
      <c r="Q93" s="48">
        <v>0</v>
      </c>
      <c r="R93" s="48">
        <v>0</v>
      </c>
      <c r="S93" s="48">
        <v>0</v>
      </c>
      <c r="T93" s="48">
        <v>0</v>
      </c>
      <c r="U93" s="48">
        <v>-3.7</v>
      </c>
      <c r="V93" s="48">
        <v>0</v>
      </c>
      <c r="W93" s="48">
        <v>0</v>
      </c>
      <c r="X93" s="48">
        <v>0</v>
      </c>
      <c r="Y93" s="48">
        <v>0</v>
      </c>
      <c r="Z93" s="48">
        <v>0</v>
      </c>
      <c r="AA93" s="48">
        <v>0</v>
      </c>
      <c r="AB93" s="48"/>
      <c r="AC93" s="41">
        <f t="shared" ref="AC93:AC98" si="27">SUM(G93:AB93)</f>
        <v>-3.7</v>
      </c>
      <c r="AD93" s="5"/>
      <c r="AE93" s="31">
        <v>-167.268</v>
      </c>
    </row>
    <row r="94" spans="1:31" hidden="1" x14ac:dyDescent="0.2">
      <c r="A94" s="18"/>
      <c r="B94" s="18"/>
      <c r="D94" s="51" t="s">
        <v>42</v>
      </c>
      <c r="E94" s="51"/>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c r="AC94" s="41">
        <f t="shared" si="27"/>
        <v>0</v>
      </c>
      <c r="AD94" s="5"/>
      <c r="AE94" s="31"/>
    </row>
    <row r="95" spans="1:31" hidden="1" x14ac:dyDescent="0.2">
      <c r="A95" s="18"/>
      <c r="B95" s="18"/>
      <c r="D95" s="51" t="s">
        <v>43</v>
      </c>
      <c r="E95" s="51"/>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c r="AC95" s="41">
        <f t="shared" si="27"/>
        <v>0</v>
      </c>
      <c r="AD95" s="5"/>
      <c r="AE95" s="31">
        <v>-1.25</v>
      </c>
    </row>
    <row r="96" spans="1:31" hidden="1" x14ac:dyDescent="0.2">
      <c r="A96" s="18"/>
      <c r="B96" s="18"/>
      <c r="D96" s="51" t="s">
        <v>44</v>
      </c>
      <c r="E96" s="51"/>
      <c r="G96" s="48">
        <v>0</v>
      </c>
      <c r="H96" s="48">
        <v>0</v>
      </c>
      <c r="I96" s="48">
        <v>0</v>
      </c>
      <c r="J96" s="48">
        <v>0</v>
      </c>
      <c r="K96" s="48">
        <v>0</v>
      </c>
      <c r="L96" s="48">
        <v>0</v>
      </c>
      <c r="M96" s="48">
        <v>0</v>
      </c>
      <c r="N96" s="48">
        <v>0</v>
      </c>
      <c r="O96" s="48">
        <v>0</v>
      </c>
      <c r="P96" s="48">
        <v>0</v>
      </c>
      <c r="Q96" s="48">
        <v>0</v>
      </c>
      <c r="R96" s="48">
        <v>0</v>
      </c>
      <c r="S96" s="48">
        <v>0</v>
      </c>
      <c r="T96" s="48">
        <v>0</v>
      </c>
      <c r="U96" s="48">
        <v>0</v>
      </c>
      <c r="V96" s="48">
        <v>0</v>
      </c>
      <c r="W96" s="48">
        <v>0</v>
      </c>
      <c r="X96" s="48">
        <v>0</v>
      </c>
      <c r="Y96" s="48">
        <v>0</v>
      </c>
      <c r="Z96" s="48">
        <v>0</v>
      </c>
      <c r="AA96" s="48">
        <v>0</v>
      </c>
      <c r="AB96" s="48"/>
      <c r="AC96" s="41">
        <f t="shared" si="27"/>
        <v>0</v>
      </c>
      <c r="AD96" s="5"/>
      <c r="AE96" s="31">
        <v>-25.3</v>
      </c>
    </row>
    <row r="97" spans="1:32" x14ac:dyDescent="0.2">
      <c r="A97" s="18"/>
      <c r="B97" s="18"/>
      <c r="D97" s="87" t="s">
        <v>176</v>
      </c>
      <c r="E97" s="51"/>
      <c r="G97" s="48">
        <v>0</v>
      </c>
      <c r="H97" s="48">
        <v>0</v>
      </c>
      <c r="I97" s="48">
        <v>0</v>
      </c>
      <c r="J97" s="48">
        <v>0</v>
      </c>
      <c r="K97" s="48">
        <v>0</v>
      </c>
      <c r="L97" s="48">
        <v>0</v>
      </c>
      <c r="M97" s="48">
        <v>0</v>
      </c>
      <c r="N97" s="48">
        <v>0</v>
      </c>
      <c r="O97" s="48">
        <v>0</v>
      </c>
      <c r="P97" s="48">
        <v>0</v>
      </c>
      <c r="Q97" s="48">
        <v>0</v>
      </c>
      <c r="R97" s="48">
        <v>0</v>
      </c>
      <c r="S97" s="48">
        <v>0</v>
      </c>
      <c r="T97" s="48">
        <v>0</v>
      </c>
      <c r="U97" s="48">
        <v>0</v>
      </c>
      <c r="V97" s="48">
        <v>0</v>
      </c>
      <c r="W97" s="48">
        <v>-3</v>
      </c>
      <c r="X97" s="48">
        <v>0</v>
      </c>
      <c r="Y97" s="48">
        <v>0</v>
      </c>
      <c r="Z97" s="48">
        <v>0</v>
      </c>
      <c r="AA97" s="48">
        <v>0</v>
      </c>
      <c r="AB97" s="48"/>
      <c r="AC97" s="41">
        <f t="shared" si="27"/>
        <v>-3</v>
      </c>
      <c r="AD97" s="5"/>
      <c r="AE97" s="31"/>
    </row>
    <row r="98" spans="1:32" hidden="1" x14ac:dyDescent="0.2">
      <c r="A98" s="18"/>
      <c r="B98" s="18"/>
      <c r="D98" s="51" t="s">
        <v>45</v>
      </c>
      <c r="E98" s="51"/>
      <c r="G98" s="48">
        <v>0</v>
      </c>
      <c r="H98" s="48">
        <v>0</v>
      </c>
      <c r="I98" s="48">
        <v>0</v>
      </c>
      <c r="J98" s="48">
        <v>0</v>
      </c>
      <c r="K98" s="48">
        <v>0</v>
      </c>
      <c r="L98" s="48">
        <v>0</v>
      </c>
      <c r="M98" s="48">
        <v>0</v>
      </c>
      <c r="N98" s="48">
        <v>0</v>
      </c>
      <c r="O98" s="48">
        <v>0</v>
      </c>
      <c r="P98" s="48">
        <v>0</v>
      </c>
      <c r="Q98" s="48">
        <v>0</v>
      </c>
      <c r="R98" s="48">
        <v>0</v>
      </c>
      <c r="S98" s="48">
        <v>0</v>
      </c>
      <c r="T98" s="48">
        <v>0</v>
      </c>
      <c r="U98" s="48">
        <v>0</v>
      </c>
      <c r="V98" s="48">
        <v>0</v>
      </c>
      <c r="W98" s="48">
        <v>0</v>
      </c>
      <c r="X98" s="48">
        <v>0</v>
      </c>
      <c r="Y98" s="48">
        <v>0</v>
      </c>
      <c r="Z98" s="48">
        <v>0</v>
      </c>
      <c r="AA98" s="48">
        <v>0</v>
      </c>
      <c r="AB98" s="48"/>
      <c r="AC98" s="41">
        <f t="shared" si="27"/>
        <v>0</v>
      </c>
      <c r="AD98" s="5"/>
      <c r="AE98" s="31">
        <v>-2.6</v>
      </c>
    </row>
    <row r="99" spans="1:32" x14ac:dyDescent="0.2">
      <c r="A99" s="18"/>
      <c r="B99" s="18"/>
      <c r="C99" s="18" t="s">
        <v>46</v>
      </c>
      <c r="D99" s="51"/>
      <c r="E99" s="51"/>
      <c r="G99" s="48"/>
      <c r="H99" s="48"/>
      <c r="I99" s="48"/>
      <c r="J99" s="48"/>
      <c r="K99" s="48"/>
      <c r="L99" s="48"/>
      <c r="M99" s="48"/>
      <c r="N99" s="48"/>
      <c r="O99" s="48"/>
      <c r="P99" s="48"/>
      <c r="Q99" s="48"/>
      <c r="R99" s="48"/>
      <c r="S99" s="48"/>
      <c r="T99" s="48"/>
      <c r="U99" s="48"/>
      <c r="V99" s="48"/>
      <c r="W99" s="48"/>
      <c r="X99" s="48"/>
      <c r="Y99" s="48"/>
      <c r="Z99" s="48"/>
      <c r="AA99" s="48"/>
      <c r="AB99" s="48"/>
      <c r="AC99" s="41"/>
      <c r="AD99" s="5"/>
      <c r="AE99" s="31"/>
    </row>
    <row r="100" spans="1:32" x14ac:dyDescent="0.2">
      <c r="A100" s="18"/>
      <c r="B100" s="18"/>
      <c r="C100" s="18"/>
      <c r="D100" s="51" t="s">
        <v>47</v>
      </c>
      <c r="E100" s="51"/>
      <c r="G100" s="48">
        <v>352.5</v>
      </c>
      <c r="H100" s="48">
        <v>0</v>
      </c>
      <c r="I100" s="48">
        <v>0</v>
      </c>
      <c r="J100" s="48">
        <v>0</v>
      </c>
      <c r="K100" s="48">
        <v>0</v>
      </c>
      <c r="L100" s="48">
        <v>0</v>
      </c>
      <c r="M100" s="48">
        <v>0</v>
      </c>
      <c r="N100" s="48">
        <v>0</v>
      </c>
      <c r="O100" s="48">
        <v>0</v>
      </c>
      <c r="P100" s="48">
        <v>0</v>
      </c>
      <c r="Q100" s="48">
        <v>0</v>
      </c>
      <c r="R100" s="48">
        <v>0</v>
      </c>
      <c r="S100" s="48">
        <v>0</v>
      </c>
      <c r="T100" s="48">
        <v>0</v>
      </c>
      <c r="U100" s="48">
        <v>0</v>
      </c>
      <c r="V100" s="48">
        <v>0</v>
      </c>
      <c r="W100" s="48">
        <v>0</v>
      </c>
      <c r="X100" s="48">
        <v>0</v>
      </c>
      <c r="Y100" s="48">
        <v>0</v>
      </c>
      <c r="Z100" s="48">
        <v>0</v>
      </c>
      <c r="AA100" s="48">
        <v>0</v>
      </c>
      <c r="AB100" s="48"/>
      <c r="AC100" s="41">
        <f>SUM(G100:AB100)</f>
        <v>352.5</v>
      </c>
      <c r="AD100" s="5"/>
      <c r="AE100" s="31">
        <v>-1.6719999999999999</v>
      </c>
    </row>
    <row r="101" spans="1:32" x14ac:dyDescent="0.2">
      <c r="A101" s="18"/>
      <c r="B101" s="18"/>
      <c r="C101" s="18"/>
      <c r="D101" s="51" t="s">
        <v>48</v>
      </c>
      <c r="E101" s="51"/>
      <c r="G101" s="48">
        <f>100.148</f>
        <v>100.148</v>
      </c>
      <c r="H101" s="48">
        <v>0</v>
      </c>
      <c r="I101" s="48">
        <v>0</v>
      </c>
      <c r="J101" s="48">
        <v>0</v>
      </c>
      <c r="K101" s="48">
        <v>0</v>
      </c>
      <c r="L101" s="48">
        <v>0</v>
      </c>
      <c r="M101" s="48">
        <v>0</v>
      </c>
      <c r="N101" s="48">
        <v>0</v>
      </c>
      <c r="O101" s="48">
        <v>0</v>
      </c>
      <c r="P101" s="48">
        <v>0</v>
      </c>
      <c r="Q101" s="48">
        <v>0</v>
      </c>
      <c r="R101" s="48">
        <v>0</v>
      </c>
      <c r="S101" s="48">
        <v>0</v>
      </c>
      <c r="T101" s="48">
        <v>0</v>
      </c>
      <c r="U101" s="48">
        <v>0</v>
      </c>
      <c r="V101" s="48">
        <v>0</v>
      </c>
      <c r="W101" s="48">
        <v>0</v>
      </c>
      <c r="X101" s="48">
        <v>0</v>
      </c>
      <c r="Y101" s="48">
        <v>0</v>
      </c>
      <c r="Z101" s="48">
        <v>0</v>
      </c>
      <c r="AA101" s="48">
        <v>0</v>
      </c>
      <c r="AB101" s="48"/>
      <c r="AC101" s="41">
        <f>SUM(G101:AB101)</f>
        <v>100.148</v>
      </c>
      <c r="AD101" s="5"/>
      <c r="AE101" s="31">
        <v>-0.31900000000000001</v>
      </c>
    </row>
    <row r="102" spans="1:32" x14ac:dyDescent="0.2">
      <c r="A102" s="18"/>
      <c r="B102" s="18"/>
      <c r="C102" s="18"/>
      <c r="D102" s="51" t="s">
        <v>49</v>
      </c>
      <c r="E102" s="51"/>
      <c r="G102" s="48">
        <v>274</v>
      </c>
      <c r="H102" s="48">
        <v>0</v>
      </c>
      <c r="I102" s="48">
        <v>0</v>
      </c>
      <c r="J102" s="48">
        <v>0</v>
      </c>
      <c r="K102" s="48">
        <v>0</v>
      </c>
      <c r="L102" s="48">
        <v>0</v>
      </c>
      <c r="M102" s="48">
        <v>0</v>
      </c>
      <c r="N102" s="48">
        <v>0</v>
      </c>
      <c r="O102" s="48">
        <v>0</v>
      </c>
      <c r="P102" s="48">
        <v>0</v>
      </c>
      <c r="Q102" s="48">
        <v>0</v>
      </c>
      <c r="R102" s="48">
        <v>0</v>
      </c>
      <c r="S102" s="48">
        <v>0</v>
      </c>
      <c r="T102" s="48">
        <v>0</v>
      </c>
      <c r="U102" s="48">
        <v>0</v>
      </c>
      <c r="V102" s="48">
        <v>0</v>
      </c>
      <c r="W102" s="48">
        <v>0</v>
      </c>
      <c r="X102" s="48">
        <v>0</v>
      </c>
      <c r="Y102" s="48">
        <v>0</v>
      </c>
      <c r="Z102" s="48">
        <v>0</v>
      </c>
      <c r="AA102" s="48">
        <v>0</v>
      </c>
      <c r="AB102" s="48"/>
      <c r="AC102" s="41">
        <f>SUM(G102:AB102)</f>
        <v>274</v>
      </c>
      <c r="AD102" s="5"/>
      <c r="AE102" s="84">
        <v>-0.155</v>
      </c>
    </row>
    <row r="103" spans="1:32" x14ac:dyDescent="0.2">
      <c r="A103" s="18"/>
      <c r="B103" s="18"/>
      <c r="C103" s="18" t="s">
        <v>50</v>
      </c>
      <c r="D103" s="51"/>
      <c r="E103" s="51"/>
      <c r="G103" s="48"/>
      <c r="H103" s="48"/>
      <c r="I103" s="48"/>
      <c r="J103" s="48"/>
      <c r="K103" s="48"/>
      <c r="L103" s="48"/>
      <c r="M103" s="48"/>
      <c r="N103" s="48"/>
      <c r="O103" s="48"/>
      <c r="P103" s="48"/>
      <c r="Q103" s="48"/>
      <c r="R103" s="48"/>
      <c r="S103" s="48"/>
      <c r="T103" s="48"/>
      <c r="U103" s="48"/>
      <c r="V103" s="48"/>
      <c r="W103" s="48"/>
      <c r="X103" s="48"/>
      <c r="Y103" s="48"/>
      <c r="Z103" s="48"/>
      <c r="AA103" s="48"/>
      <c r="AB103" s="48"/>
      <c r="AC103" s="49"/>
      <c r="AD103" s="5"/>
      <c r="AE103" s="21"/>
    </row>
    <row r="104" spans="1:32" x14ac:dyDescent="0.2">
      <c r="A104" s="18"/>
      <c r="B104" s="18"/>
      <c r="C104" s="18"/>
      <c r="D104" s="51" t="s">
        <v>174</v>
      </c>
      <c r="E104" s="51"/>
      <c r="G104" s="48">
        <v>0</v>
      </c>
      <c r="H104" s="48">
        <v>0</v>
      </c>
      <c r="I104" s="48">
        <v>0</v>
      </c>
      <c r="J104" s="48">
        <v>0</v>
      </c>
      <c r="K104" s="48">
        <v>0</v>
      </c>
      <c r="L104" s="48">
        <v>0</v>
      </c>
      <c r="M104" s="48">
        <v>0</v>
      </c>
      <c r="N104" s="48">
        <v>0</v>
      </c>
      <c r="O104" s="48">
        <v>0</v>
      </c>
      <c r="P104" s="48">
        <v>0</v>
      </c>
      <c r="Q104" s="48">
        <v>-1.222</v>
      </c>
      <c r="R104" s="48">
        <v>0</v>
      </c>
      <c r="S104" s="48">
        <v>0</v>
      </c>
      <c r="T104" s="48">
        <v>0</v>
      </c>
      <c r="U104" s="48">
        <v>0</v>
      </c>
      <c r="V104" s="48">
        <v>0</v>
      </c>
      <c r="W104" s="48">
        <v>0</v>
      </c>
      <c r="X104" s="48">
        <v>0</v>
      </c>
      <c r="Y104" s="48">
        <v>0</v>
      </c>
      <c r="Z104" s="48">
        <v>0</v>
      </c>
      <c r="AA104" s="48">
        <v>0</v>
      </c>
      <c r="AB104" s="48"/>
      <c r="AC104" s="41">
        <f t="shared" ref="AC104:AC113" si="28">SUM(G104:AB104)</f>
        <v>-1.222</v>
      </c>
      <c r="AD104" s="5"/>
      <c r="AE104" s="84">
        <v>1036.752</v>
      </c>
    </row>
    <row r="105" spans="1:32" hidden="1" x14ac:dyDescent="0.2">
      <c r="A105" s="18"/>
      <c r="B105" s="18"/>
      <c r="C105" s="18"/>
      <c r="D105" s="51" t="s">
        <v>51</v>
      </c>
      <c r="E105" s="51"/>
      <c r="G105" s="48">
        <v>0</v>
      </c>
      <c r="H105" s="48">
        <v>0</v>
      </c>
      <c r="I105" s="48">
        <v>0</v>
      </c>
      <c r="J105" s="48">
        <v>0</v>
      </c>
      <c r="K105" s="48">
        <v>0</v>
      </c>
      <c r="L105" s="48">
        <v>0</v>
      </c>
      <c r="M105" s="48">
        <v>0</v>
      </c>
      <c r="N105" s="48">
        <v>0</v>
      </c>
      <c r="O105" s="48">
        <v>0</v>
      </c>
      <c r="P105" s="48">
        <v>0</v>
      </c>
      <c r="Q105" s="48">
        <v>0</v>
      </c>
      <c r="R105" s="48">
        <v>0</v>
      </c>
      <c r="S105" s="48">
        <v>0</v>
      </c>
      <c r="T105" s="48">
        <v>0</v>
      </c>
      <c r="U105" s="48">
        <v>0</v>
      </c>
      <c r="V105" s="48">
        <v>0</v>
      </c>
      <c r="W105" s="48">
        <v>0</v>
      </c>
      <c r="X105" s="48">
        <v>0</v>
      </c>
      <c r="Y105" s="48">
        <v>0</v>
      </c>
      <c r="Z105" s="48">
        <v>0</v>
      </c>
      <c r="AA105" s="48">
        <v>0</v>
      </c>
      <c r="AB105" s="48"/>
      <c r="AC105" s="41">
        <f>SUM(G105:AB105)</f>
        <v>0</v>
      </c>
      <c r="AD105" s="5"/>
      <c r="AE105" s="31"/>
    </row>
    <row r="106" spans="1:32" hidden="1" x14ac:dyDescent="0.2">
      <c r="A106" s="18"/>
      <c r="B106" s="18"/>
      <c r="C106" s="18"/>
      <c r="D106" s="51" t="s">
        <v>52</v>
      </c>
      <c r="E106" s="51"/>
      <c r="G106" s="48">
        <v>0</v>
      </c>
      <c r="H106" s="48">
        <v>0</v>
      </c>
      <c r="I106" s="48">
        <v>0</v>
      </c>
      <c r="J106" s="48">
        <v>0</v>
      </c>
      <c r="K106" s="48">
        <v>0</v>
      </c>
      <c r="L106" s="48">
        <v>0</v>
      </c>
      <c r="M106" s="48">
        <v>0</v>
      </c>
      <c r="N106" s="48">
        <v>0</v>
      </c>
      <c r="O106" s="48">
        <v>0</v>
      </c>
      <c r="P106" s="48">
        <v>0</v>
      </c>
      <c r="Q106" s="48">
        <v>0</v>
      </c>
      <c r="R106" s="48">
        <v>0</v>
      </c>
      <c r="S106" s="48">
        <v>0</v>
      </c>
      <c r="T106" s="48">
        <v>0</v>
      </c>
      <c r="U106" s="48">
        <v>0</v>
      </c>
      <c r="V106" s="48">
        <v>0</v>
      </c>
      <c r="W106" s="48">
        <v>0</v>
      </c>
      <c r="X106" s="48">
        <v>0</v>
      </c>
      <c r="Y106" s="48">
        <v>0</v>
      </c>
      <c r="Z106" s="48">
        <v>0</v>
      </c>
      <c r="AA106" s="48">
        <v>0</v>
      </c>
      <c r="AB106" s="48"/>
      <c r="AC106" s="41">
        <f t="shared" si="28"/>
        <v>0</v>
      </c>
      <c r="AD106" s="5"/>
      <c r="AE106" s="31">
        <v>10.8</v>
      </c>
    </row>
    <row r="107" spans="1:32" x14ac:dyDescent="0.2">
      <c r="A107" s="18"/>
      <c r="B107" s="18"/>
      <c r="C107" s="18"/>
      <c r="D107" s="51" t="s">
        <v>53</v>
      </c>
      <c r="E107" s="51"/>
      <c r="G107" s="48">
        <v>0</v>
      </c>
      <c r="H107" s="48">
        <v>0</v>
      </c>
      <c r="I107" s="48">
        <v>0</v>
      </c>
      <c r="J107" s="48">
        <v>0</v>
      </c>
      <c r="K107" s="48">
        <v>0</v>
      </c>
      <c r="L107" s="48">
        <v>0</v>
      </c>
      <c r="M107" s="48">
        <v>0</v>
      </c>
      <c r="N107" s="48">
        <v>0</v>
      </c>
      <c r="O107" s="48">
        <v>0</v>
      </c>
      <c r="P107" s="48">
        <v>0</v>
      </c>
      <c r="Q107" s="48">
        <v>10.838198999999999</v>
      </c>
      <c r="R107" s="48">
        <v>0</v>
      </c>
      <c r="S107" s="48">
        <v>0</v>
      </c>
      <c r="T107" s="48">
        <f>-1.176-6.307</f>
        <v>-7.4830000000000005</v>
      </c>
      <c r="U107" s="48">
        <v>0</v>
      </c>
      <c r="V107" s="48">
        <f>-8.487-3.8</f>
        <v>-12.286999999999999</v>
      </c>
      <c r="W107" s="48">
        <v>0</v>
      </c>
      <c r="X107" s="48">
        <v>0</v>
      </c>
      <c r="Y107" s="48">
        <v>0</v>
      </c>
      <c r="Z107" s="48">
        <v>0</v>
      </c>
      <c r="AA107" s="48">
        <v>0</v>
      </c>
      <c r="AB107" s="48"/>
      <c r="AC107" s="41">
        <f t="shared" si="28"/>
        <v>-8.9318010000000001</v>
      </c>
      <c r="AD107" s="5"/>
      <c r="AE107" s="31">
        <v>-1.0349999999999999</v>
      </c>
    </row>
    <row r="108" spans="1:32" hidden="1" x14ac:dyDescent="0.2">
      <c r="A108" s="18"/>
      <c r="B108" s="18"/>
      <c r="C108" s="18"/>
      <c r="D108" s="51" t="s">
        <v>54</v>
      </c>
      <c r="E108" s="51"/>
      <c r="G108" s="48">
        <v>0</v>
      </c>
      <c r="H108" s="48">
        <v>0</v>
      </c>
      <c r="I108" s="48">
        <v>0</v>
      </c>
      <c r="J108" s="48">
        <v>0</v>
      </c>
      <c r="K108" s="48">
        <v>0</v>
      </c>
      <c r="L108" s="48">
        <v>0</v>
      </c>
      <c r="M108" s="48">
        <v>0</v>
      </c>
      <c r="N108" s="48">
        <v>0</v>
      </c>
      <c r="O108" s="48">
        <v>0</v>
      </c>
      <c r="P108" s="48">
        <v>0</v>
      </c>
      <c r="Q108" s="48">
        <v>0</v>
      </c>
      <c r="R108" s="48">
        <v>0</v>
      </c>
      <c r="S108" s="48">
        <v>0</v>
      </c>
      <c r="T108" s="48">
        <v>0</v>
      </c>
      <c r="U108" s="48">
        <v>0</v>
      </c>
      <c r="V108" s="48">
        <v>0</v>
      </c>
      <c r="W108" s="48">
        <v>0</v>
      </c>
      <c r="X108" s="48">
        <v>0</v>
      </c>
      <c r="Y108" s="48">
        <v>0</v>
      </c>
      <c r="Z108" s="48">
        <v>0</v>
      </c>
      <c r="AA108" s="48">
        <v>0</v>
      </c>
      <c r="AB108" s="48"/>
      <c r="AC108" s="41">
        <f t="shared" si="28"/>
        <v>0</v>
      </c>
      <c r="AD108" s="5"/>
      <c r="AE108" s="31">
        <v>1</v>
      </c>
    </row>
    <row r="109" spans="1:32" hidden="1" x14ac:dyDescent="0.2">
      <c r="A109" s="18"/>
      <c r="B109" s="18"/>
      <c r="C109" s="18"/>
      <c r="D109" s="51" t="s">
        <v>45</v>
      </c>
      <c r="E109" s="51"/>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8">
        <v>0</v>
      </c>
      <c r="Z109" s="48">
        <v>0</v>
      </c>
      <c r="AA109" s="48">
        <v>0</v>
      </c>
      <c r="AB109" s="48"/>
      <c r="AC109" s="41">
        <f t="shared" si="28"/>
        <v>0</v>
      </c>
      <c r="AD109" s="5"/>
      <c r="AE109" s="31">
        <v>2.6</v>
      </c>
    </row>
    <row r="110" spans="1:32" hidden="1" x14ac:dyDescent="0.2">
      <c r="A110" s="18"/>
      <c r="B110" s="18"/>
      <c r="C110" s="18"/>
      <c r="D110" s="51" t="s">
        <v>55</v>
      </c>
      <c r="E110" s="51"/>
      <c r="G110" s="48">
        <v>0</v>
      </c>
      <c r="H110" s="48">
        <v>0</v>
      </c>
      <c r="I110" s="48">
        <v>0</v>
      </c>
      <c r="J110" s="48">
        <v>0</v>
      </c>
      <c r="K110" s="48">
        <v>0</v>
      </c>
      <c r="L110" s="48">
        <v>0</v>
      </c>
      <c r="M110" s="48">
        <v>0</v>
      </c>
      <c r="N110" s="48">
        <v>0</v>
      </c>
      <c r="O110" s="48">
        <v>0</v>
      </c>
      <c r="P110" s="48">
        <v>0</v>
      </c>
      <c r="Q110" s="48">
        <v>0</v>
      </c>
      <c r="R110" s="48">
        <v>0</v>
      </c>
      <c r="S110" s="48">
        <v>0</v>
      </c>
      <c r="T110" s="48">
        <v>0</v>
      </c>
      <c r="U110" s="48">
        <v>0</v>
      </c>
      <c r="V110" s="48">
        <v>0</v>
      </c>
      <c r="W110" s="48">
        <v>0</v>
      </c>
      <c r="X110" s="48">
        <v>0</v>
      </c>
      <c r="Y110" s="48">
        <v>0</v>
      </c>
      <c r="Z110" s="48">
        <v>0</v>
      </c>
      <c r="AA110" s="48">
        <v>0</v>
      </c>
      <c r="AB110" s="48"/>
      <c r="AC110" s="41">
        <f t="shared" si="28"/>
        <v>0</v>
      </c>
      <c r="AD110" s="5"/>
      <c r="AE110" s="31">
        <v>-5.4</v>
      </c>
    </row>
    <row r="111" spans="1:32" hidden="1" x14ac:dyDescent="0.2">
      <c r="A111" s="18"/>
      <c r="B111" s="18"/>
      <c r="C111" s="18"/>
      <c r="D111" s="51" t="s">
        <v>56</v>
      </c>
      <c r="E111" s="51"/>
      <c r="G111" s="48">
        <v>0</v>
      </c>
      <c r="H111" s="48">
        <v>0</v>
      </c>
      <c r="I111" s="48">
        <v>0</v>
      </c>
      <c r="J111" s="48">
        <v>0</v>
      </c>
      <c r="K111" s="48">
        <v>0</v>
      </c>
      <c r="L111" s="48">
        <v>0</v>
      </c>
      <c r="M111" s="48">
        <v>0</v>
      </c>
      <c r="N111" s="48">
        <v>0</v>
      </c>
      <c r="O111" s="48">
        <v>0</v>
      </c>
      <c r="P111" s="48">
        <v>0</v>
      </c>
      <c r="Q111" s="48">
        <v>0</v>
      </c>
      <c r="R111" s="48">
        <v>0</v>
      </c>
      <c r="S111" s="48">
        <v>0</v>
      </c>
      <c r="T111" s="48">
        <v>0</v>
      </c>
      <c r="U111" s="48">
        <v>0</v>
      </c>
      <c r="V111" s="48">
        <v>0</v>
      </c>
      <c r="W111" s="48">
        <v>0</v>
      </c>
      <c r="X111" s="48">
        <v>0</v>
      </c>
      <c r="Y111" s="48">
        <v>0</v>
      </c>
      <c r="Z111" s="48">
        <v>0</v>
      </c>
      <c r="AA111" s="48">
        <v>0</v>
      </c>
      <c r="AB111" s="48"/>
      <c r="AC111" s="41">
        <f t="shared" si="28"/>
        <v>0</v>
      </c>
      <c r="AD111" s="5"/>
      <c r="AE111" s="31">
        <v>1.5</v>
      </c>
      <c r="AF111" s="85"/>
    </row>
    <row r="112" spans="1:32" hidden="1" x14ac:dyDescent="0.2">
      <c r="A112" s="18"/>
      <c r="B112" s="18"/>
      <c r="D112" s="51" t="s">
        <v>57</v>
      </c>
      <c r="E112" s="51"/>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8">
        <v>0</v>
      </c>
      <c r="Z112" s="48">
        <v>0</v>
      </c>
      <c r="AA112" s="48">
        <v>0</v>
      </c>
      <c r="AB112" s="48"/>
      <c r="AC112" s="41">
        <f t="shared" si="28"/>
        <v>0</v>
      </c>
      <c r="AD112" s="5"/>
      <c r="AE112" s="31">
        <v>7.4</v>
      </c>
    </row>
    <row r="113" spans="1:31" x14ac:dyDescent="0.2">
      <c r="A113" s="18"/>
      <c r="B113" s="18"/>
      <c r="D113" s="2" t="s">
        <v>58</v>
      </c>
      <c r="G113" s="50">
        <v>0</v>
      </c>
      <c r="H113" s="50">
        <v>0</v>
      </c>
      <c r="I113" s="50">
        <v>0</v>
      </c>
      <c r="J113" s="50">
        <v>0</v>
      </c>
      <c r="K113" s="50">
        <v>0</v>
      </c>
      <c r="L113" s="50">
        <v>0</v>
      </c>
      <c r="M113" s="50">
        <v>0</v>
      </c>
      <c r="N113" s="50">
        <v>0</v>
      </c>
      <c r="O113" s="50">
        <v>0</v>
      </c>
      <c r="P113" s="50">
        <v>0</v>
      </c>
      <c r="Q113" s="50">
        <v>-1.502</v>
      </c>
      <c r="R113" s="50">
        <v>0</v>
      </c>
      <c r="S113" s="50">
        <v>0</v>
      </c>
      <c r="T113" s="50">
        <v>0</v>
      </c>
      <c r="U113" s="50">
        <v>0</v>
      </c>
      <c r="V113" s="50">
        <v>0</v>
      </c>
      <c r="W113" s="50">
        <v>-3.8</v>
      </c>
      <c r="X113" s="50">
        <v>0</v>
      </c>
      <c r="Y113" s="50">
        <v>0</v>
      </c>
      <c r="Z113" s="50">
        <v>0</v>
      </c>
      <c r="AA113" s="50">
        <v>0</v>
      </c>
      <c r="AB113" s="48"/>
      <c r="AC113" s="42">
        <f t="shared" si="28"/>
        <v>-5.3019999999999996</v>
      </c>
      <c r="AD113" s="5"/>
      <c r="AE113" s="35">
        <v>-1.7</v>
      </c>
    </row>
    <row r="114" spans="1:31" x14ac:dyDescent="0.2">
      <c r="A114" s="18"/>
      <c r="B114" s="18"/>
      <c r="C114" s="2" t="s">
        <v>59</v>
      </c>
      <c r="G114" s="48">
        <f t="shared" ref="G114:AA114" si="29">SUM(G93:G113)</f>
        <v>726.64800000000002</v>
      </c>
      <c r="H114" s="48">
        <f t="shared" si="29"/>
        <v>0</v>
      </c>
      <c r="I114" s="48">
        <f t="shared" si="29"/>
        <v>0</v>
      </c>
      <c r="J114" s="48">
        <f t="shared" si="29"/>
        <v>0</v>
      </c>
      <c r="K114" s="48">
        <f t="shared" si="29"/>
        <v>0</v>
      </c>
      <c r="L114" s="48">
        <f t="shared" si="29"/>
        <v>0</v>
      </c>
      <c r="M114" s="48">
        <f t="shared" si="29"/>
        <v>0</v>
      </c>
      <c r="N114" s="48">
        <f t="shared" si="29"/>
        <v>0</v>
      </c>
      <c r="O114" s="48">
        <f t="shared" si="29"/>
        <v>0</v>
      </c>
      <c r="P114" s="48">
        <f t="shared" si="29"/>
        <v>0</v>
      </c>
      <c r="Q114" s="48">
        <f t="shared" si="29"/>
        <v>8.1141989999999993</v>
      </c>
      <c r="R114" s="48">
        <f t="shared" si="29"/>
        <v>0</v>
      </c>
      <c r="S114" s="48">
        <f t="shared" si="29"/>
        <v>0</v>
      </c>
      <c r="T114" s="48">
        <f>SUM(T93:T113)</f>
        <v>-7.4830000000000005</v>
      </c>
      <c r="U114" s="48">
        <f t="shared" si="29"/>
        <v>-3.7</v>
      </c>
      <c r="V114" s="48">
        <f t="shared" si="29"/>
        <v>-12.286999999999999</v>
      </c>
      <c r="W114" s="48">
        <f t="shared" si="29"/>
        <v>-6.8</v>
      </c>
      <c r="X114" s="48">
        <f t="shared" si="29"/>
        <v>0</v>
      </c>
      <c r="Y114" s="48">
        <f t="shared" si="29"/>
        <v>0</v>
      </c>
      <c r="Z114" s="48">
        <f t="shared" si="29"/>
        <v>0</v>
      </c>
      <c r="AA114" s="48">
        <f t="shared" si="29"/>
        <v>0</v>
      </c>
      <c r="AB114" s="48"/>
      <c r="AC114" s="49">
        <f>SUM(AC93:AC113)</f>
        <v>704.49219900000003</v>
      </c>
      <c r="AD114" s="5"/>
      <c r="AE114" s="21">
        <v>812.12199999999996</v>
      </c>
    </row>
    <row r="115" spans="1:31" x14ac:dyDescent="0.2">
      <c r="A115" s="18"/>
      <c r="B115" s="18"/>
      <c r="G115" s="48"/>
      <c r="H115" s="48"/>
      <c r="I115" s="48"/>
      <c r="J115" s="48"/>
      <c r="K115" s="48"/>
      <c r="L115" s="48"/>
      <c r="M115" s="48"/>
      <c r="N115" s="48"/>
      <c r="O115" s="48"/>
      <c r="P115" s="48"/>
      <c r="Q115" s="48"/>
      <c r="R115" s="48"/>
      <c r="S115" s="48"/>
      <c r="T115" s="48"/>
      <c r="U115" s="48"/>
      <c r="V115" s="48"/>
      <c r="W115" s="48"/>
      <c r="X115" s="48"/>
      <c r="Y115" s="48"/>
      <c r="Z115" s="48"/>
      <c r="AA115" s="48"/>
      <c r="AB115" s="48"/>
      <c r="AC115" s="49"/>
      <c r="AD115" s="5"/>
      <c r="AE115" s="21"/>
    </row>
    <row r="116" spans="1:31" x14ac:dyDescent="0.2">
      <c r="A116" s="52" t="s">
        <v>60</v>
      </c>
      <c r="B116" s="52"/>
      <c r="G116" s="48"/>
      <c r="H116" s="48"/>
      <c r="I116" s="48"/>
      <c r="J116" s="48"/>
      <c r="K116" s="48"/>
      <c r="L116" s="48"/>
      <c r="M116" s="48"/>
      <c r="N116" s="48"/>
      <c r="O116" s="48"/>
      <c r="P116" s="48"/>
      <c r="Q116" s="48"/>
      <c r="R116" s="48"/>
      <c r="S116" s="48"/>
      <c r="T116" s="48"/>
      <c r="U116" s="48"/>
      <c r="V116" s="48"/>
      <c r="W116" s="48"/>
      <c r="X116" s="48"/>
      <c r="Y116" s="48"/>
      <c r="Z116" s="48"/>
      <c r="AA116" s="48"/>
      <c r="AB116" s="48"/>
      <c r="AC116" s="49"/>
      <c r="AD116" s="5"/>
      <c r="AE116" s="21"/>
    </row>
    <row r="117" spans="1:31" x14ac:dyDescent="0.2">
      <c r="A117" s="18"/>
      <c r="B117" s="18"/>
      <c r="C117" s="53" t="s">
        <v>61</v>
      </c>
      <c r="G117" s="48">
        <v>-1</v>
      </c>
      <c r="H117" s="48">
        <v>-9.6999999999999993</v>
      </c>
      <c r="I117" s="48">
        <v>-0.2</v>
      </c>
      <c r="J117" s="48">
        <v>-13.9</v>
      </c>
      <c r="K117" s="48">
        <v>-3.5</v>
      </c>
      <c r="L117" s="48">
        <v>0</v>
      </c>
      <c r="M117" s="48">
        <v>0</v>
      </c>
      <c r="N117" s="48">
        <v>-7.3</v>
      </c>
      <c r="O117" s="48">
        <v>0</v>
      </c>
      <c r="P117" s="48">
        <v>0</v>
      </c>
      <c r="Q117" s="48">
        <v>0</v>
      </c>
      <c r="R117" s="48">
        <v>0</v>
      </c>
      <c r="S117" s="48">
        <v>0</v>
      </c>
      <c r="T117" s="48">
        <v>-3.9</v>
      </c>
      <c r="U117" s="48">
        <v>0</v>
      </c>
      <c r="V117" s="48">
        <v>0</v>
      </c>
      <c r="W117" s="48">
        <v>0</v>
      </c>
      <c r="X117" s="48">
        <v>0</v>
      </c>
      <c r="Y117" s="48">
        <v>0</v>
      </c>
      <c r="Z117" s="48">
        <v>0</v>
      </c>
      <c r="AA117" s="48">
        <v>0</v>
      </c>
      <c r="AB117" s="48"/>
      <c r="AC117" s="41">
        <f>SUM(G117:AB117)</f>
        <v>-39.499999999999993</v>
      </c>
      <c r="AD117" s="5"/>
      <c r="AE117" s="31">
        <v>-110.74700000000001</v>
      </c>
    </row>
    <row r="118" spans="1:31" s="51" customFormat="1" hidden="1" x14ac:dyDescent="0.2">
      <c r="A118" s="86"/>
      <c r="B118" s="86"/>
      <c r="C118" s="87" t="s">
        <v>177</v>
      </c>
      <c r="G118" s="50">
        <v>0</v>
      </c>
      <c r="H118" s="50">
        <v>0</v>
      </c>
      <c r="I118" s="50">
        <v>0</v>
      </c>
      <c r="J118" s="50">
        <v>0</v>
      </c>
      <c r="K118" s="50">
        <v>0</v>
      </c>
      <c r="L118" s="50">
        <v>0</v>
      </c>
      <c r="M118" s="50">
        <v>0</v>
      </c>
      <c r="N118" s="50">
        <v>0</v>
      </c>
      <c r="O118" s="50">
        <v>0</v>
      </c>
      <c r="P118" s="50">
        <v>0</v>
      </c>
      <c r="Q118" s="50">
        <v>0</v>
      </c>
      <c r="R118" s="50">
        <v>0</v>
      </c>
      <c r="S118" s="50">
        <v>0</v>
      </c>
      <c r="T118" s="50">
        <v>0</v>
      </c>
      <c r="U118" s="50">
        <v>0</v>
      </c>
      <c r="V118" s="50">
        <v>0</v>
      </c>
      <c r="W118" s="50">
        <v>0</v>
      </c>
      <c r="X118" s="50"/>
      <c r="Y118" s="50"/>
      <c r="Z118" s="50"/>
      <c r="AA118" s="50"/>
      <c r="AB118" s="48"/>
      <c r="AC118" s="88">
        <f>SUM(G118:AB118)</f>
        <v>0</v>
      </c>
      <c r="AD118" s="89"/>
      <c r="AE118" s="31"/>
    </row>
    <row r="119" spans="1:31" hidden="1" x14ac:dyDescent="0.2">
      <c r="A119" s="18"/>
      <c r="B119" s="18"/>
      <c r="C119" s="2" t="s">
        <v>93</v>
      </c>
      <c r="G119" s="48">
        <f>SUM(G117:G118)</f>
        <v>-1</v>
      </c>
      <c r="H119" s="48">
        <f t="shared" ref="H119:AC119" si="30">SUM(H117:H118)</f>
        <v>-9.6999999999999993</v>
      </c>
      <c r="I119" s="48">
        <f t="shared" si="30"/>
        <v>-0.2</v>
      </c>
      <c r="J119" s="48">
        <f t="shared" si="30"/>
        <v>-13.9</v>
      </c>
      <c r="K119" s="48">
        <f t="shared" si="30"/>
        <v>-3.5</v>
      </c>
      <c r="L119" s="48">
        <f t="shared" si="30"/>
        <v>0</v>
      </c>
      <c r="M119" s="48">
        <f t="shared" si="30"/>
        <v>0</v>
      </c>
      <c r="N119" s="48">
        <f t="shared" si="30"/>
        <v>-7.3</v>
      </c>
      <c r="O119" s="48">
        <f t="shared" si="30"/>
        <v>0</v>
      </c>
      <c r="P119" s="48">
        <f t="shared" si="30"/>
        <v>0</v>
      </c>
      <c r="Q119" s="48">
        <f t="shared" si="30"/>
        <v>0</v>
      </c>
      <c r="R119" s="48">
        <f t="shared" si="30"/>
        <v>0</v>
      </c>
      <c r="S119" s="48">
        <f t="shared" si="30"/>
        <v>0</v>
      </c>
      <c r="T119" s="48">
        <f t="shared" si="30"/>
        <v>-3.9</v>
      </c>
      <c r="U119" s="48">
        <f t="shared" si="30"/>
        <v>0</v>
      </c>
      <c r="V119" s="48">
        <f t="shared" si="30"/>
        <v>0</v>
      </c>
      <c r="W119" s="48">
        <f t="shared" si="30"/>
        <v>0</v>
      </c>
      <c r="X119" s="48">
        <f t="shared" si="30"/>
        <v>0</v>
      </c>
      <c r="Y119" s="48">
        <f t="shared" si="30"/>
        <v>0</v>
      </c>
      <c r="Z119" s="48">
        <f t="shared" si="30"/>
        <v>0</v>
      </c>
      <c r="AA119" s="48">
        <f t="shared" si="30"/>
        <v>0</v>
      </c>
      <c r="AB119" s="48"/>
      <c r="AC119" s="49">
        <f t="shared" si="30"/>
        <v>-39.499999999999993</v>
      </c>
      <c r="AD119" s="5"/>
      <c r="AE119" s="31"/>
    </row>
    <row r="120" spans="1:31" x14ac:dyDescent="0.2">
      <c r="A120" s="18"/>
      <c r="B120" s="18"/>
      <c r="C120" s="53"/>
      <c r="G120" s="48"/>
      <c r="H120" s="48"/>
      <c r="I120" s="48"/>
      <c r="J120" s="48"/>
      <c r="K120" s="48"/>
      <c r="L120" s="48"/>
      <c r="M120" s="48"/>
      <c r="N120" s="48"/>
      <c r="O120" s="48"/>
      <c r="P120" s="48"/>
      <c r="Q120" s="48"/>
      <c r="R120" s="48"/>
      <c r="S120" s="48"/>
      <c r="T120" s="48"/>
      <c r="U120" s="48"/>
      <c r="V120" s="48"/>
      <c r="W120" s="48"/>
      <c r="X120" s="48"/>
      <c r="Y120" s="48"/>
      <c r="Z120" s="48"/>
      <c r="AA120" s="48"/>
      <c r="AB120" s="48"/>
      <c r="AC120" s="49"/>
      <c r="AD120" s="5"/>
      <c r="AE120" s="46"/>
    </row>
    <row r="121" spans="1:31" x14ac:dyDescent="0.2">
      <c r="A121" s="54" t="s">
        <v>62</v>
      </c>
      <c r="B121" s="18"/>
      <c r="C121" s="53"/>
      <c r="G121" s="48"/>
      <c r="H121" s="48"/>
      <c r="I121" s="48"/>
      <c r="J121" s="48"/>
      <c r="K121" s="48"/>
      <c r="L121" s="48"/>
      <c r="M121" s="48"/>
      <c r="N121" s="48"/>
      <c r="O121" s="48"/>
      <c r="P121" s="48"/>
      <c r="Q121" s="48"/>
      <c r="R121" s="48"/>
      <c r="S121" s="48"/>
      <c r="T121" s="48"/>
      <c r="U121" s="48"/>
      <c r="V121" s="48"/>
      <c r="W121" s="48"/>
      <c r="X121" s="48"/>
      <c r="Y121" s="48"/>
      <c r="Z121" s="48"/>
      <c r="AA121" s="48"/>
      <c r="AB121" s="48"/>
      <c r="AC121" s="49"/>
      <c r="AD121" s="5"/>
      <c r="AE121" s="46"/>
    </row>
    <row r="122" spans="1:31" x14ac:dyDescent="0.2">
      <c r="A122" s="18"/>
      <c r="B122" s="18"/>
      <c r="C122" s="51" t="s">
        <v>91</v>
      </c>
      <c r="E122" s="51"/>
      <c r="G122" s="48">
        <v>0</v>
      </c>
      <c r="H122" s="48">
        <v>0</v>
      </c>
      <c r="I122" s="48">
        <v>-10</v>
      </c>
      <c r="J122" s="48">
        <v>0</v>
      </c>
      <c r="K122" s="48">
        <v>0</v>
      </c>
      <c r="L122" s="48">
        <v>0</v>
      </c>
      <c r="M122" s="48">
        <v>0</v>
      </c>
      <c r="N122" s="48">
        <v>0</v>
      </c>
      <c r="O122" s="48">
        <v>0</v>
      </c>
      <c r="P122" s="48">
        <v>0</v>
      </c>
      <c r="Q122" s="48">
        <f>-4.972272*2</f>
        <v>-9.9445440000000005</v>
      </c>
      <c r="R122" s="48">
        <v>0</v>
      </c>
      <c r="S122" s="48">
        <v>0</v>
      </c>
      <c r="T122" s="48">
        <v>0</v>
      </c>
      <c r="U122" s="48">
        <v>0</v>
      </c>
      <c r="V122" s="48">
        <v>0</v>
      </c>
      <c r="W122" s="48">
        <v>0</v>
      </c>
      <c r="X122" s="48">
        <v>0</v>
      </c>
      <c r="Y122" s="48">
        <v>0</v>
      </c>
      <c r="Z122" s="48">
        <v>0</v>
      </c>
      <c r="AA122" s="48">
        <v>0</v>
      </c>
      <c r="AB122" s="48"/>
      <c r="AC122" s="41">
        <f>SUM(G122:AB122)</f>
        <v>-19.944544</v>
      </c>
      <c r="AD122" s="5"/>
      <c r="AE122" s="31">
        <v>28.948</v>
      </c>
    </row>
    <row r="123" spans="1:31" x14ac:dyDescent="0.2">
      <c r="A123" s="18"/>
      <c r="B123" s="18"/>
      <c r="C123" s="51" t="s">
        <v>92</v>
      </c>
      <c r="E123" s="51"/>
      <c r="G123" s="50">
        <v>0</v>
      </c>
      <c r="H123" s="50">
        <v>0</v>
      </c>
      <c r="I123" s="50">
        <v>0</v>
      </c>
      <c r="J123" s="50">
        <v>25.216000000000001</v>
      </c>
      <c r="K123" s="50">
        <v>0</v>
      </c>
      <c r="L123" s="50">
        <v>0</v>
      </c>
      <c r="M123" s="50">
        <v>0</v>
      </c>
      <c r="N123" s="50">
        <v>0</v>
      </c>
      <c r="O123" s="50">
        <v>0</v>
      </c>
      <c r="P123" s="50">
        <v>0</v>
      </c>
      <c r="Q123" s="50">
        <v>0</v>
      </c>
      <c r="R123" s="50">
        <v>0</v>
      </c>
      <c r="S123" s="50">
        <v>0</v>
      </c>
      <c r="T123" s="50">
        <v>0</v>
      </c>
      <c r="U123" s="50">
        <v>0</v>
      </c>
      <c r="V123" s="50">
        <v>0</v>
      </c>
      <c r="W123" s="50">
        <v>0</v>
      </c>
      <c r="X123" s="50">
        <v>0</v>
      </c>
      <c r="Y123" s="50">
        <v>0</v>
      </c>
      <c r="Z123" s="50">
        <v>0</v>
      </c>
      <c r="AA123" s="50">
        <v>0</v>
      </c>
      <c r="AB123" s="48"/>
      <c r="AC123" s="42">
        <f>SUM(G123:AB123)</f>
        <v>25.216000000000001</v>
      </c>
      <c r="AD123" s="5"/>
      <c r="AE123" s="31"/>
    </row>
    <row r="124" spans="1:31" x14ac:dyDescent="0.2">
      <c r="A124" s="18"/>
      <c r="B124" s="18"/>
      <c r="C124" s="2" t="s">
        <v>93</v>
      </c>
      <c r="G124" s="48">
        <f>SUM(G122:G123)</f>
        <v>0</v>
      </c>
      <c r="H124" s="48">
        <f>SUM(H122:H123)</f>
        <v>0</v>
      </c>
      <c r="I124" s="48">
        <f>SUM(I122:I123)</f>
        <v>-10</v>
      </c>
      <c r="J124" s="48">
        <f>SUM(J122:J123)</f>
        <v>25.216000000000001</v>
      </c>
      <c r="K124" s="48">
        <f>SUM(K122:K123)</f>
        <v>0</v>
      </c>
      <c r="L124" s="48">
        <f t="shared" ref="L124:AA124" si="31">SUM(L122:L123)</f>
        <v>0</v>
      </c>
      <c r="M124" s="48">
        <f t="shared" si="31"/>
        <v>0</v>
      </c>
      <c r="N124" s="48">
        <f t="shared" si="31"/>
        <v>0</v>
      </c>
      <c r="O124" s="48">
        <f t="shared" si="31"/>
        <v>0</v>
      </c>
      <c r="P124" s="48">
        <f t="shared" si="31"/>
        <v>0</v>
      </c>
      <c r="Q124" s="48">
        <f t="shared" si="31"/>
        <v>-9.9445440000000005</v>
      </c>
      <c r="R124" s="48">
        <f t="shared" si="31"/>
        <v>0</v>
      </c>
      <c r="S124" s="48">
        <f t="shared" si="31"/>
        <v>0</v>
      </c>
      <c r="T124" s="48">
        <f t="shared" si="31"/>
        <v>0</v>
      </c>
      <c r="U124" s="48">
        <f t="shared" si="31"/>
        <v>0</v>
      </c>
      <c r="V124" s="48">
        <f t="shared" si="31"/>
        <v>0</v>
      </c>
      <c r="W124" s="48">
        <f t="shared" si="31"/>
        <v>0</v>
      </c>
      <c r="X124" s="48">
        <f t="shared" si="31"/>
        <v>0</v>
      </c>
      <c r="Y124" s="48">
        <f t="shared" si="31"/>
        <v>0</v>
      </c>
      <c r="Z124" s="48">
        <f t="shared" si="31"/>
        <v>0</v>
      </c>
      <c r="AA124" s="48">
        <f t="shared" si="31"/>
        <v>0</v>
      </c>
      <c r="AB124" s="48"/>
      <c r="AC124" s="49">
        <f>SUM(AC122:AC123)</f>
        <v>5.2714560000000006</v>
      </c>
      <c r="AD124" s="5"/>
      <c r="AE124" s="21"/>
    </row>
    <row r="125" spans="1:31" x14ac:dyDescent="0.2">
      <c r="A125" s="18"/>
      <c r="B125" s="18"/>
      <c r="G125" s="48"/>
      <c r="H125" s="48"/>
      <c r="I125" s="48"/>
      <c r="J125" s="48"/>
      <c r="K125" s="48"/>
      <c r="L125" s="48"/>
      <c r="M125" s="48"/>
      <c r="N125" s="48"/>
      <c r="O125" s="48"/>
      <c r="P125" s="48"/>
      <c r="Q125" s="48"/>
      <c r="R125" s="48"/>
      <c r="S125" s="48"/>
      <c r="T125" s="48"/>
      <c r="U125" s="48">
        <v>0</v>
      </c>
      <c r="V125" s="48"/>
      <c r="W125" s="48"/>
      <c r="X125" s="48"/>
      <c r="Y125" s="48"/>
      <c r="Z125" s="48"/>
      <c r="AA125" s="48"/>
      <c r="AB125" s="48"/>
      <c r="AC125" s="49"/>
      <c r="AD125" s="5"/>
      <c r="AE125" s="21"/>
    </row>
    <row r="126" spans="1:31" x14ac:dyDescent="0.2">
      <c r="A126" s="18" t="s">
        <v>63</v>
      </c>
      <c r="B126" s="18"/>
      <c r="G126" s="47">
        <v>0</v>
      </c>
      <c r="H126" s="47">
        <v>-3.9E-2</v>
      </c>
      <c r="I126" s="47">
        <v>-0.26400000000000001</v>
      </c>
      <c r="J126" s="47">
        <v>-0.40799999999999997</v>
      </c>
      <c r="K126" s="47">
        <v>-0.11899999999999999</v>
      </c>
      <c r="L126" s="47">
        <v>-0.5</v>
      </c>
      <c r="M126" s="47">
        <f>-0.169</f>
        <v>-0.16900000000000001</v>
      </c>
      <c r="N126" s="47">
        <v>-0.42499999999999999</v>
      </c>
      <c r="O126" s="47">
        <v>-0.5</v>
      </c>
      <c r="P126" s="47">
        <f>-0.599</f>
        <v>-0.59899999999999998</v>
      </c>
      <c r="Q126" s="47">
        <f>-3.440035+2.724595</f>
        <v>-0.71544000000000008</v>
      </c>
      <c r="R126" s="47">
        <v>-0.45400000000000001</v>
      </c>
      <c r="S126" s="47">
        <v>-0.124</v>
      </c>
      <c r="T126" s="47">
        <f>-0.269</f>
        <v>-0.26900000000000002</v>
      </c>
      <c r="U126" s="47">
        <v>-0.23</v>
      </c>
      <c r="V126" s="47">
        <v>-0.3</v>
      </c>
      <c r="W126" s="47">
        <v>-0.35899999999999999</v>
      </c>
      <c r="X126" s="47">
        <v>0</v>
      </c>
      <c r="Y126" s="47">
        <v>0</v>
      </c>
      <c r="Z126" s="47">
        <v>0</v>
      </c>
      <c r="AA126" s="47">
        <v>0</v>
      </c>
      <c r="AB126" s="48"/>
      <c r="AC126" s="41">
        <f>SUM(G126:AB126)</f>
        <v>-5.4744400000000004</v>
      </c>
      <c r="AD126" s="5"/>
      <c r="AE126" s="31">
        <v>-6.7040000000000024</v>
      </c>
    </row>
    <row r="127" spans="1:31" x14ac:dyDescent="0.2">
      <c r="A127" s="18"/>
      <c r="B127" s="18"/>
      <c r="G127" s="48"/>
      <c r="H127" s="48"/>
      <c r="I127" s="48"/>
      <c r="J127" s="48"/>
      <c r="K127" s="48"/>
      <c r="L127" s="48"/>
      <c r="M127" s="48"/>
      <c r="N127" s="48"/>
      <c r="O127" s="48"/>
      <c r="P127" s="48"/>
      <c r="Q127" s="48"/>
      <c r="R127" s="48"/>
      <c r="S127" s="48"/>
      <c r="T127" s="48"/>
      <c r="U127" s="48"/>
      <c r="V127" s="48"/>
      <c r="W127" s="48"/>
      <c r="X127" s="48"/>
      <c r="Y127" s="48"/>
      <c r="Z127" s="48"/>
      <c r="AA127" s="48"/>
      <c r="AB127" s="48"/>
      <c r="AC127" s="49"/>
      <c r="AD127" s="5"/>
      <c r="AE127" s="21"/>
    </row>
    <row r="128" spans="1:31" x14ac:dyDescent="0.2">
      <c r="G128" s="47"/>
      <c r="H128" s="47"/>
      <c r="I128" s="47"/>
      <c r="J128" s="47"/>
      <c r="K128" s="47"/>
      <c r="L128" s="47"/>
      <c r="M128" s="47"/>
      <c r="N128" s="47"/>
      <c r="O128" s="47"/>
      <c r="P128" s="47"/>
      <c r="Q128" s="47"/>
      <c r="R128" s="47"/>
      <c r="S128" s="47"/>
      <c r="T128" s="47"/>
      <c r="U128" s="47"/>
      <c r="V128" s="47"/>
      <c r="W128" s="47"/>
      <c r="X128" s="47"/>
      <c r="Y128" s="47"/>
      <c r="Z128" s="47"/>
      <c r="AA128" s="47"/>
      <c r="AB128" s="48"/>
      <c r="AC128" s="49"/>
      <c r="AD128" s="5"/>
      <c r="AE128" s="21"/>
    </row>
    <row r="129" spans="1:32" s="26" customFormat="1" ht="13.5" thickBot="1" x14ac:dyDescent="0.25">
      <c r="A129" s="25" t="s">
        <v>64</v>
      </c>
      <c r="B129" s="25"/>
      <c r="G129" s="55">
        <f>G63+G126+G114+G119+G68+G124+G89</f>
        <v>544.37500000000011</v>
      </c>
      <c r="H129" s="55">
        <f t="shared" ref="H129:AC129" si="32">H63+H126+H114+H119+H68+H124+H89</f>
        <v>-77.291999999999973</v>
      </c>
      <c r="I129" s="55">
        <f t="shared" si="32"/>
        <v>123.19000000000004</v>
      </c>
      <c r="J129" s="55">
        <f t="shared" si="32"/>
        <v>-127.64400000000001</v>
      </c>
      <c r="K129" s="55">
        <f t="shared" si="32"/>
        <v>-101.58999999999997</v>
      </c>
      <c r="L129" s="55">
        <f t="shared" si="32"/>
        <v>-79.707000000000036</v>
      </c>
      <c r="M129" s="55">
        <f t="shared" si="32"/>
        <v>135.46600000000004</v>
      </c>
      <c r="N129" s="55">
        <f t="shared" si="32"/>
        <v>-94.128</v>
      </c>
      <c r="O129" s="55">
        <f t="shared" si="32"/>
        <v>-8.3200000000000056</v>
      </c>
      <c r="P129" s="55">
        <f t="shared" si="32"/>
        <v>-72.689000000000007</v>
      </c>
      <c r="Q129" s="55">
        <f t="shared" si="32"/>
        <v>104.71529699999996</v>
      </c>
      <c r="R129" s="55">
        <f t="shared" si="32"/>
        <v>-229.14799999999997</v>
      </c>
      <c r="S129" s="55">
        <f t="shared" si="32"/>
        <v>-46.828000000000003</v>
      </c>
      <c r="T129" s="55">
        <f t="shared" si="32"/>
        <v>18.319999999999951</v>
      </c>
      <c r="U129" s="55">
        <f t="shared" si="32"/>
        <v>11.786999999999978</v>
      </c>
      <c r="V129" s="55">
        <f t="shared" si="32"/>
        <v>-18.730000000000011</v>
      </c>
      <c r="W129" s="55">
        <f t="shared" si="32"/>
        <v>-1455.0479999999998</v>
      </c>
      <c r="X129" s="55">
        <f t="shared" si="32"/>
        <v>0</v>
      </c>
      <c r="Y129" s="55">
        <f t="shared" si="32"/>
        <v>0</v>
      </c>
      <c r="Z129" s="55">
        <f t="shared" si="32"/>
        <v>0</v>
      </c>
      <c r="AA129" s="55">
        <f t="shared" si="32"/>
        <v>0</v>
      </c>
      <c r="AB129" s="56"/>
      <c r="AC129" s="57">
        <f t="shared" si="32"/>
        <v>-1373.2937029999994</v>
      </c>
      <c r="AD129" s="30"/>
      <c r="AE129" s="57" t="e">
        <f>AE63+#REF!+AE126+AE114+AE117+AE68+AE122</f>
        <v>#REF!</v>
      </c>
    </row>
    <row r="130" spans="1:32" ht="11.25" hidden="1" customHeight="1" thickTop="1" x14ac:dyDescent="0.2">
      <c r="E130" s="58" t="s">
        <v>65</v>
      </c>
      <c r="G130" s="19">
        <v>544.4</v>
      </c>
      <c r="H130" s="47">
        <v>-77.3</v>
      </c>
      <c r="I130" s="47">
        <v>123.2</v>
      </c>
      <c r="J130" s="47">
        <v>-127.6</v>
      </c>
      <c r="K130" s="47">
        <v>-101.6</v>
      </c>
      <c r="L130" s="47">
        <v>-79.7</v>
      </c>
      <c r="M130" s="47">
        <v>135.5</v>
      </c>
      <c r="N130" s="47">
        <v>-94.1</v>
      </c>
      <c r="O130" s="47">
        <v>-8.3000000000000007</v>
      </c>
      <c r="P130" s="47">
        <v>-72.7</v>
      </c>
      <c r="Q130" s="47">
        <v>104.7</v>
      </c>
      <c r="R130" s="47">
        <v>-229.1</v>
      </c>
      <c r="S130" s="47">
        <v>-46.8</v>
      </c>
      <c r="T130" s="47">
        <v>18.3</v>
      </c>
      <c r="U130" s="47">
        <v>11.8</v>
      </c>
      <c r="V130" s="47">
        <v>-18.7</v>
      </c>
      <c r="W130" s="47">
        <v>0</v>
      </c>
      <c r="X130" s="47">
        <v>0</v>
      </c>
      <c r="Y130" s="47">
        <v>0</v>
      </c>
      <c r="Z130" s="47">
        <v>0</v>
      </c>
      <c r="AA130" s="47">
        <v>0</v>
      </c>
      <c r="AB130" s="48"/>
      <c r="AC130" s="19">
        <v>0</v>
      </c>
      <c r="AD130" s="5"/>
      <c r="AE130" s="59"/>
    </row>
    <row r="131" spans="1:32" hidden="1" x14ac:dyDescent="0.2">
      <c r="E131" s="58" t="s">
        <v>66</v>
      </c>
      <c r="G131" s="4">
        <f t="shared" ref="G131:AA131" si="33">G129-G130</f>
        <v>-2.4999999999863576E-2</v>
      </c>
      <c r="H131" s="40">
        <f t="shared" si="33"/>
        <v>8.0000000000239879E-3</v>
      </c>
      <c r="I131" s="40">
        <f t="shared" si="33"/>
        <v>-9.9999999999624833E-3</v>
      </c>
      <c r="J131" s="40">
        <f t="shared" si="33"/>
        <v>-4.4000000000011141E-2</v>
      </c>
      <c r="K131" s="40">
        <f t="shared" si="33"/>
        <v>1.0000000000019327E-2</v>
      </c>
      <c r="L131" s="40">
        <f t="shared" si="33"/>
        <v>-7.0000000000334239E-3</v>
      </c>
      <c r="M131" s="40">
        <f t="shared" si="33"/>
        <v>-3.3999999999963393E-2</v>
      </c>
      <c r="N131" s="40">
        <f t="shared" si="33"/>
        <v>-2.8000000000005798E-2</v>
      </c>
      <c r="O131" s="40">
        <f t="shared" si="33"/>
        <v>-2.0000000000004903E-2</v>
      </c>
      <c r="P131" s="40">
        <f t="shared" si="33"/>
        <v>1.099999999999568E-2</v>
      </c>
      <c r="Q131" s="40">
        <f t="shared" si="33"/>
        <v>1.5296999999961258E-2</v>
      </c>
      <c r="R131" s="40">
        <f t="shared" si="33"/>
        <v>-4.7999999999973397E-2</v>
      </c>
      <c r="S131" s="40">
        <f t="shared" si="33"/>
        <v>-2.8000000000005798E-2</v>
      </c>
      <c r="T131" s="40">
        <f t="shared" si="33"/>
        <v>1.9999999999949836E-2</v>
      </c>
      <c r="U131" s="40">
        <f t="shared" si="33"/>
        <v>-1.3000000000022993E-2</v>
      </c>
      <c r="V131" s="40">
        <f t="shared" si="33"/>
        <v>-3.0000000000011795E-2</v>
      </c>
      <c r="W131" s="40">
        <f t="shared" si="33"/>
        <v>-1455.0479999999998</v>
      </c>
      <c r="X131" s="40">
        <f t="shared" si="33"/>
        <v>0</v>
      </c>
      <c r="Y131" s="40">
        <f t="shared" si="33"/>
        <v>0</v>
      </c>
      <c r="Z131" s="40">
        <f t="shared" si="33"/>
        <v>0</v>
      </c>
      <c r="AA131" s="40">
        <f t="shared" si="33"/>
        <v>0</v>
      </c>
      <c r="AB131" s="48"/>
      <c r="AC131" s="28">
        <f>SUM(G131:AB131)</f>
        <v>-1455.2707029999997</v>
      </c>
      <c r="AD131" s="5"/>
      <c r="AE131" s="3"/>
    </row>
    <row r="132" spans="1:32" hidden="1" x14ac:dyDescent="0.2">
      <c r="E132" s="58" t="s">
        <v>67</v>
      </c>
      <c r="G132" s="60">
        <v>544.44299999999998</v>
      </c>
      <c r="H132" s="75">
        <v>-77.210999999999999</v>
      </c>
      <c r="I132" s="75">
        <v>123.386</v>
      </c>
      <c r="J132" s="75">
        <v>-127.613</v>
      </c>
      <c r="K132" s="75">
        <v>-101.566</v>
      </c>
      <c r="L132" s="75">
        <v>-79.7</v>
      </c>
      <c r="M132" s="75">
        <v>136.82499999999999</v>
      </c>
      <c r="N132" s="75">
        <v>-95.3</v>
      </c>
      <c r="O132" s="75">
        <v>-8.3810000000000002</v>
      </c>
      <c r="P132" s="75">
        <v>-72.777000000000001</v>
      </c>
      <c r="Q132" s="75">
        <v>104.741</v>
      </c>
      <c r="R132" s="75">
        <v>-229.142</v>
      </c>
      <c r="S132" s="75">
        <v>-47.06</v>
      </c>
      <c r="T132" s="75">
        <v>16.788</v>
      </c>
      <c r="U132" s="75">
        <v>11.773</v>
      </c>
      <c r="V132" s="75">
        <v>-18.745999999999999</v>
      </c>
      <c r="W132" s="75">
        <v>0</v>
      </c>
      <c r="X132" s="75">
        <v>0</v>
      </c>
      <c r="Y132" s="75">
        <v>0</v>
      </c>
      <c r="Z132" s="75">
        <v>0</v>
      </c>
      <c r="AA132" s="75">
        <v>0</v>
      </c>
      <c r="AB132" s="48"/>
      <c r="AC132" s="61">
        <v>0</v>
      </c>
      <c r="AD132" s="5"/>
      <c r="AE132" s="62"/>
    </row>
    <row r="133" spans="1:32" ht="13.5" hidden="1" thickBot="1" x14ac:dyDescent="0.25">
      <c r="E133" s="58" t="s">
        <v>66</v>
      </c>
      <c r="G133" s="60">
        <f t="shared" ref="G133:AA133" si="34">G129-G132</f>
        <v>-6.7999999999869942E-2</v>
      </c>
      <c r="H133" s="75">
        <f t="shared" si="34"/>
        <v>-8.0999999999974648E-2</v>
      </c>
      <c r="I133" s="75">
        <f t="shared" si="34"/>
        <v>-0.19599999999995532</v>
      </c>
      <c r="J133" s="75">
        <f t="shared" si="34"/>
        <v>-3.1000000000005912E-2</v>
      </c>
      <c r="K133" s="75">
        <f t="shared" si="34"/>
        <v>-2.3999999999972488E-2</v>
      </c>
      <c r="L133" s="75">
        <f t="shared" si="34"/>
        <v>-7.0000000000334239E-3</v>
      </c>
      <c r="M133" s="75">
        <f t="shared" si="34"/>
        <v>-1.358999999999952</v>
      </c>
      <c r="N133" s="75">
        <f t="shared" si="34"/>
        <v>1.171999999999997</v>
      </c>
      <c r="O133" s="75">
        <f t="shared" si="34"/>
        <v>6.0999999999994614E-2</v>
      </c>
      <c r="P133" s="75">
        <f t="shared" si="34"/>
        <v>8.7999999999993861E-2</v>
      </c>
      <c r="Q133" s="75">
        <f t="shared" si="34"/>
        <v>-2.5703000000035559E-2</v>
      </c>
      <c r="R133" s="75">
        <f t="shared" si="34"/>
        <v>-5.9999999999718057E-3</v>
      </c>
      <c r="S133" s="75">
        <f t="shared" si="34"/>
        <v>0.23199999999999932</v>
      </c>
      <c r="T133" s="75">
        <f t="shared" si="34"/>
        <v>1.5319999999999503</v>
      </c>
      <c r="U133" s="75">
        <f t="shared" si="34"/>
        <v>1.399999999997803E-2</v>
      </c>
      <c r="V133" s="75">
        <f t="shared" si="34"/>
        <v>1.599999999998758E-2</v>
      </c>
      <c r="W133" s="75">
        <f t="shared" si="34"/>
        <v>-1455.0479999999998</v>
      </c>
      <c r="X133" s="75">
        <f t="shared" si="34"/>
        <v>0</v>
      </c>
      <c r="Y133" s="75">
        <f t="shared" si="34"/>
        <v>0</v>
      </c>
      <c r="Z133" s="75">
        <f t="shared" si="34"/>
        <v>0</v>
      </c>
      <c r="AA133" s="75">
        <f t="shared" si="34"/>
        <v>0</v>
      </c>
      <c r="AB133" s="48"/>
      <c r="AC133" s="63">
        <f>SUM(G133:AB133)</f>
        <v>-1453.7307029999997</v>
      </c>
      <c r="AD133" s="5"/>
      <c r="AE133" s="3"/>
    </row>
    <row r="134" spans="1:32" ht="13.5" hidden="1" thickBot="1" x14ac:dyDescent="0.25">
      <c r="G134" s="23"/>
      <c r="H134" s="40"/>
      <c r="I134" s="40"/>
      <c r="J134" s="40"/>
      <c r="K134" s="40"/>
      <c r="L134" s="40"/>
      <c r="M134" s="40"/>
      <c r="N134" s="40"/>
      <c r="O134" s="40"/>
      <c r="P134" s="40"/>
      <c r="Q134" s="40"/>
      <c r="R134" s="40"/>
      <c r="S134" s="40"/>
      <c r="T134" s="40"/>
      <c r="U134" s="40"/>
      <c r="V134" s="40"/>
      <c r="W134" s="40"/>
      <c r="X134" s="40"/>
      <c r="Y134" s="40"/>
      <c r="Z134" s="40"/>
      <c r="AA134" s="40"/>
      <c r="AB134" s="48"/>
      <c r="AC134" s="79">
        <f>SUM(F129:AA129)-AC129</f>
        <v>2.2999999999683496E-2</v>
      </c>
      <c r="AD134" s="64" t="s">
        <v>68</v>
      </c>
      <c r="AE134" s="62"/>
    </row>
    <row r="135" spans="1:32" ht="13.5" thickTop="1" x14ac:dyDescent="0.2">
      <c r="G135" s="23"/>
      <c r="H135" s="40"/>
      <c r="I135" s="40"/>
      <c r="J135" s="40"/>
      <c r="K135" s="40"/>
      <c r="L135" s="40"/>
      <c r="M135" s="40"/>
      <c r="N135" s="40"/>
      <c r="O135" s="40"/>
      <c r="P135" s="40"/>
      <c r="Q135" s="40"/>
      <c r="R135" s="40"/>
      <c r="S135" s="40"/>
      <c r="T135" s="40"/>
      <c r="U135" s="40"/>
      <c r="V135" s="40"/>
      <c r="W135" s="40"/>
      <c r="X135" s="40"/>
      <c r="Y135" s="40"/>
      <c r="Z135" s="40"/>
      <c r="AA135" s="40"/>
      <c r="AB135" s="48"/>
      <c r="AC135" s="23"/>
      <c r="AD135" s="5"/>
      <c r="AE135" s="62"/>
    </row>
    <row r="136" spans="1:32" x14ac:dyDescent="0.2">
      <c r="A136" s="18" t="s">
        <v>69</v>
      </c>
      <c r="B136" s="18"/>
      <c r="G136" s="23"/>
      <c r="H136" s="40"/>
      <c r="I136" s="40"/>
      <c r="J136" s="40"/>
      <c r="K136" s="40"/>
      <c r="L136" s="40"/>
      <c r="M136" s="40"/>
      <c r="N136" s="40"/>
      <c r="O136" s="40"/>
      <c r="P136" s="40"/>
      <c r="Q136" s="40"/>
      <c r="R136" s="40"/>
      <c r="S136" s="40"/>
      <c r="T136" s="40"/>
      <c r="U136" s="40"/>
      <c r="V136" s="40"/>
      <c r="W136" s="40"/>
      <c r="X136" s="40"/>
      <c r="Y136" s="40"/>
      <c r="Z136" s="40"/>
      <c r="AA136" s="40"/>
      <c r="AB136" s="48"/>
      <c r="AC136" s="59"/>
      <c r="AD136" s="5"/>
      <c r="AE136" s="62"/>
      <c r="AF136" s="5"/>
    </row>
    <row r="137" spans="1:32" x14ac:dyDescent="0.2">
      <c r="B137" s="2" t="s">
        <v>70</v>
      </c>
      <c r="G137" s="40">
        <v>0</v>
      </c>
      <c r="H137" s="40">
        <v>0</v>
      </c>
      <c r="I137" s="40">
        <v>0</v>
      </c>
      <c r="J137" s="40">
        <v>0</v>
      </c>
      <c r="K137" s="40">
        <v>0</v>
      </c>
      <c r="L137" s="40">
        <v>0</v>
      </c>
      <c r="M137" s="40">
        <v>0</v>
      </c>
      <c r="N137" s="40">
        <v>0</v>
      </c>
      <c r="O137" s="40">
        <v>0</v>
      </c>
      <c r="P137" s="40">
        <v>0</v>
      </c>
      <c r="Q137" s="40">
        <f>-4.845</f>
        <v>-4.8449999999999998</v>
      </c>
      <c r="R137" s="40">
        <v>0</v>
      </c>
      <c r="S137" s="40">
        <v>0</v>
      </c>
      <c r="T137" s="40">
        <v>0</v>
      </c>
      <c r="U137" s="40">
        <v>0</v>
      </c>
      <c r="V137" s="40">
        <v>0</v>
      </c>
      <c r="W137" s="40">
        <v>0</v>
      </c>
      <c r="X137" s="40">
        <v>0</v>
      </c>
      <c r="Y137" s="40">
        <v>0</v>
      </c>
      <c r="Z137" s="40">
        <v>0</v>
      </c>
      <c r="AA137" s="40">
        <v>0</v>
      </c>
      <c r="AB137" s="48"/>
      <c r="AC137" s="33">
        <f>SUM(G137:AB137)</f>
        <v>-4.8449999999999998</v>
      </c>
      <c r="AD137" s="5"/>
      <c r="AE137" s="65">
        <v>-7.1459999999999999</v>
      </c>
      <c r="AF137" s="5"/>
    </row>
    <row r="138" spans="1:32" x14ac:dyDescent="0.2">
      <c r="B138" s="2" t="s">
        <v>71</v>
      </c>
      <c r="G138" s="40">
        <v>0</v>
      </c>
      <c r="H138" s="40">
        <v>0</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v>0</v>
      </c>
      <c r="AB138" s="48"/>
      <c r="AC138" s="33">
        <f>SUM(G138:AB138)</f>
        <v>0</v>
      </c>
      <c r="AD138" s="5"/>
      <c r="AE138" s="65">
        <v>-0.106</v>
      </c>
      <c r="AF138" s="5"/>
    </row>
    <row r="139" spans="1:32" x14ac:dyDescent="0.2">
      <c r="B139" s="2" t="s">
        <v>72</v>
      </c>
      <c r="G139" s="40">
        <v>0</v>
      </c>
      <c r="H139" s="40">
        <v>0</v>
      </c>
      <c r="I139" s="40">
        <v>0</v>
      </c>
      <c r="J139" s="40">
        <v>0</v>
      </c>
      <c r="K139" s="40">
        <v>0</v>
      </c>
      <c r="L139" s="40">
        <v>0</v>
      </c>
      <c r="M139" s="40">
        <v>0</v>
      </c>
      <c r="N139" s="40">
        <v>0</v>
      </c>
      <c r="O139" s="40">
        <v>0</v>
      </c>
      <c r="P139" s="40">
        <v>0</v>
      </c>
      <c r="Q139" s="40">
        <v>-0.30099999999999999</v>
      </c>
      <c r="R139" s="40">
        <v>0</v>
      </c>
      <c r="S139" s="40">
        <v>0</v>
      </c>
      <c r="T139" s="40">
        <v>0</v>
      </c>
      <c r="U139" s="40">
        <v>0</v>
      </c>
      <c r="V139" s="40">
        <v>0</v>
      </c>
      <c r="W139" s="40">
        <v>0</v>
      </c>
      <c r="X139" s="40">
        <v>0</v>
      </c>
      <c r="Y139" s="40">
        <v>0</v>
      </c>
      <c r="Z139" s="40">
        <v>0</v>
      </c>
      <c r="AA139" s="40">
        <v>0</v>
      </c>
      <c r="AB139" s="48"/>
      <c r="AC139" s="33">
        <f>SUM(G139:AB139)</f>
        <v>-0.30099999999999999</v>
      </c>
      <c r="AD139" s="5"/>
      <c r="AE139" s="65">
        <v>-0.82499999999999996</v>
      </c>
      <c r="AF139" s="5"/>
    </row>
    <row r="140" spans="1:32" x14ac:dyDescent="0.2">
      <c r="B140" s="2" t="s">
        <v>73</v>
      </c>
      <c r="G140" s="32">
        <v>0</v>
      </c>
      <c r="H140" s="32">
        <v>0</v>
      </c>
      <c r="I140" s="32">
        <v>0</v>
      </c>
      <c r="J140" s="32">
        <v>0</v>
      </c>
      <c r="K140" s="32">
        <v>0</v>
      </c>
      <c r="L140" s="32">
        <v>0</v>
      </c>
      <c r="M140" s="32">
        <v>0</v>
      </c>
      <c r="N140" s="32">
        <v>0</v>
      </c>
      <c r="O140" s="32">
        <v>0</v>
      </c>
      <c r="P140" s="32">
        <v>0</v>
      </c>
      <c r="Q140" s="32">
        <v>-0.5</v>
      </c>
      <c r="R140" s="32">
        <v>0</v>
      </c>
      <c r="S140" s="32">
        <v>0</v>
      </c>
      <c r="T140" s="32">
        <v>0</v>
      </c>
      <c r="U140" s="32">
        <v>0</v>
      </c>
      <c r="V140" s="32">
        <v>0</v>
      </c>
      <c r="W140" s="32">
        <v>0</v>
      </c>
      <c r="X140" s="32">
        <v>0</v>
      </c>
      <c r="Y140" s="32">
        <v>0</v>
      </c>
      <c r="Z140" s="32">
        <v>0</v>
      </c>
      <c r="AA140" s="32">
        <v>0</v>
      </c>
      <c r="AB140" s="48"/>
      <c r="AC140" s="32">
        <f>SUM(G140:AB140)</f>
        <v>-0.5</v>
      </c>
      <c r="AD140" s="5"/>
      <c r="AE140" s="66">
        <v>-0.74370000000000003</v>
      </c>
      <c r="AF140" s="5"/>
    </row>
    <row r="141" spans="1:32" s="4" customFormat="1" x14ac:dyDescent="0.2">
      <c r="A141" s="67"/>
      <c r="B141" s="2" t="s">
        <v>74</v>
      </c>
      <c r="G141" s="40">
        <f t="shared" ref="G141:AA141" si="35">SUM(G137:G140)</f>
        <v>0</v>
      </c>
      <c r="H141" s="40">
        <f t="shared" si="35"/>
        <v>0</v>
      </c>
      <c r="I141" s="40">
        <f t="shared" si="35"/>
        <v>0</v>
      </c>
      <c r="J141" s="40">
        <f t="shared" si="35"/>
        <v>0</v>
      </c>
      <c r="K141" s="40">
        <f t="shared" si="35"/>
        <v>0</v>
      </c>
      <c r="L141" s="40">
        <f t="shared" si="35"/>
        <v>0</v>
      </c>
      <c r="M141" s="40">
        <f t="shared" si="35"/>
        <v>0</v>
      </c>
      <c r="N141" s="40">
        <f t="shared" si="35"/>
        <v>0</v>
      </c>
      <c r="O141" s="40">
        <f t="shared" si="35"/>
        <v>0</v>
      </c>
      <c r="P141" s="40">
        <f t="shared" si="35"/>
        <v>0</v>
      </c>
      <c r="Q141" s="40">
        <f t="shared" si="35"/>
        <v>-5.6459999999999999</v>
      </c>
      <c r="R141" s="40">
        <f t="shared" si="35"/>
        <v>0</v>
      </c>
      <c r="S141" s="40">
        <f t="shared" si="35"/>
        <v>0</v>
      </c>
      <c r="T141" s="40">
        <f t="shared" si="35"/>
        <v>0</v>
      </c>
      <c r="U141" s="40">
        <f t="shared" si="35"/>
        <v>0</v>
      </c>
      <c r="V141" s="40">
        <f t="shared" si="35"/>
        <v>0</v>
      </c>
      <c r="W141" s="40">
        <f t="shared" si="35"/>
        <v>0</v>
      </c>
      <c r="X141" s="40">
        <f t="shared" si="35"/>
        <v>0</v>
      </c>
      <c r="Y141" s="40">
        <f t="shared" si="35"/>
        <v>0</v>
      </c>
      <c r="Z141" s="40">
        <f t="shared" si="35"/>
        <v>0</v>
      </c>
      <c r="AA141" s="40">
        <f t="shared" si="35"/>
        <v>0</v>
      </c>
      <c r="AB141" s="48"/>
      <c r="AC141" s="33">
        <f>SUM(AC137:AC140)</f>
        <v>-5.6459999999999999</v>
      </c>
      <c r="AD141" s="3"/>
      <c r="AE141" s="4">
        <f>SUM(AE137:AE140)</f>
        <v>-8.8207000000000004</v>
      </c>
    </row>
    <row r="142" spans="1:32" s="4" customFormat="1" x14ac:dyDescent="0.2">
      <c r="A142" s="67"/>
      <c r="G142" s="40"/>
      <c r="H142" s="40"/>
      <c r="I142" s="40"/>
      <c r="J142" s="40"/>
      <c r="K142" s="40"/>
      <c r="L142" s="40"/>
      <c r="M142" s="40"/>
      <c r="N142" s="40"/>
      <c r="O142" s="40"/>
      <c r="P142" s="40"/>
      <c r="Q142" s="40"/>
      <c r="R142" s="40"/>
      <c r="S142" s="40"/>
      <c r="T142" s="40"/>
      <c r="U142" s="40"/>
      <c r="V142" s="40"/>
      <c r="W142" s="40"/>
      <c r="X142" s="40"/>
      <c r="Y142" s="40"/>
      <c r="Z142" s="40"/>
      <c r="AA142" s="40"/>
      <c r="AB142" s="48"/>
      <c r="AC142" s="40"/>
      <c r="AD142" s="3"/>
    </row>
    <row r="143" spans="1:32" s="26" customFormat="1" ht="13.5" thickBot="1" x14ac:dyDescent="0.25">
      <c r="A143" s="25" t="s">
        <v>75</v>
      </c>
      <c r="B143" s="68"/>
      <c r="G143" s="69">
        <f>G129+G141</f>
        <v>544.37500000000011</v>
      </c>
      <c r="H143" s="69">
        <f>H129+H141</f>
        <v>-77.291999999999973</v>
      </c>
      <c r="I143" s="69">
        <f t="shared" ref="I143:AA143" si="36">I129+I141</f>
        <v>123.19000000000004</v>
      </c>
      <c r="J143" s="69">
        <f t="shared" si="36"/>
        <v>-127.64400000000001</v>
      </c>
      <c r="K143" s="69">
        <f t="shared" si="36"/>
        <v>-101.58999999999997</v>
      </c>
      <c r="L143" s="69">
        <f t="shared" si="36"/>
        <v>-79.707000000000036</v>
      </c>
      <c r="M143" s="69">
        <f t="shared" si="36"/>
        <v>135.46600000000004</v>
      </c>
      <c r="N143" s="69">
        <f t="shared" si="36"/>
        <v>-94.128</v>
      </c>
      <c r="O143" s="69">
        <f t="shared" si="36"/>
        <v>-8.3200000000000056</v>
      </c>
      <c r="P143" s="69">
        <f t="shared" si="36"/>
        <v>-72.689000000000007</v>
      </c>
      <c r="Q143" s="69">
        <f t="shared" si="36"/>
        <v>99.069296999999963</v>
      </c>
      <c r="R143" s="69">
        <f t="shared" si="36"/>
        <v>-229.14799999999997</v>
      </c>
      <c r="S143" s="69">
        <f t="shared" si="36"/>
        <v>-46.828000000000003</v>
      </c>
      <c r="T143" s="69">
        <f t="shared" si="36"/>
        <v>18.319999999999951</v>
      </c>
      <c r="U143" s="69">
        <f t="shared" si="36"/>
        <v>11.786999999999978</v>
      </c>
      <c r="V143" s="69">
        <f t="shared" si="36"/>
        <v>-18.730000000000011</v>
      </c>
      <c r="W143" s="69">
        <f t="shared" si="36"/>
        <v>-1455.0479999999998</v>
      </c>
      <c r="X143" s="69">
        <f t="shared" si="36"/>
        <v>0</v>
      </c>
      <c r="Y143" s="69">
        <f t="shared" si="36"/>
        <v>0</v>
      </c>
      <c r="Z143" s="69">
        <f t="shared" si="36"/>
        <v>0</v>
      </c>
      <c r="AA143" s="69">
        <f t="shared" si="36"/>
        <v>0</v>
      </c>
      <c r="AB143" s="56"/>
      <c r="AC143" s="69">
        <f>AC129+AC141</f>
        <v>-1378.9397029999993</v>
      </c>
      <c r="AD143" s="30"/>
      <c r="AE143" s="69" t="e">
        <f>AE129+AE141</f>
        <v>#REF!</v>
      </c>
    </row>
    <row r="144" spans="1:32" ht="13.5" thickTop="1" x14ac:dyDescent="0.2">
      <c r="A144" s="18"/>
      <c r="G144" s="59"/>
      <c r="H144" s="33"/>
      <c r="I144" s="33"/>
      <c r="J144" s="33"/>
      <c r="K144" s="33"/>
      <c r="L144" s="33"/>
      <c r="M144" s="33"/>
      <c r="N144" s="33"/>
      <c r="O144" s="33"/>
      <c r="P144" s="33"/>
      <c r="Q144" s="33"/>
      <c r="R144" s="33"/>
      <c r="S144" s="33"/>
      <c r="T144" s="33"/>
      <c r="U144" s="33"/>
      <c r="V144" s="33"/>
      <c r="W144" s="33"/>
      <c r="X144" s="33"/>
      <c r="Y144" s="33"/>
      <c r="Z144" s="33"/>
      <c r="AA144" s="33"/>
      <c r="AB144" s="48"/>
      <c r="AC144" s="59"/>
      <c r="AD144" s="5"/>
      <c r="AE144" s="3"/>
    </row>
    <row r="145" spans="1:31" x14ac:dyDescent="0.2">
      <c r="G145" s="23"/>
      <c r="H145" s="40"/>
      <c r="I145" s="40"/>
      <c r="J145" s="40"/>
      <c r="K145" s="40"/>
      <c r="L145" s="40"/>
      <c r="M145" s="40"/>
      <c r="N145" s="40"/>
      <c r="O145" s="40"/>
      <c r="P145" s="40"/>
      <c r="Q145" s="40"/>
      <c r="R145" s="40"/>
      <c r="S145" s="40"/>
      <c r="T145" s="40"/>
      <c r="U145" s="40"/>
      <c r="V145" s="40"/>
      <c r="W145" s="40"/>
      <c r="X145" s="40"/>
      <c r="Y145" s="40"/>
      <c r="Z145" s="40"/>
      <c r="AA145" s="40"/>
      <c r="AB145" s="48"/>
      <c r="AC145" s="23"/>
      <c r="AD145" s="5"/>
      <c r="AE145" s="62"/>
    </row>
    <row r="146" spans="1:31" x14ac:dyDescent="0.2">
      <c r="G146" s="23"/>
      <c r="H146" s="40"/>
      <c r="I146" s="40"/>
      <c r="J146" s="40"/>
      <c r="K146" s="40"/>
      <c r="L146" s="40"/>
      <c r="M146" s="40"/>
      <c r="N146" s="40"/>
      <c r="O146" s="40"/>
      <c r="P146" s="40"/>
      <c r="Q146" s="40"/>
      <c r="R146" s="40"/>
      <c r="S146" s="40"/>
      <c r="T146" s="40"/>
      <c r="U146" s="40"/>
      <c r="V146" s="40"/>
      <c r="W146" s="40"/>
      <c r="X146" s="40"/>
      <c r="Y146" s="40"/>
      <c r="Z146" s="40"/>
      <c r="AA146" s="40"/>
      <c r="AB146" s="48"/>
      <c r="AC146" s="23"/>
      <c r="AD146" s="5"/>
      <c r="AE146" s="62"/>
    </row>
    <row r="147" spans="1:31" x14ac:dyDescent="0.2">
      <c r="A147" s="70" t="str">
        <f ca="1">CELL("filename")</f>
        <v>C:\Users\Felienne\Enron\EnronSpreadsheets\[louise_kitchen__23863__6_25 daily direct cash flow.xls]June</v>
      </c>
      <c r="B147" s="70"/>
      <c r="G147" s="23"/>
      <c r="H147" s="40"/>
      <c r="I147" s="40"/>
      <c r="J147" s="40"/>
      <c r="K147" s="40"/>
      <c r="L147" s="40"/>
      <c r="M147" s="40"/>
      <c r="N147" s="40"/>
      <c r="O147" s="40"/>
      <c r="P147" s="40"/>
      <c r="Q147" s="40"/>
      <c r="R147" s="40"/>
      <c r="S147" s="40"/>
      <c r="T147" s="40"/>
      <c r="U147" s="40"/>
      <c r="V147" s="40"/>
      <c r="W147" s="40"/>
      <c r="X147" s="40"/>
      <c r="Y147" s="40"/>
      <c r="Z147" s="40"/>
      <c r="AA147" s="40"/>
      <c r="AB147" s="48"/>
      <c r="AC147" s="23"/>
      <c r="AD147" s="5"/>
      <c r="AE147" s="59"/>
    </row>
    <row r="148" spans="1:31" x14ac:dyDescent="0.2">
      <c r="A148" s="70"/>
      <c r="B148" s="70"/>
      <c r="G148" s="23"/>
      <c r="H148" s="40"/>
      <c r="I148" s="40"/>
      <c r="J148" s="40"/>
      <c r="K148" s="40"/>
      <c r="L148" s="40"/>
      <c r="M148" s="40"/>
      <c r="N148" s="40"/>
      <c r="O148" s="40"/>
      <c r="P148" s="40"/>
      <c r="Q148" s="40"/>
      <c r="R148" s="40"/>
      <c r="S148" s="40"/>
      <c r="T148" s="40"/>
      <c r="U148" s="40"/>
      <c r="V148" s="40"/>
      <c r="W148" s="40"/>
      <c r="X148" s="40"/>
      <c r="Y148" s="40"/>
      <c r="Z148" s="40"/>
      <c r="AA148" s="40"/>
      <c r="AB148" s="48"/>
      <c r="AC148" s="23"/>
      <c r="AD148" s="5"/>
      <c r="AE148" s="59"/>
    </row>
    <row r="149" spans="1:31" x14ac:dyDescent="0.2">
      <c r="A149" s="2"/>
      <c r="B149" s="2"/>
      <c r="G149" s="2"/>
      <c r="H149" s="76"/>
      <c r="I149" s="76"/>
      <c r="J149" s="76"/>
      <c r="K149" s="76"/>
      <c r="L149" s="76"/>
      <c r="M149" s="76"/>
      <c r="N149" s="76"/>
      <c r="O149" s="76"/>
      <c r="P149" s="76"/>
      <c r="Q149" s="76"/>
      <c r="R149" s="76"/>
      <c r="S149" s="76"/>
      <c r="T149" s="76"/>
      <c r="U149" s="76"/>
      <c r="V149" s="76"/>
      <c r="W149" s="76"/>
      <c r="X149" s="76"/>
      <c r="Y149" s="76"/>
      <c r="Z149" s="76"/>
      <c r="AA149" s="76"/>
      <c r="AB149" s="78"/>
      <c r="AD149" s="5"/>
    </row>
    <row r="150" spans="1:31" x14ac:dyDescent="0.2">
      <c r="A150" s="2"/>
      <c r="B150" s="2"/>
      <c r="G150" s="2"/>
      <c r="H150" s="76"/>
      <c r="I150" s="76"/>
      <c r="J150" s="76"/>
      <c r="K150" s="76"/>
      <c r="L150" s="76"/>
      <c r="M150" s="76"/>
      <c r="N150" s="76"/>
      <c r="O150" s="76"/>
      <c r="P150" s="76"/>
      <c r="Q150" s="76"/>
      <c r="R150" s="76"/>
      <c r="S150" s="76"/>
      <c r="T150" s="76"/>
      <c r="U150" s="76"/>
      <c r="V150" s="76"/>
      <c r="W150" s="76"/>
      <c r="X150" s="76"/>
      <c r="Y150" s="76"/>
      <c r="Z150" s="76"/>
      <c r="AA150" s="76"/>
      <c r="AB150" s="78"/>
      <c r="AD150" s="5"/>
    </row>
    <row r="151" spans="1:31" x14ac:dyDescent="0.2">
      <c r="A151" s="2"/>
      <c r="B151" s="2"/>
      <c r="G151" s="2"/>
      <c r="H151" s="76"/>
      <c r="I151" s="2"/>
      <c r="J151" s="2"/>
      <c r="K151" s="2"/>
      <c r="P151" s="2"/>
      <c r="Q151" s="2"/>
      <c r="R151" s="2"/>
      <c r="AD151" s="5"/>
    </row>
    <row r="152" spans="1:31" x14ac:dyDescent="0.2">
      <c r="A152" s="2"/>
      <c r="B152" s="2"/>
      <c r="G152" s="2"/>
      <c r="H152" s="76"/>
      <c r="I152" s="2"/>
      <c r="J152" s="2"/>
      <c r="K152" s="2"/>
      <c r="P152" s="2"/>
      <c r="Q152" s="2"/>
      <c r="R152" s="2"/>
      <c r="AD152" s="5"/>
    </row>
    <row r="153" spans="1:31" x14ac:dyDescent="0.2">
      <c r="A153" s="2"/>
      <c r="B153" s="2"/>
      <c r="G153" s="2"/>
      <c r="H153" s="76"/>
      <c r="I153" s="2"/>
      <c r="J153" s="2"/>
      <c r="K153" s="2"/>
      <c r="P153" s="2"/>
      <c r="Q153" s="2"/>
      <c r="R153" s="2"/>
      <c r="AD153" s="5"/>
    </row>
    <row r="154" spans="1:31" x14ac:dyDescent="0.2">
      <c r="A154" s="2"/>
      <c r="B154" s="2"/>
      <c r="G154" s="2"/>
      <c r="H154" s="76"/>
      <c r="I154" s="2"/>
      <c r="J154" s="2"/>
      <c r="K154" s="2"/>
      <c r="P154" s="2"/>
      <c r="Q154" s="2"/>
      <c r="R154" s="2"/>
      <c r="AD154" s="5"/>
    </row>
    <row r="155" spans="1:31" x14ac:dyDescent="0.2">
      <c r="A155" s="2"/>
      <c r="B155" s="2"/>
      <c r="G155" s="2"/>
      <c r="H155" s="76"/>
      <c r="I155" s="2"/>
      <c r="J155" s="2"/>
      <c r="K155" s="2"/>
      <c r="P155" s="2"/>
      <c r="Q155" s="2"/>
      <c r="R155" s="2"/>
      <c r="AD155" s="5"/>
    </row>
    <row r="156" spans="1:31" x14ac:dyDescent="0.2">
      <c r="A156" s="2"/>
      <c r="B156" s="2"/>
      <c r="G156" s="2"/>
      <c r="H156" s="76"/>
      <c r="I156" s="2"/>
      <c r="J156" s="2"/>
      <c r="K156" s="2"/>
      <c r="P156" s="2"/>
      <c r="Q156" s="2"/>
      <c r="R156" s="2"/>
      <c r="AD156" s="5"/>
      <c r="AE156" s="5"/>
    </row>
    <row r="157" spans="1:31" x14ac:dyDescent="0.2">
      <c r="A157" s="2"/>
      <c r="B157" s="2"/>
      <c r="G157" s="2"/>
      <c r="H157" s="76"/>
      <c r="I157" s="2"/>
      <c r="J157" s="2"/>
      <c r="K157" s="2"/>
      <c r="P157" s="2"/>
      <c r="Q157" s="2"/>
      <c r="R157" s="2"/>
      <c r="AD157" s="5"/>
      <c r="AE157" s="5"/>
    </row>
    <row r="158" spans="1:31" x14ac:dyDescent="0.2">
      <c r="A158" s="2"/>
      <c r="B158" s="2"/>
      <c r="G158" s="2"/>
      <c r="H158" s="76"/>
      <c r="I158" s="2"/>
      <c r="J158" s="2"/>
      <c r="K158" s="2"/>
      <c r="P158" s="2"/>
      <c r="Q158" s="2"/>
      <c r="R158" s="2"/>
      <c r="AD158" s="5"/>
      <c r="AE158" s="5"/>
    </row>
    <row r="159" spans="1:31" x14ac:dyDescent="0.2">
      <c r="A159" s="2"/>
      <c r="B159" s="2"/>
      <c r="G159" s="2"/>
      <c r="H159" s="76"/>
      <c r="I159" s="2"/>
      <c r="J159" s="2"/>
      <c r="K159" s="2"/>
      <c r="P159" s="2"/>
      <c r="Q159" s="2"/>
      <c r="R159" s="2"/>
      <c r="AD159" s="5"/>
      <c r="AE159" s="5"/>
    </row>
    <row r="160" spans="1:31" x14ac:dyDescent="0.2">
      <c r="A160" s="2"/>
      <c r="B160" s="2"/>
      <c r="G160" s="2"/>
      <c r="H160" s="76"/>
      <c r="I160" s="2"/>
      <c r="J160" s="2"/>
      <c r="K160" s="2"/>
      <c r="P160" s="2"/>
      <c r="Q160" s="2"/>
      <c r="R160" s="2"/>
      <c r="AD160" s="5"/>
      <c r="AE160" s="5"/>
    </row>
    <row r="161" spans="1:31" x14ac:dyDescent="0.2">
      <c r="A161" s="2"/>
      <c r="B161" s="2"/>
      <c r="G161" s="2"/>
      <c r="H161" s="76"/>
      <c r="I161" s="2"/>
      <c r="J161" s="2"/>
      <c r="K161" s="2"/>
      <c r="P161" s="2"/>
      <c r="Q161" s="2"/>
      <c r="R161" s="2"/>
      <c r="AD161" s="5"/>
      <c r="AE161" s="5"/>
    </row>
    <row r="162" spans="1:31" x14ac:dyDescent="0.2">
      <c r="A162" s="2"/>
      <c r="B162" s="2"/>
      <c r="G162" s="2"/>
      <c r="H162" s="76"/>
      <c r="I162" s="2"/>
      <c r="J162" s="2"/>
      <c r="K162" s="2"/>
      <c r="P162" s="2"/>
      <c r="Q162" s="2"/>
      <c r="R162" s="2"/>
      <c r="AD162" s="5"/>
      <c r="AE162" s="5"/>
    </row>
    <row r="163" spans="1:31" x14ac:dyDescent="0.2">
      <c r="A163" s="2"/>
      <c r="B163" s="2"/>
      <c r="G163" s="2"/>
      <c r="H163" s="76"/>
      <c r="I163" s="2"/>
      <c r="J163" s="2"/>
      <c r="K163" s="2"/>
      <c r="P163" s="2"/>
      <c r="Q163" s="2"/>
      <c r="R163" s="2"/>
      <c r="AD163" s="5"/>
      <c r="AE163" s="5"/>
    </row>
    <row r="164" spans="1:31" x14ac:dyDescent="0.2">
      <c r="A164" s="2"/>
      <c r="B164" s="2"/>
      <c r="G164" s="2"/>
      <c r="H164" s="76"/>
      <c r="I164" s="2"/>
      <c r="J164" s="2"/>
      <c r="K164" s="2"/>
      <c r="P164" s="2"/>
      <c r="Q164" s="2"/>
      <c r="R164" s="2"/>
      <c r="AD164" s="5"/>
      <c r="AE164" s="5"/>
    </row>
    <row r="165" spans="1:31" x14ac:dyDescent="0.2">
      <c r="A165" s="2"/>
      <c r="B165" s="2"/>
      <c r="G165" s="2"/>
      <c r="H165" s="76"/>
      <c r="I165" s="2"/>
      <c r="J165" s="2"/>
      <c r="K165" s="2"/>
      <c r="P165" s="2"/>
      <c r="Q165" s="2"/>
      <c r="R165" s="2"/>
      <c r="AD165" s="5"/>
      <c r="AE165" s="5"/>
    </row>
    <row r="166" spans="1:31" x14ac:dyDescent="0.2">
      <c r="A166" s="2"/>
      <c r="B166" s="2"/>
      <c r="G166" s="2"/>
      <c r="H166" s="76"/>
      <c r="I166" s="2"/>
      <c r="J166" s="2"/>
      <c r="K166" s="2"/>
      <c r="P166" s="2"/>
      <c r="Q166" s="2"/>
      <c r="R166" s="2"/>
      <c r="AD166" s="5"/>
      <c r="AE166" s="5"/>
    </row>
    <row r="167" spans="1:31" x14ac:dyDescent="0.2">
      <c r="A167" s="2"/>
      <c r="B167" s="2"/>
      <c r="G167" s="2"/>
      <c r="H167" s="76"/>
      <c r="I167" s="2"/>
      <c r="J167" s="2"/>
      <c r="K167" s="2"/>
      <c r="P167" s="2"/>
      <c r="Q167" s="2"/>
      <c r="R167" s="2"/>
      <c r="AD167" s="5"/>
      <c r="AE167" s="5"/>
    </row>
    <row r="168" spans="1:31" x14ac:dyDescent="0.2">
      <c r="A168" s="2"/>
      <c r="B168" s="2"/>
      <c r="G168" s="2"/>
      <c r="H168" s="76"/>
      <c r="I168" s="2"/>
      <c r="J168" s="2"/>
      <c r="K168" s="2"/>
      <c r="P168" s="2"/>
      <c r="Q168" s="2"/>
      <c r="R168" s="2"/>
      <c r="AD168" s="5"/>
      <c r="AE168" s="5"/>
    </row>
    <row r="169" spans="1:31" x14ac:dyDescent="0.2">
      <c r="A169" s="2"/>
      <c r="B169" s="2"/>
      <c r="G169" s="2"/>
      <c r="H169" s="76"/>
      <c r="I169" s="2"/>
      <c r="J169" s="2"/>
      <c r="K169" s="2"/>
      <c r="P169" s="2"/>
      <c r="Q169" s="2"/>
      <c r="R169" s="2"/>
      <c r="AD169" s="5"/>
      <c r="AE169" s="5"/>
    </row>
    <row r="170" spans="1:31" x14ac:dyDescent="0.2">
      <c r="A170" s="2"/>
      <c r="B170" s="2"/>
      <c r="G170" s="2"/>
      <c r="H170" s="76"/>
      <c r="I170" s="2"/>
      <c r="J170" s="2"/>
      <c r="K170" s="2"/>
      <c r="P170" s="2"/>
      <c r="Q170" s="2"/>
      <c r="R170" s="2"/>
      <c r="AD170" s="5"/>
      <c r="AE170" s="5"/>
    </row>
    <row r="171" spans="1:31" x14ac:dyDescent="0.2">
      <c r="A171" s="2"/>
      <c r="B171" s="2"/>
      <c r="G171" s="2"/>
      <c r="H171" s="76"/>
      <c r="I171" s="2"/>
      <c r="J171" s="2"/>
      <c r="K171" s="2"/>
      <c r="P171" s="2"/>
      <c r="Q171" s="2"/>
      <c r="R171" s="2"/>
      <c r="AD171" s="5"/>
      <c r="AE171" s="5"/>
    </row>
    <row r="172" spans="1:31" x14ac:dyDescent="0.2">
      <c r="A172" s="2"/>
      <c r="B172" s="2"/>
      <c r="G172" s="2"/>
      <c r="H172" s="76"/>
      <c r="I172" s="2"/>
      <c r="J172" s="2"/>
      <c r="K172" s="2"/>
      <c r="P172" s="2"/>
      <c r="Q172" s="2"/>
      <c r="R172" s="2"/>
      <c r="AD172" s="5"/>
      <c r="AE172" s="5"/>
    </row>
    <row r="173" spans="1:31" s="72" customFormat="1" x14ac:dyDescent="0.2">
      <c r="A173" s="71"/>
      <c r="B173" s="71"/>
      <c r="H173" s="77"/>
      <c r="AB173" s="73"/>
      <c r="AD173" s="73"/>
      <c r="AE173" s="73"/>
    </row>
    <row r="174" spans="1:31" x14ac:dyDescent="0.2">
      <c r="C174" s="74" t="s">
        <v>76</v>
      </c>
      <c r="G174" s="23"/>
      <c r="H174" s="40"/>
      <c r="I174" s="23"/>
      <c r="J174" s="23"/>
      <c r="K174" s="23"/>
      <c r="L174" s="23"/>
      <c r="M174" s="23"/>
      <c r="N174" s="23"/>
      <c r="O174" s="23"/>
      <c r="P174" s="23"/>
      <c r="Q174" s="23"/>
      <c r="R174" s="23"/>
      <c r="S174" s="23"/>
      <c r="T174" s="23"/>
      <c r="U174" s="23"/>
      <c r="V174" s="23"/>
      <c r="W174" s="23"/>
      <c r="X174" s="23"/>
      <c r="Y174" s="23"/>
      <c r="Z174" s="23"/>
      <c r="AA174" s="23"/>
      <c r="AC174" s="23"/>
      <c r="AD174" s="5"/>
      <c r="AE174" s="5"/>
    </row>
    <row r="175" spans="1:31" x14ac:dyDescent="0.2">
      <c r="C175" s="2">
        <v>1</v>
      </c>
      <c r="D175" s="51" t="s">
        <v>77</v>
      </c>
      <c r="H175" s="33"/>
      <c r="L175" s="3"/>
      <c r="M175" s="3"/>
      <c r="N175" s="3"/>
      <c r="O175" s="3"/>
      <c r="P175" s="3"/>
      <c r="Q175" s="3"/>
      <c r="R175" s="3"/>
      <c r="S175" s="3"/>
      <c r="T175" s="3"/>
      <c r="U175" s="3"/>
      <c r="V175" s="3"/>
      <c r="W175" s="3"/>
      <c r="X175" s="3"/>
      <c r="Y175" s="3"/>
      <c r="Z175" s="3"/>
      <c r="AA175" s="3"/>
      <c r="AC175" s="3"/>
      <c r="AD175" s="5"/>
      <c r="AE175" s="5"/>
    </row>
    <row r="176" spans="1:31" x14ac:dyDescent="0.2">
      <c r="C176" s="2">
        <v>2</v>
      </c>
      <c r="D176" s="2" t="s">
        <v>78</v>
      </c>
      <c r="H176" s="33"/>
      <c r="L176" s="3"/>
      <c r="M176" s="3"/>
      <c r="N176" s="3"/>
      <c r="O176" s="3"/>
      <c r="P176" s="3"/>
      <c r="Q176" s="3"/>
      <c r="R176" s="3"/>
      <c r="S176" s="3"/>
      <c r="T176" s="3"/>
      <c r="U176" s="3"/>
      <c r="V176" s="3"/>
      <c r="W176" s="3"/>
      <c r="X176" s="3"/>
      <c r="Y176" s="3"/>
      <c r="Z176" s="3"/>
      <c r="AA176" s="3"/>
      <c r="AC176" s="3"/>
      <c r="AD176" s="5"/>
      <c r="AE176" s="5"/>
    </row>
    <row r="177" spans="3:31" x14ac:dyDescent="0.2">
      <c r="C177" s="2">
        <v>3</v>
      </c>
      <c r="D177" s="2" t="s">
        <v>79</v>
      </c>
      <c r="H177" s="33"/>
      <c r="K177" s="23"/>
      <c r="L177" s="23"/>
      <c r="AC177" s="3"/>
      <c r="AD177" s="5"/>
      <c r="AE177" s="5"/>
    </row>
    <row r="178" spans="3:31" x14ac:dyDescent="0.2">
      <c r="C178" s="2">
        <v>4</v>
      </c>
      <c r="D178" s="2" t="s">
        <v>87</v>
      </c>
      <c r="H178" s="33"/>
      <c r="K178" s="23"/>
      <c r="L178" s="23"/>
      <c r="AC178" s="3"/>
      <c r="AD178" s="5"/>
      <c r="AE178" s="5"/>
    </row>
    <row r="179" spans="3:31" x14ac:dyDescent="0.2">
      <c r="E179" s="2" t="s">
        <v>80</v>
      </c>
      <c r="H179" s="33"/>
      <c r="K179" s="23"/>
      <c r="L179" s="23"/>
      <c r="AC179" s="3"/>
      <c r="AD179" s="5"/>
      <c r="AE179" s="5"/>
    </row>
    <row r="180" spans="3:31" x14ac:dyDescent="0.2">
      <c r="E180" s="2" t="s">
        <v>81</v>
      </c>
      <c r="H180" s="33"/>
      <c r="K180" s="23"/>
      <c r="L180" s="23"/>
      <c r="AC180" s="3"/>
      <c r="AD180" s="5"/>
      <c r="AE180" s="5"/>
    </row>
    <row r="181" spans="3:31" x14ac:dyDescent="0.2">
      <c r="E181" s="2" t="s">
        <v>82</v>
      </c>
      <c r="H181" s="33"/>
      <c r="K181" s="23"/>
      <c r="L181" s="23"/>
      <c r="AC181" s="3"/>
      <c r="AD181" s="5"/>
      <c r="AE181" s="5"/>
    </row>
    <row r="182" spans="3:31" x14ac:dyDescent="0.2">
      <c r="C182" s="2">
        <v>5</v>
      </c>
      <c r="D182" s="2" t="s">
        <v>83</v>
      </c>
      <c r="H182" s="33"/>
      <c r="K182" s="23"/>
      <c r="L182" s="23"/>
      <c r="AC182" s="3"/>
      <c r="AD182" s="5"/>
      <c r="AE182" s="5"/>
    </row>
    <row r="183" spans="3:31" x14ac:dyDescent="0.2">
      <c r="E183" s="2" t="s">
        <v>84</v>
      </c>
      <c r="H183" s="33"/>
      <c r="K183" s="23"/>
      <c r="L183" s="23"/>
      <c r="AC183" s="3"/>
      <c r="AD183" s="5"/>
      <c r="AE183" s="5"/>
    </row>
    <row r="184" spans="3:31" x14ac:dyDescent="0.2">
      <c r="E184" s="2" t="s">
        <v>85</v>
      </c>
      <c r="H184" s="33"/>
      <c r="K184" s="23"/>
      <c r="L184" s="23"/>
      <c r="AC184" s="3"/>
      <c r="AD184" s="5"/>
      <c r="AE184" s="5"/>
    </row>
    <row r="185" spans="3:31" x14ac:dyDescent="0.2">
      <c r="E185" s="2" t="s">
        <v>86</v>
      </c>
      <c r="K185" s="23"/>
      <c r="L185" s="23"/>
      <c r="AC185" s="3"/>
      <c r="AD185" s="5"/>
      <c r="AE185" s="5"/>
    </row>
    <row r="186" spans="3:31" x14ac:dyDescent="0.2">
      <c r="C186" s="2">
        <v>6</v>
      </c>
      <c r="K186" s="23"/>
      <c r="L186" s="23"/>
      <c r="AC186" s="3"/>
      <c r="AD186" s="5"/>
      <c r="AE186" s="5"/>
    </row>
    <row r="187" spans="3:31" x14ac:dyDescent="0.2">
      <c r="K187" s="23"/>
      <c r="L187" s="23"/>
      <c r="AC187" s="3"/>
      <c r="AD187" s="5"/>
      <c r="AE187" s="5"/>
    </row>
    <row r="188" spans="3:31" x14ac:dyDescent="0.2">
      <c r="K188" s="23"/>
      <c r="L188" s="23"/>
      <c r="AC188" s="3"/>
      <c r="AD188" s="5"/>
      <c r="AE188" s="5"/>
    </row>
    <row r="189" spans="3:31" x14ac:dyDescent="0.2">
      <c r="K189" s="23"/>
      <c r="L189" s="23"/>
      <c r="AC189" s="3"/>
      <c r="AD189" s="5"/>
      <c r="AE189" s="5"/>
    </row>
    <row r="190" spans="3:31" x14ac:dyDescent="0.2">
      <c r="K190" s="23"/>
      <c r="L190" s="23"/>
      <c r="AC190" s="3"/>
      <c r="AD190" s="5"/>
      <c r="AE190" s="5"/>
    </row>
    <row r="191" spans="3:31" x14ac:dyDescent="0.2">
      <c r="K191" s="23"/>
      <c r="L191" s="23"/>
      <c r="AC191" s="3"/>
      <c r="AD191" s="5"/>
      <c r="AE191" s="5"/>
    </row>
    <row r="192" spans="3:31" x14ac:dyDescent="0.2">
      <c r="K192" s="23"/>
      <c r="L192" s="23"/>
      <c r="AC192" s="3"/>
      <c r="AD192" s="5"/>
      <c r="AE192" s="5"/>
    </row>
    <row r="193" spans="11:31" x14ac:dyDescent="0.2">
      <c r="K193" s="23"/>
      <c r="L193" s="23"/>
      <c r="AC193" s="3"/>
      <c r="AD193" s="5"/>
      <c r="AE193" s="5"/>
    </row>
    <row r="194" spans="11:31" x14ac:dyDescent="0.2">
      <c r="K194" s="23"/>
      <c r="L194" s="23"/>
      <c r="AC194" s="3"/>
      <c r="AD194" s="5"/>
      <c r="AE194" s="5"/>
    </row>
    <row r="195" spans="11:31" x14ac:dyDescent="0.2">
      <c r="K195" s="23"/>
      <c r="L195" s="23"/>
      <c r="AC195" s="3"/>
      <c r="AD195" s="5"/>
      <c r="AE195" s="5"/>
    </row>
    <row r="196" spans="11:31" x14ac:dyDescent="0.2">
      <c r="K196" s="23"/>
      <c r="L196" s="23"/>
      <c r="AC196" s="3"/>
      <c r="AD196" s="5"/>
      <c r="AE196" s="5"/>
    </row>
    <row r="197" spans="11:31" x14ac:dyDescent="0.2">
      <c r="K197" s="23"/>
      <c r="L197" s="23"/>
      <c r="AC197" s="3"/>
      <c r="AD197" s="5"/>
      <c r="AE197" s="5"/>
    </row>
    <row r="198" spans="11:31" x14ac:dyDescent="0.2">
      <c r="K198" s="23"/>
      <c r="L198" s="23"/>
      <c r="AC198" s="3"/>
      <c r="AD198" s="5"/>
      <c r="AE198" s="5"/>
    </row>
    <row r="199" spans="11:31" x14ac:dyDescent="0.2">
      <c r="K199" s="23"/>
      <c r="L199" s="23"/>
      <c r="AC199" s="3"/>
      <c r="AD199" s="5"/>
      <c r="AE199" s="5"/>
    </row>
    <row r="200" spans="11:31" x14ac:dyDescent="0.2">
      <c r="K200" s="23"/>
      <c r="L200" s="23"/>
      <c r="AC200" s="3"/>
      <c r="AD200" s="5"/>
      <c r="AE200" s="5"/>
    </row>
    <row r="201" spans="11:31" x14ac:dyDescent="0.2">
      <c r="K201" s="23"/>
      <c r="L201" s="23"/>
      <c r="AC201" s="3"/>
      <c r="AD201" s="5"/>
      <c r="AE201" s="5"/>
    </row>
    <row r="202" spans="11:31" x14ac:dyDescent="0.2">
      <c r="K202" s="23"/>
      <c r="L202" s="23"/>
      <c r="AC202" s="3"/>
      <c r="AD202" s="5"/>
      <c r="AE202" s="5"/>
    </row>
    <row r="203" spans="11:31" x14ac:dyDescent="0.2">
      <c r="K203" s="23"/>
      <c r="L203" s="23"/>
      <c r="AC203" s="3"/>
      <c r="AD203" s="5"/>
      <c r="AE203" s="5"/>
    </row>
    <row r="204" spans="11:31" x14ac:dyDescent="0.2">
      <c r="K204" s="23"/>
      <c r="L204" s="23"/>
      <c r="AC204" s="3"/>
      <c r="AD204" s="5"/>
      <c r="AE204" s="5"/>
    </row>
    <row r="205" spans="11:31" x14ac:dyDescent="0.2">
      <c r="K205" s="23"/>
      <c r="L205" s="23"/>
      <c r="AC205" s="3"/>
      <c r="AD205" s="5"/>
      <c r="AE205" s="5"/>
    </row>
    <row r="206" spans="11:31" x14ac:dyDescent="0.2">
      <c r="K206" s="23"/>
      <c r="L206" s="23"/>
      <c r="AC206" s="3"/>
      <c r="AD206" s="5"/>
      <c r="AE206" s="5"/>
    </row>
    <row r="207" spans="11:31" x14ac:dyDescent="0.2">
      <c r="K207" s="23"/>
      <c r="L207" s="23"/>
      <c r="AC207" s="3"/>
      <c r="AD207" s="5"/>
      <c r="AE207" s="5"/>
    </row>
    <row r="208" spans="11:31" x14ac:dyDescent="0.2">
      <c r="K208" s="23"/>
      <c r="L208" s="23"/>
      <c r="AC208" s="3"/>
      <c r="AD208" s="5"/>
      <c r="AE208" s="5"/>
    </row>
    <row r="209" spans="11:29" x14ac:dyDescent="0.2">
      <c r="K209" s="23"/>
      <c r="L209" s="23"/>
      <c r="AC209" s="4"/>
    </row>
    <row r="210" spans="11:29" x14ac:dyDescent="0.2">
      <c r="K210" s="23"/>
      <c r="L210" s="23"/>
    </row>
    <row r="211" spans="11:29" x14ac:dyDescent="0.2">
      <c r="K211" s="23"/>
      <c r="L211" s="23"/>
    </row>
    <row r="212" spans="11:29" x14ac:dyDescent="0.2">
      <c r="K212" s="23"/>
      <c r="L212" s="23"/>
    </row>
    <row r="213" spans="11:29" x14ac:dyDescent="0.2">
      <c r="L213" s="23"/>
    </row>
    <row r="214" spans="11:29" x14ac:dyDescent="0.2">
      <c r="L214" s="23"/>
    </row>
    <row r="215" spans="11:29" x14ac:dyDescent="0.2">
      <c r="L215" s="23"/>
    </row>
    <row r="216" spans="11:29" x14ac:dyDescent="0.2">
      <c r="L216" s="23"/>
    </row>
    <row r="217" spans="11:29" x14ac:dyDescent="0.2">
      <c r="L217" s="23"/>
    </row>
    <row r="218" spans="11:29" x14ac:dyDescent="0.2">
      <c r="L218" s="23"/>
    </row>
    <row r="219" spans="11:29" x14ac:dyDescent="0.2">
      <c r="L219" s="23"/>
    </row>
    <row r="220" spans="11:29" x14ac:dyDescent="0.2">
      <c r="L220" s="23"/>
    </row>
    <row r="221" spans="11:29" x14ac:dyDescent="0.2">
      <c r="L221" s="23"/>
    </row>
    <row r="222" spans="11:29" x14ac:dyDescent="0.2">
      <c r="L222" s="23"/>
    </row>
    <row r="223" spans="11:29" x14ac:dyDescent="0.2">
      <c r="L223" s="23"/>
    </row>
    <row r="224" spans="11:29" x14ac:dyDescent="0.2">
      <c r="L224" s="23"/>
    </row>
    <row r="225" spans="12:12" x14ac:dyDescent="0.2">
      <c r="L225" s="23"/>
    </row>
    <row r="226" spans="12:12" x14ac:dyDescent="0.2">
      <c r="L226" s="23"/>
    </row>
    <row r="227" spans="12:12" x14ac:dyDescent="0.2">
      <c r="L227" s="23"/>
    </row>
    <row r="228" spans="12:12" x14ac:dyDescent="0.2">
      <c r="L228" s="23"/>
    </row>
    <row r="229" spans="12:12" x14ac:dyDescent="0.2">
      <c r="L229" s="23"/>
    </row>
    <row r="230" spans="12:12" x14ac:dyDescent="0.2">
      <c r="L230" s="23"/>
    </row>
    <row r="231" spans="12:12" x14ac:dyDescent="0.2">
      <c r="L231" s="23"/>
    </row>
    <row r="232" spans="12:12" x14ac:dyDescent="0.2">
      <c r="L232" s="23"/>
    </row>
    <row r="233" spans="12:12" x14ac:dyDescent="0.2">
      <c r="L233" s="23"/>
    </row>
    <row r="234" spans="12:12" x14ac:dyDescent="0.2">
      <c r="L234" s="23"/>
    </row>
    <row r="235" spans="12:12" x14ac:dyDescent="0.2">
      <c r="L235" s="23"/>
    </row>
    <row r="236" spans="12:12" x14ac:dyDescent="0.2">
      <c r="L236" s="23"/>
    </row>
    <row r="237" spans="12:12" x14ac:dyDescent="0.2">
      <c r="L237" s="23"/>
    </row>
    <row r="238" spans="12:12" x14ac:dyDescent="0.2">
      <c r="L238" s="23"/>
    </row>
    <row r="239" spans="12:12" x14ac:dyDescent="0.2">
      <c r="L239" s="23"/>
    </row>
    <row r="240" spans="12:12" x14ac:dyDescent="0.2">
      <c r="L240" s="23"/>
    </row>
    <row r="241" spans="12:12" x14ac:dyDescent="0.2">
      <c r="L241" s="23"/>
    </row>
    <row r="242" spans="12:12" x14ac:dyDescent="0.2">
      <c r="L242" s="23"/>
    </row>
    <row r="243" spans="12:12" x14ac:dyDescent="0.2">
      <c r="L243" s="23"/>
    </row>
    <row r="244" spans="12:12" x14ac:dyDescent="0.2">
      <c r="L244" s="23"/>
    </row>
    <row r="245" spans="12:12" x14ac:dyDescent="0.2">
      <c r="L245" s="23"/>
    </row>
    <row r="246" spans="12:12" x14ac:dyDescent="0.2">
      <c r="L246" s="23"/>
    </row>
    <row r="247" spans="12:12" x14ac:dyDescent="0.2">
      <c r="L247" s="23"/>
    </row>
    <row r="248" spans="12:12" x14ac:dyDescent="0.2">
      <c r="L248" s="23"/>
    </row>
    <row r="249" spans="12:12" x14ac:dyDescent="0.2">
      <c r="L249" s="23"/>
    </row>
    <row r="250" spans="12:12" x14ac:dyDescent="0.2">
      <c r="L250" s="23"/>
    </row>
    <row r="251" spans="12:12" x14ac:dyDescent="0.2">
      <c r="L251" s="23"/>
    </row>
    <row r="252" spans="12:12" x14ac:dyDescent="0.2">
      <c r="L252" s="23"/>
    </row>
    <row r="253" spans="12:12" x14ac:dyDescent="0.2">
      <c r="L253" s="23"/>
    </row>
    <row r="254" spans="12:12" x14ac:dyDescent="0.2">
      <c r="L254" s="23"/>
    </row>
    <row r="255" spans="12:12" x14ac:dyDescent="0.2">
      <c r="L255" s="23"/>
    </row>
    <row r="256" spans="12:12" x14ac:dyDescent="0.2">
      <c r="L256" s="23"/>
    </row>
    <row r="257" spans="12:12" x14ac:dyDescent="0.2">
      <c r="L257" s="23"/>
    </row>
    <row r="258" spans="12:12" x14ac:dyDescent="0.2">
      <c r="L258" s="23"/>
    </row>
    <row r="259" spans="12:12" x14ac:dyDescent="0.2">
      <c r="L259" s="23"/>
    </row>
    <row r="260" spans="12:12" x14ac:dyDescent="0.2">
      <c r="L260" s="23"/>
    </row>
    <row r="261" spans="12:12" x14ac:dyDescent="0.2">
      <c r="L261" s="23"/>
    </row>
    <row r="262" spans="12:12" x14ac:dyDescent="0.2">
      <c r="L262" s="23"/>
    </row>
    <row r="263" spans="12:12" x14ac:dyDescent="0.2">
      <c r="L263" s="23"/>
    </row>
    <row r="264" spans="12:12" x14ac:dyDescent="0.2">
      <c r="L264" s="23"/>
    </row>
    <row r="265" spans="12:12" x14ac:dyDescent="0.2">
      <c r="L265" s="23"/>
    </row>
    <row r="266" spans="12:12" x14ac:dyDescent="0.2">
      <c r="L266" s="23"/>
    </row>
    <row r="267" spans="12:12" x14ac:dyDescent="0.2">
      <c r="L267" s="23"/>
    </row>
    <row r="268" spans="12:12" x14ac:dyDescent="0.2">
      <c r="L268" s="23"/>
    </row>
    <row r="269" spans="12:12" x14ac:dyDescent="0.2">
      <c r="L269" s="23"/>
    </row>
    <row r="270" spans="12:12" x14ac:dyDescent="0.2">
      <c r="L270" s="23"/>
    </row>
    <row r="271" spans="12:12" x14ac:dyDescent="0.2">
      <c r="L271" s="23"/>
    </row>
    <row r="272" spans="12:12" x14ac:dyDescent="0.2">
      <c r="L272" s="23"/>
    </row>
    <row r="273" spans="12:12" x14ac:dyDescent="0.2">
      <c r="L273" s="23"/>
    </row>
    <row r="274" spans="12:12" x14ac:dyDescent="0.2">
      <c r="L274" s="23"/>
    </row>
    <row r="275" spans="12:12" x14ac:dyDescent="0.2">
      <c r="L275" s="23"/>
    </row>
    <row r="276" spans="12:12" x14ac:dyDescent="0.2">
      <c r="L276" s="23"/>
    </row>
    <row r="277" spans="12:12" x14ac:dyDescent="0.2">
      <c r="L277" s="23"/>
    </row>
    <row r="278" spans="12:12" x14ac:dyDescent="0.2">
      <c r="L278" s="23"/>
    </row>
    <row r="279" spans="12:12" x14ac:dyDescent="0.2">
      <c r="L279" s="23"/>
    </row>
    <row r="280" spans="12:12" x14ac:dyDescent="0.2">
      <c r="L280" s="23"/>
    </row>
    <row r="281" spans="12:12" x14ac:dyDescent="0.2">
      <c r="L281" s="23"/>
    </row>
    <row r="282" spans="12:12" x14ac:dyDescent="0.2">
      <c r="L282" s="23"/>
    </row>
    <row r="283" spans="12:12" x14ac:dyDescent="0.2">
      <c r="L283" s="23"/>
    </row>
    <row r="284" spans="12:12" x14ac:dyDescent="0.2">
      <c r="L284" s="23"/>
    </row>
    <row r="285" spans="12:12" x14ac:dyDescent="0.2">
      <c r="L285" s="23"/>
    </row>
    <row r="286" spans="12:12" x14ac:dyDescent="0.2">
      <c r="L286" s="23"/>
    </row>
    <row r="287" spans="12:12" x14ac:dyDescent="0.2">
      <c r="L287" s="23"/>
    </row>
    <row r="288" spans="12:12" x14ac:dyDescent="0.2">
      <c r="L288" s="23"/>
    </row>
    <row r="289" spans="12:12" x14ac:dyDescent="0.2">
      <c r="L289" s="23"/>
    </row>
    <row r="290" spans="12:12" x14ac:dyDescent="0.2">
      <c r="L290" s="23"/>
    </row>
    <row r="291" spans="12:12" x14ac:dyDescent="0.2">
      <c r="L291" s="23"/>
    </row>
    <row r="292" spans="12:12" x14ac:dyDescent="0.2">
      <c r="L292" s="23"/>
    </row>
    <row r="293" spans="12:12" x14ac:dyDescent="0.2">
      <c r="L293" s="23"/>
    </row>
    <row r="294" spans="12:12" x14ac:dyDescent="0.2">
      <c r="L294" s="23"/>
    </row>
    <row r="295" spans="12:12" x14ac:dyDescent="0.2">
      <c r="L295" s="23"/>
    </row>
    <row r="296" spans="12:12" x14ac:dyDescent="0.2">
      <c r="L296" s="4"/>
    </row>
    <row r="297" spans="12:12" x14ac:dyDescent="0.2">
      <c r="L297" s="4"/>
    </row>
    <row r="298" spans="12:12" x14ac:dyDescent="0.2">
      <c r="L298" s="4"/>
    </row>
    <row r="299" spans="12:12" x14ac:dyDescent="0.2">
      <c r="L299" s="4"/>
    </row>
    <row r="300" spans="12:12" x14ac:dyDescent="0.2">
      <c r="L300" s="4"/>
    </row>
    <row r="301" spans="12:12" x14ac:dyDescent="0.2">
      <c r="L301" s="4"/>
    </row>
    <row r="302" spans="12:12" x14ac:dyDescent="0.2">
      <c r="L302" s="4"/>
    </row>
    <row r="303" spans="12:12" x14ac:dyDescent="0.2">
      <c r="L303" s="4"/>
    </row>
    <row r="304" spans="12:12" x14ac:dyDescent="0.2">
      <c r="L304" s="4"/>
    </row>
    <row r="305" spans="12:12" x14ac:dyDescent="0.2">
      <c r="L305" s="4"/>
    </row>
    <row r="306" spans="12:12" x14ac:dyDescent="0.2">
      <c r="L306" s="4"/>
    </row>
    <row r="307" spans="12:12" x14ac:dyDescent="0.2">
      <c r="L307" s="4"/>
    </row>
    <row r="308" spans="12:12" x14ac:dyDescent="0.2">
      <c r="L308" s="4"/>
    </row>
    <row r="309" spans="12:12" x14ac:dyDescent="0.2">
      <c r="L309" s="4"/>
    </row>
    <row r="310" spans="12:12" x14ac:dyDescent="0.2">
      <c r="L310" s="4"/>
    </row>
    <row r="311" spans="12:12" x14ac:dyDescent="0.2">
      <c r="L311" s="4"/>
    </row>
    <row r="312" spans="12:12" x14ac:dyDescent="0.2">
      <c r="L312" s="4"/>
    </row>
    <row r="313" spans="12:12" x14ac:dyDescent="0.2">
      <c r="L313" s="4"/>
    </row>
    <row r="314" spans="12:12" x14ac:dyDescent="0.2">
      <c r="L314" s="4"/>
    </row>
    <row r="315" spans="12:12" x14ac:dyDescent="0.2">
      <c r="L315" s="4"/>
    </row>
    <row r="316" spans="12:12" x14ac:dyDescent="0.2">
      <c r="L316" s="4"/>
    </row>
    <row r="317" spans="12:12" x14ac:dyDescent="0.2">
      <c r="L317" s="4"/>
    </row>
    <row r="318" spans="12:12" x14ac:dyDescent="0.2">
      <c r="L318" s="4"/>
    </row>
    <row r="319" spans="12:12" x14ac:dyDescent="0.2">
      <c r="L319" s="4"/>
    </row>
    <row r="320" spans="12:12" x14ac:dyDescent="0.2">
      <c r="L320" s="4"/>
    </row>
    <row r="321" spans="12:12" x14ac:dyDescent="0.2">
      <c r="L321" s="4"/>
    </row>
    <row r="322" spans="12:12" x14ac:dyDescent="0.2">
      <c r="L322" s="4"/>
    </row>
    <row r="323" spans="12:12" x14ac:dyDescent="0.2">
      <c r="L323" s="4"/>
    </row>
    <row r="324" spans="12:12" x14ac:dyDescent="0.2">
      <c r="L324" s="4"/>
    </row>
    <row r="325" spans="12:12" x14ac:dyDescent="0.2">
      <c r="L325" s="4"/>
    </row>
    <row r="326" spans="12:12" x14ac:dyDescent="0.2">
      <c r="L326" s="4"/>
    </row>
    <row r="327" spans="12:12" x14ac:dyDescent="0.2">
      <c r="L327" s="4"/>
    </row>
    <row r="328" spans="12:12" x14ac:dyDescent="0.2">
      <c r="L328" s="4"/>
    </row>
    <row r="329" spans="12:12" x14ac:dyDescent="0.2">
      <c r="L329" s="4"/>
    </row>
    <row r="330" spans="12:12" x14ac:dyDescent="0.2">
      <c r="L330" s="4"/>
    </row>
    <row r="331" spans="12:12" x14ac:dyDescent="0.2">
      <c r="L331" s="4"/>
    </row>
    <row r="332" spans="12:12" x14ac:dyDescent="0.2">
      <c r="L332" s="4"/>
    </row>
    <row r="333" spans="12:12" x14ac:dyDescent="0.2">
      <c r="L333" s="4"/>
    </row>
    <row r="334" spans="12:12" x14ac:dyDescent="0.2">
      <c r="L334" s="4"/>
    </row>
    <row r="335" spans="12:12" x14ac:dyDescent="0.2">
      <c r="L335" s="4"/>
    </row>
    <row r="336" spans="12:12" x14ac:dyDescent="0.2">
      <c r="L336" s="4"/>
    </row>
    <row r="337" spans="12:12" x14ac:dyDescent="0.2">
      <c r="L337" s="4"/>
    </row>
    <row r="338" spans="12:12" x14ac:dyDescent="0.2">
      <c r="L338" s="4"/>
    </row>
    <row r="339" spans="12:12" x14ac:dyDescent="0.2">
      <c r="L339" s="4"/>
    </row>
    <row r="340" spans="12:12" x14ac:dyDescent="0.2">
      <c r="L340" s="4"/>
    </row>
    <row r="341" spans="12:12" x14ac:dyDescent="0.2">
      <c r="L341" s="4"/>
    </row>
    <row r="342" spans="12:12" x14ac:dyDescent="0.2">
      <c r="L342" s="4"/>
    </row>
    <row r="343" spans="12:12" x14ac:dyDescent="0.2">
      <c r="L343" s="4"/>
    </row>
    <row r="344" spans="12:12" x14ac:dyDescent="0.2">
      <c r="L344" s="4"/>
    </row>
    <row r="345" spans="12:12" x14ac:dyDescent="0.2">
      <c r="L345" s="4"/>
    </row>
    <row r="346" spans="12:12" x14ac:dyDescent="0.2">
      <c r="L346" s="4"/>
    </row>
    <row r="347" spans="12:12" x14ac:dyDescent="0.2">
      <c r="L347" s="4"/>
    </row>
    <row r="348" spans="12:12" x14ac:dyDescent="0.2">
      <c r="L348" s="4"/>
    </row>
    <row r="349" spans="12:12" x14ac:dyDescent="0.2">
      <c r="L349" s="4"/>
    </row>
    <row r="350" spans="12:12" x14ac:dyDescent="0.2">
      <c r="L350" s="4"/>
    </row>
    <row r="351" spans="12:12" x14ac:dyDescent="0.2">
      <c r="L351" s="4"/>
    </row>
    <row r="352" spans="12:12" x14ac:dyDescent="0.2">
      <c r="L352" s="4"/>
    </row>
    <row r="353" spans="12:12" x14ac:dyDescent="0.2">
      <c r="L353" s="4"/>
    </row>
    <row r="354" spans="12:12" x14ac:dyDescent="0.2">
      <c r="L354" s="4"/>
    </row>
    <row r="355" spans="12:12" x14ac:dyDescent="0.2">
      <c r="L355" s="4"/>
    </row>
    <row r="356" spans="12:12" x14ac:dyDescent="0.2">
      <c r="L356" s="4"/>
    </row>
    <row r="357" spans="12:12" x14ac:dyDescent="0.2">
      <c r="L357" s="4"/>
    </row>
    <row r="358" spans="12:12" x14ac:dyDescent="0.2">
      <c r="L358" s="4"/>
    </row>
    <row r="359" spans="12:12" x14ac:dyDescent="0.2">
      <c r="L359" s="4"/>
    </row>
    <row r="360" spans="12:12" x14ac:dyDescent="0.2">
      <c r="L360" s="4"/>
    </row>
    <row r="361" spans="12:12" x14ac:dyDescent="0.2">
      <c r="L361" s="4"/>
    </row>
    <row r="362" spans="12:12" x14ac:dyDescent="0.2">
      <c r="L362" s="4"/>
    </row>
    <row r="363" spans="12:12" x14ac:dyDescent="0.2">
      <c r="L363" s="4"/>
    </row>
    <row r="364" spans="12:12" x14ac:dyDescent="0.2">
      <c r="L364" s="4"/>
    </row>
    <row r="365" spans="12:12" x14ac:dyDescent="0.2">
      <c r="L365" s="4"/>
    </row>
    <row r="366" spans="12:12" x14ac:dyDescent="0.2">
      <c r="L366" s="4"/>
    </row>
    <row r="367" spans="12:12" x14ac:dyDescent="0.2">
      <c r="L367" s="4"/>
    </row>
    <row r="368" spans="12:12" x14ac:dyDescent="0.2">
      <c r="L368" s="4"/>
    </row>
    <row r="369" spans="12:12" x14ac:dyDescent="0.2">
      <c r="L369" s="4"/>
    </row>
    <row r="370" spans="12:12" x14ac:dyDescent="0.2">
      <c r="L370" s="4"/>
    </row>
    <row r="371" spans="12:12" x14ac:dyDescent="0.2">
      <c r="L371" s="4"/>
    </row>
    <row r="372" spans="12:12" x14ac:dyDescent="0.2">
      <c r="L372" s="4"/>
    </row>
    <row r="373" spans="12:12" x14ac:dyDescent="0.2">
      <c r="L373" s="4"/>
    </row>
    <row r="374" spans="12:12" x14ac:dyDescent="0.2">
      <c r="L374" s="4"/>
    </row>
    <row r="375" spans="12:12" x14ac:dyDescent="0.2">
      <c r="L375" s="4"/>
    </row>
    <row r="376" spans="12:12" x14ac:dyDescent="0.2">
      <c r="L376" s="4"/>
    </row>
    <row r="377" spans="12:12" x14ac:dyDescent="0.2">
      <c r="L377" s="4"/>
    </row>
    <row r="378" spans="12:12" x14ac:dyDescent="0.2">
      <c r="L378" s="4"/>
    </row>
    <row r="379" spans="12:12" x14ac:dyDescent="0.2">
      <c r="L379" s="4"/>
    </row>
    <row r="380" spans="12:12" x14ac:dyDescent="0.2">
      <c r="L380" s="4"/>
    </row>
    <row r="381" spans="12:12" x14ac:dyDescent="0.2">
      <c r="L381" s="4"/>
    </row>
    <row r="382" spans="12:12" x14ac:dyDescent="0.2">
      <c r="L382" s="4"/>
    </row>
    <row r="383" spans="12:12" x14ac:dyDescent="0.2">
      <c r="L383" s="4"/>
    </row>
    <row r="384" spans="12:12" x14ac:dyDescent="0.2">
      <c r="L384" s="4"/>
    </row>
    <row r="385" spans="12:12" x14ac:dyDescent="0.2">
      <c r="L385" s="4"/>
    </row>
    <row r="386" spans="12:12" x14ac:dyDescent="0.2">
      <c r="L386" s="4"/>
    </row>
    <row r="387" spans="12:12" x14ac:dyDescent="0.2">
      <c r="L387" s="4"/>
    </row>
    <row r="388" spans="12:12" x14ac:dyDescent="0.2">
      <c r="L388" s="4"/>
    </row>
    <row r="389" spans="12:12" x14ac:dyDescent="0.2">
      <c r="L389" s="4"/>
    </row>
    <row r="390" spans="12:12" x14ac:dyDescent="0.2">
      <c r="L390" s="4"/>
    </row>
    <row r="391" spans="12:12" x14ac:dyDescent="0.2">
      <c r="L391" s="4"/>
    </row>
    <row r="392" spans="12:12" x14ac:dyDescent="0.2">
      <c r="L392" s="4"/>
    </row>
    <row r="393" spans="12:12" x14ac:dyDescent="0.2">
      <c r="L393" s="4"/>
    </row>
    <row r="394" spans="12:12" x14ac:dyDescent="0.2">
      <c r="L394" s="4"/>
    </row>
    <row r="395" spans="12:12" x14ac:dyDescent="0.2">
      <c r="L395" s="4"/>
    </row>
    <row r="396" spans="12:12" x14ac:dyDescent="0.2">
      <c r="L396" s="4"/>
    </row>
    <row r="397" spans="12:12" x14ac:dyDescent="0.2">
      <c r="L397" s="4"/>
    </row>
    <row r="398" spans="12:12" x14ac:dyDescent="0.2">
      <c r="L398" s="4"/>
    </row>
    <row r="399" spans="12:12" x14ac:dyDescent="0.2">
      <c r="L399" s="4"/>
    </row>
    <row r="400" spans="12:12" x14ac:dyDescent="0.2">
      <c r="L400" s="4"/>
    </row>
    <row r="401" spans="12:12" x14ac:dyDescent="0.2">
      <c r="L401" s="4"/>
    </row>
    <row r="402" spans="12:12" x14ac:dyDescent="0.2">
      <c r="L402" s="4"/>
    </row>
    <row r="403" spans="12:12" x14ac:dyDescent="0.2">
      <c r="L403" s="4"/>
    </row>
    <row r="404" spans="12:12" x14ac:dyDescent="0.2">
      <c r="L404" s="4"/>
    </row>
    <row r="405" spans="12:12" x14ac:dyDescent="0.2">
      <c r="L405" s="4"/>
    </row>
    <row r="406" spans="12:12" x14ac:dyDescent="0.2">
      <c r="L406" s="4"/>
    </row>
    <row r="407" spans="12:12" x14ac:dyDescent="0.2">
      <c r="L407" s="4"/>
    </row>
    <row r="408" spans="12:12" x14ac:dyDescent="0.2">
      <c r="L408" s="4"/>
    </row>
    <row r="409" spans="12:12" x14ac:dyDescent="0.2">
      <c r="L409" s="4"/>
    </row>
    <row r="410" spans="12:12" x14ac:dyDescent="0.2">
      <c r="L410" s="4"/>
    </row>
    <row r="411" spans="12:12" x14ac:dyDescent="0.2">
      <c r="L411" s="4"/>
    </row>
    <row r="412" spans="12:12" x14ac:dyDescent="0.2">
      <c r="L412" s="4"/>
    </row>
    <row r="413" spans="12:12" x14ac:dyDescent="0.2">
      <c r="L413" s="4"/>
    </row>
    <row r="414" spans="12:12" x14ac:dyDescent="0.2">
      <c r="L414" s="4"/>
    </row>
    <row r="415" spans="12:12" x14ac:dyDescent="0.2">
      <c r="L415" s="4"/>
    </row>
    <row r="416" spans="12:12" x14ac:dyDescent="0.2">
      <c r="L416" s="4"/>
    </row>
    <row r="417" spans="12:12" x14ac:dyDescent="0.2">
      <c r="L417" s="4"/>
    </row>
    <row r="418" spans="12:12" x14ac:dyDescent="0.2">
      <c r="L418" s="4"/>
    </row>
    <row r="419" spans="12:12" x14ac:dyDescent="0.2">
      <c r="L419" s="4"/>
    </row>
    <row r="420" spans="12:12" x14ac:dyDescent="0.2">
      <c r="L420" s="4"/>
    </row>
    <row r="421" spans="12:12" x14ac:dyDescent="0.2">
      <c r="L421" s="4"/>
    </row>
    <row r="422" spans="12:12" x14ac:dyDescent="0.2">
      <c r="L422" s="4"/>
    </row>
    <row r="423" spans="12:12" x14ac:dyDescent="0.2">
      <c r="L423" s="4"/>
    </row>
    <row r="424" spans="12:12" x14ac:dyDescent="0.2">
      <c r="L424" s="4"/>
    </row>
    <row r="425" spans="12:12" x14ac:dyDescent="0.2">
      <c r="L425" s="4"/>
    </row>
    <row r="426" spans="12:12" x14ac:dyDescent="0.2">
      <c r="L426" s="4"/>
    </row>
    <row r="427" spans="12:12" x14ac:dyDescent="0.2">
      <c r="L427" s="4"/>
    </row>
    <row r="428" spans="12:12" x14ac:dyDescent="0.2">
      <c r="L428" s="4"/>
    </row>
    <row r="429" spans="12:12" x14ac:dyDescent="0.2">
      <c r="L429" s="4"/>
    </row>
    <row r="430" spans="12:12" x14ac:dyDescent="0.2">
      <c r="L430" s="4"/>
    </row>
    <row r="431" spans="12:12" x14ac:dyDescent="0.2">
      <c r="L431" s="4"/>
    </row>
    <row r="432" spans="12:12" x14ac:dyDescent="0.2">
      <c r="L432" s="4"/>
    </row>
    <row r="433" spans="12:12" x14ac:dyDescent="0.2">
      <c r="L433" s="4"/>
    </row>
    <row r="434" spans="12:12" x14ac:dyDescent="0.2">
      <c r="L434" s="4"/>
    </row>
    <row r="435" spans="12:12" x14ac:dyDescent="0.2">
      <c r="L435" s="4"/>
    </row>
    <row r="436" spans="12:12" x14ac:dyDescent="0.2">
      <c r="L436" s="4"/>
    </row>
    <row r="437" spans="12:12" x14ac:dyDescent="0.2">
      <c r="L437" s="4"/>
    </row>
    <row r="438" spans="12:12" x14ac:dyDescent="0.2">
      <c r="L438" s="4"/>
    </row>
    <row r="439" spans="12:12" x14ac:dyDescent="0.2">
      <c r="L439" s="4"/>
    </row>
    <row r="440" spans="12:12" x14ac:dyDescent="0.2">
      <c r="L440" s="4"/>
    </row>
    <row r="441" spans="12:12" x14ac:dyDescent="0.2">
      <c r="L441" s="4"/>
    </row>
    <row r="442" spans="12:12" x14ac:dyDescent="0.2">
      <c r="L442" s="4"/>
    </row>
    <row r="443" spans="12:12" x14ac:dyDescent="0.2">
      <c r="L443" s="4"/>
    </row>
    <row r="444" spans="12:12" x14ac:dyDescent="0.2">
      <c r="L444" s="4"/>
    </row>
    <row r="445" spans="12:12" x14ac:dyDescent="0.2">
      <c r="L445" s="4"/>
    </row>
    <row r="446" spans="12:12" x14ac:dyDescent="0.2">
      <c r="L446" s="4"/>
    </row>
    <row r="447" spans="12:12" x14ac:dyDescent="0.2">
      <c r="L447" s="4"/>
    </row>
    <row r="448" spans="12:12" x14ac:dyDescent="0.2">
      <c r="L448" s="4"/>
    </row>
    <row r="449" spans="12:12" x14ac:dyDescent="0.2">
      <c r="L449" s="4"/>
    </row>
    <row r="450" spans="12:12" x14ac:dyDescent="0.2">
      <c r="L450" s="4"/>
    </row>
    <row r="451" spans="12:12" x14ac:dyDescent="0.2">
      <c r="L451" s="4"/>
    </row>
    <row r="452" spans="12:12" x14ac:dyDescent="0.2">
      <c r="L452" s="4"/>
    </row>
    <row r="453" spans="12:12" x14ac:dyDescent="0.2">
      <c r="L453" s="4"/>
    </row>
    <row r="454" spans="12:12" x14ac:dyDescent="0.2">
      <c r="L454" s="4"/>
    </row>
    <row r="455" spans="12:12" x14ac:dyDescent="0.2">
      <c r="L455" s="4"/>
    </row>
    <row r="456" spans="12:12" x14ac:dyDescent="0.2">
      <c r="L456" s="4"/>
    </row>
    <row r="457" spans="12:12" x14ac:dyDescent="0.2">
      <c r="L457" s="4"/>
    </row>
    <row r="458" spans="12:12" x14ac:dyDescent="0.2">
      <c r="L458" s="4"/>
    </row>
    <row r="459" spans="12:12" x14ac:dyDescent="0.2">
      <c r="L459" s="4"/>
    </row>
    <row r="460" spans="12:12" x14ac:dyDescent="0.2">
      <c r="L460" s="4"/>
    </row>
    <row r="461" spans="12:12" x14ac:dyDescent="0.2">
      <c r="L461" s="4"/>
    </row>
    <row r="462" spans="12:12" x14ac:dyDescent="0.2">
      <c r="L462" s="4"/>
    </row>
    <row r="463" spans="12:12" x14ac:dyDescent="0.2">
      <c r="L463" s="4"/>
    </row>
    <row r="464" spans="12:12" x14ac:dyDescent="0.2">
      <c r="L464" s="4"/>
    </row>
    <row r="465" spans="12:12" x14ac:dyDescent="0.2">
      <c r="L465" s="4"/>
    </row>
    <row r="466" spans="12:12" x14ac:dyDescent="0.2">
      <c r="L466" s="4"/>
    </row>
    <row r="467" spans="12:12" x14ac:dyDescent="0.2">
      <c r="L467" s="4"/>
    </row>
    <row r="468" spans="12:12" x14ac:dyDescent="0.2">
      <c r="L468" s="4"/>
    </row>
    <row r="469" spans="12:12" x14ac:dyDescent="0.2">
      <c r="L469" s="4"/>
    </row>
    <row r="470" spans="12:12" x14ac:dyDescent="0.2">
      <c r="L470" s="4"/>
    </row>
    <row r="471" spans="12:12" x14ac:dyDescent="0.2">
      <c r="L471" s="4"/>
    </row>
    <row r="472" spans="12:12" x14ac:dyDescent="0.2">
      <c r="L472" s="4"/>
    </row>
    <row r="473" spans="12:12" x14ac:dyDescent="0.2">
      <c r="L473" s="4"/>
    </row>
    <row r="474" spans="12:12" x14ac:dyDescent="0.2">
      <c r="L474" s="4"/>
    </row>
    <row r="475" spans="12:12" x14ac:dyDescent="0.2">
      <c r="L475" s="4"/>
    </row>
    <row r="476" spans="12:12" x14ac:dyDescent="0.2">
      <c r="L476" s="4"/>
    </row>
    <row r="477" spans="12:12" x14ac:dyDescent="0.2">
      <c r="L477" s="4"/>
    </row>
    <row r="478" spans="12:12" x14ac:dyDescent="0.2">
      <c r="L478" s="4"/>
    </row>
    <row r="479" spans="12:12" x14ac:dyDescent="0.2">
      <c r="L479" s="4"/>
    </row>
    <row r="480" spans="12:12" x14ac:dyDescent="0.2">
      <c r="L480" s="4"/>
    </row>
  </sheetData>
  <phoneticPr fontId="0" type="noConversion"/>
  <pageMargins left="0.25" right="0.24" top="0.24" bottom="0.32" header="0.22" footer="0.32"/>
  <pageSetup scale="45"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I120"/>
  <sheetViews>
    <sheetView workbookViewId="0">
      <selection activeCell="A5" sqref="A5"/>
    </sheetView>
  </sheetViews>
  <sheetFormatPr defaultRowHeight="12.75" x14ac:dyDescent="0.2"/>
  <cols>
    <col min="8" max="8" width="7.42578125" bestFit="1" customWidth="1"/>
    <col min="9" max="9" width="12.28515625" style="81" bestFit="1" customWidth="1"/>
  </cols>
  <sheetData>
    <row r="3" spans="1:2" x14ac:dyDescent="0.2">
      <c r="A3" s="80" t="s">
        <v>171</v>
      </c>
    </row>
    <row r="4" spans="1:2" x14ac:dyDescent="0.2">
      <c r="A4" s="83" t="s">
        <v>173</v>
      </c>
    </row>
    <row r="5" spans="1:2" x14ac:dyDescent="0.2">
      <c r="A5" s="83"/>
    </row>
    <row r="6" spans="1:2" x14ac:dyDescent="0.2">
      <c r="A6" t="s">
        <v>94</v>
      </c>
      <c r="B6" t="s">
        <v>95</v>
      </c>
    </row>
    <row r="7" spans="1:2" x14ac:dyDescent="0.2">
      <c r="A7" t="s">
        <v>96</v>
      </c>
      <c r="B7" t="s">
        <v>97</v>
      </c>
    </row>
    <row r="8" spans="1:2" x14ac:dyDescent="0.2">
      <c r="A8" t="s">
        <v>98</v>
      </c>
      <c r="B8" t="s">
        <v>99</v>
      </c>
    </row>
    <row r="9" spans="1:2" x14ac:dyDescent="0.2">
      <c r="A9" t="s">
        <v>100</v>
      </c>
      <c r="B9" t="s">
        <v>101</v>
      </c>
    </row>
    <row r="11" spans="1:2" x14ac:dyDescent="0.2">
      <c r="A11" t="s">
        <v>102</v>
      </c>
    </row>
    <row r="13" spans="1:2" x14ac:dyDescent="0.2">
      <c r="A13" t="s">
        <v>103</v>
      </c>
    </row>
    <row r="14" spans="1:2" x14ac:dyDescent="0.2">
      <c r="A14" t="s">
        <v>94</v>
      </c>
      <c r="B14" t="s">
        <v>104</v>
      </c>
    </row>
    <row r="15" spans="1:2" x14ac:dyDescent="0.2">
      <c r="A15" t="s">
        <v>96</v>
      </c>
      <c r="B15" t="s">
        <v>105</v>
      </c>
    </row>
    <row r="16" spans="1:2" x14ac:dyDescent="0.2">
      <c r="A16" t="s">
        <v>98</v>
      </c>
      <c r="B16" t="s">
        <v>106</v>
      </c>
    </row>
    <row r="17" spans="1:2" x14ac:dyDescent="0.2">
      <c r="A17" t="s">
        <v>107</v>
      </c>
      <c r="B17" t="s">
        <v>108</v>
      </c>
    </row>
    <row r="18" spans="1:2" x14ac:dyDescent="0.2">
      <c r="A18" t="s">
        <v>100</v>
      </c>
      <c r="B18" t="s">
        <v>101</v>
      </c>
    </row>
    <row r="20" spans="1:2" x14ac:dyDescent="0.2">
      <c r="A20" t="s">
        <v>109</v>
      </c>
    </row>
    <row r="22" spans="1:2" x14ac:dyDescent="0.2">
      <c r="A22" t="s">
        <v>110</v>
      </c>
    </row>
    <row r="24" spans="1:2" x14ac:dyDescent="0.2">
      <c r="A24" t="s">
        <v>111</v>
      </c>
    </row>
    <row r="27" spans="1:2" x14ac:dyDescent="0.2">
      <c r="A27" t="s">
        <v>103</v>
      </c>
    </row>
    <row r="28" spans="1:2" x14ac:dyDescent="0.2">
      <c r="A28" t="s">
        <v>94</v>
      </c>
      <c r="B28" t="s">
        <v>112</v>
      </c>
    </row>
    <row r="29" spans="1:2" x14ac:dyDescent="0.2">
      <c r="A29" t="s">
        <v>96</v>
      </c>
      <c r="B29" t="s">
        <v>113</v>
      </c>
    </row>
    <row r="30" spans="1:2" x14ac:dyDescent="0.2">
      <c r="A30" t="s">
        <v>98</v>
      </c>
      <c r="B30" t="s">
        <v>114</v>
      </c>
    </row>
    <row r="31" spans="1:2" x14ac:dyDescent="0.2">
      <c r="A31" t="s">
        <v>100</v>
      </c>
      <c r="B31" t="s">
        <v>115</v>
      </c>
    </row>
    <row r="33" spans="1:2" x14ac:dyDescent="0.2">
      <c r="A33" t="s">
        <v>116</v>
      </c>
    </row>
    <row r="35" spans="1:2" x14ac:dyDescent="0.2">
      <c r="A35" t="s">
        <v>117</v>
      </c>
    </row>
    <row r="36" spans="1:2" x14ac:dyDescent="0.2">
      <c r="A36" t="s">
        <v>118</v>
      </c>
    </row>
    <row r="37" spans="1:2" x14ac:dyDescent="0.2">
      <c r="A37" t="s">
        <v>119</v>
      </c>
    </row>
    <row r="38" spans="1:2" x14ac:dyDescent="0.2">
      <c r="A38" t="s">
        <v>120</v>
      </c>
    </row>
    <row r="39" spans="1:2" x14ac:dyDescent="0.2">
      <c r="A39" t="s">
        <v>121</v>
      </c>
    </row>
    <row r="41" spans="1:2" x14ac:dyDescent="0.2">
      <c r="A41" t="s">
        <v>103</v>
      </c>
    </row>
    <row r="42" spans="1:2" x14ac:dyDescent="0.2">
      <c r="A42" t="s">
        <v>94</v>
      </c>
      <c r="B42" t="s">
        <v>122</v>
      </c>
    </row>
    <row r="43" spans="1:2" x14ac:dyDescent="0.2">
      <c r="A43" t="s">
        <v>96</v>
      </c>
      <c r="B43" t="s">
        <v>123</v>
      </c>
    </row>
    <row r="44" spans="1:2" x14ac:dyDescent="0.2">
      <c r="A44" t="s">
        <v>98</v>
      </c>
      <c r="B44" t="s">
        <v>124</v>
      </c>
    </row>
    <row r="45" spans="1:2" x14ac:dyDescent="0.2">
      <c r="A45" t="s">
        <v>100</v>
      </c>
      <c r="B45" t="s">
        <v>115</v>
      </c>
    </row>
    <row r="48" spans="1:2" x14ac:dyDescent="0.2">
      <c r="B48" t="s">
        <v>125</v>
      </c>
    </row>
    <row r="50" spans="1:2" x14ac:dyDescent="0.2">
      <c r="A50" t="s">
        <v>103</v>
      </c>
    </row>
    <row r="51" spans="1:2" x14ac:dyDescent="0.2">
      <c r="A51" t="s">
        <v>94</v>
      </c>
      <c r="B51" t="s">
        <v>104</v>
      </c>
    </row>
    <row r="52" spans="1:2" x14ac:dyDescent="0.2">
      <c r="A52" t="s">
        <v>96</v>
      </c>
      <c r="B52" t="s">
        <v>126</v>
      </c>
    </row>
    <row r="53" spans="1:2" x14ac:dyDescent="0.2">
      <c r="A53" t="s">
        <v>98</v>
      </c>
      <c r="B53" t="s">
        <v>127</v>
      </c>
    </row>
    <row r="54" spans="1:2" x14ac:dyDescent="0.2">
      <c r="A54" t="s">
        <v>107</v>
      </c>
      <c r="B54" t="s">
        <v>128</v>
      </c>
    </row>
    <row r="55" spans="1:2" x14ac:dyDescent="0.2">
      <c r="A55" t="s">
        <v>100</v>
      </c>
      <c r="B55" t="s">
        <v>115</v>
      </c>
    </row>
    <row r="57" spans="1:2" x14ac:dyDescent="0.2">
      <c r="A57" t="s">
        <v>129</v>
      </c>
    </row>
    <row r="59" spans="1:2" x14ac:dyDescent="0.2">
      <c r="A59" t="s">
        <v>130</v>
      </c>
    </row>
    <row r="61" spans="1:2" x14ac:dyDescent="0.2">
      <c r="A61" t="s">
        <v>131</v>
      </c>
    </row>
    <row r="64" spans="1:2" x14ac:dyDescent="0.2">
      <c r="A64" t="s">
        <v>103</v>
      </c>
    </row>
    <row r="65" spans="1:2" x14ac:dyDescent="0.2">
      <c r="A65" t="s">
        <v>94</v>
      </c>
      <c r="B65" t="s">
        <v>132</v>
      </c>
    </row>
    <row r="66" spans="1:2" x14ac:dyDescent="0.2">
      <c r="A66" t="s">
        <v>96</v>
      </c>
      <c r="B66" t="s">
        <v>133</v>
      </c>
    </row>
    <row r="67" spans="1:2" x14ac:dyDescent="0.2">
      <c r="A67" t="s">
        <v>98</v>
      </c>
      <c r="B67" t="s">
        <v>114</v>
      </c>
    </row>
    <row r="68" spans="1:2" x14ac:dyDescent="0.2">
      <c r="A68" t="s">
        <v>100</v>
      </c>
      <c r="B68" t="s">
        <v>134</v>
      </c>
    </row>
    <row r="70" spans="1:2" x14ac:dyDescent="0.2">
      <c r="A70" t="s">
        <v>125</v>
      </c>
    </row>
    <row r="72" spans="1:2" x14ac:dyDescent="0.2">
      <c r="A72" t="s">
        <v>103</v>
      </c>
    </row>
    <row r="73" spans="1:2" x14ac:dyDescent="0.2">
      <c r="A73" t="s">
        <v>94</v>
      </c>
      <c r="B73" t="s">
        <v>135</v>
      </c>
    </row>
    <row r="74" spans="1:2" x14ac:dyDescent="0.2">
      <c r="A74" t="s">
        <v>96</v>
      </c>
      <c r="B74" t="s">
        <v>136</v>
      </c>
    </row>
    <row r="75" spans="1:2" x14ac:dyDescent="0.2">
      <c r="A75" t="s">
        <v>98</v>
      </c>
      <c r="B75" t="s">
        <v>137</v>
      </c>
    </row>
    <row r="76" spans="1:2" x14ac:dyDescent="0.2">
      <c r="A76" t="s">
        <v>100</v>
      </c>
      <c r="B76" t="s">
        <v>138</v>
      </c>
    </row>
    <row r="78" spans="1:2" x14ac:dyDescent="0.2">
      <c r="A78" t="s">
        <v>139</v>
      </c>
    </row>
    <row r="80" spans="1:2" x14ac:dyDescent="0.2">
      <c r="A80" t="s">
        <v>140</v>
      </c>
    </row>
    <row r="81" spans="1:1" x14ac:dyDescent="0.2">
      <c r="A81" t="s">
        <v>141</v>
      </c>
    </row>
    <row r="82" spans="1:1" x14ac:dyDescent="0.2">
      <c r="A82" t="s">
        <v>142</v>
      </c>
    </row>
    <row r="83" spans="1:1" x14ac:dyDescent="0.2">
      <c r="A83" t="s">
        <v>143</v>
      </c>
    </row>
    <row r="84" spans="1:1" x14ac:dyDescent="0.2">
      <c r="A84" t="s">
        <v>144</v>
      </c>
    </row>
    <row r="85" spans="1:1" x14ac:dyDescent="0.2">
      <c r="A85" t="s">
        <v>145</v>
      </c>
    </row>
    <row r="86" spans="1:1" x14ac:dyDescent="0.2">
      <c r="A86" t="s">
        <v>146</v>
      </c>
    </row>
    <row r="87" spans="1:1" x14ac:dyDescent="0.2">
      <c r="A87" t="s">
        <v>147</v>
      </c>
    </row>
    <row r="88" spans="1:1" x14ac:dyDescent="0.2">
      <c r="A88" t="s">
        <v>148</v>
      </c>
    </row>
    <row r="89" spans="1:1" x14ac:dyDescent="0.2">
      <c r="A89" t="s">
        <v>149</v>
      </c>
    </row>
    <row r="91" spans="1:1" x14ac:dyDescent="0.2">
      <c r="A91" t="s">
        <v>150</v>
      </c>
    </row>
    <row r="93" spans="1:1" x14ac:dyDescent="0.2">
      <c r="A93" t="s">
        <v>140</v>
      </c>
    </row>
    <row r="94" spans="1:1" x14ac:dyDescent="0.2">
      <c r="A94" t="s">
        <v>151</v>
      </c>
    </row>
    <row r="95" spans="1:1" x14ac:dyDescent="0.2">
      <c r="A95" t="s">
        <v>152</v>
      </c>
    </row>
    <row r="96" spans="1:1" x14ac:dyDescent="0.2">
      <c r="A96" t="s">
        <v>153</v>
      </c>
    </row>
    <row r="97" spans="1:1" x14ac:dyDescent="0.2">
      <c r="A97" t="s">
        <v>154</v>
      </c>
    </row>
    <row r="98" spans="1:1" x14ac:dyDescent="0.2">
      <c r="A98" t="s">
        <v>155</v>
      </c>
    </row>
    <row r="100" spans="1:1" x14ac:dyDescent="0.2">
      <c r="A100" t="s">
        <v>156</v>
      </c>
    </row>
    <row r="102" spans="1:1" x14ac:dyDescent="0.2">
      <c r="A102" t="s">
        <v>157</v>
      </c>
    </row>
    <row r="103" spans="1:1" x14ac:dyDescent="0.2">
      <c r="A103" t="s">
        <v>158</v>
      </c>
    </row>
    <row r="104" spans="1:1" x14ac:dyDescent="0.2">
      <c r="A104" t="s">
        <v>159</v>
      </c>
    </row>
    <row r="105" spans="1:1" x14ac:dyDescent="0.2">
      <c r="A105" t="s">
        <v>160</v>
      </c>
    </row>
    <row r="106" spans="1:1" x14ac:dyDescent="0.2">
      <c r="A106" t="s">
        <v>161</v>
      </c>
    </row>
    <row r="107" spans="1:1" x14ac:dyDescent="0.2">
      <c r="A107" t="s">
        <v>162</v>
      </c>
    </row>
    <row r="109" spans="1:1" x14ac:dyDescent="0.2">
      <c r="A109" t="s">
        <v>150</v>
      </c>
    </row>
    <row r="113" spans="1:1" x14ac:dyDescent="0.2">
      <c r="A113" t="s">
        <v>163</v>
      </c>
    </row>
    <row r="114" spans="1:1" x14ac:dyDescent="0.2">
      <c r="A114" t="s">
        <v>164</v>
      </c>
    </row>
    <row r="115" spans="1:1" x14ac:dyDescent="0.2">
      <c r="A115" t="s">
        <v>165</v>
      </c>
    </row>
    <row r="116" spans="1:1" x14ac:dyDescent="0.2">
      <c r="A116" t="s">
        <v>166</v>
      </c>
    </row>
    <row r="117" spans="1:1" x14ac:dyDescent="0.2">
      <c r="A117" t="s">
        <v>167</v>
      </c>
    </row>
    <row r="118" spans="1:1" x14ac:dyDescent="0.2">
      <c r="A118" t="s">
        <v>168</v>
      </c>
    </row>
    <row r="119" spans="1:1" x14ac:dyDescent="0.2">
      <c r="A119" t="s">
        <v>169</v>
      </c>
    </row>
    <row r="120" spans="1:1" x14ac:dyDescent="0.2">
      <c r="A120" t="s">
        <v>170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June</vt:lpstr>
      <vt:lpstr>prepay</vt:lpstr>
      <vt:lpstr>June!hide</vt:lpstr>
      <vt:lpstr>hide10</vt:lpstr>
      <vt:lpstr>June!hide2</vt:lpstr>
      <vt:lpstr>June!hide3</vt:lpstr>
      <vt:lpstr>June!hide4</vt:lpstr>
      <vt:lpstr>June!hide5</vt:lpstr>
      <vt:lpstr>June!Print_Area</vt:lpstr>
      <vt:lpstr>June!Print_Titles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rcothran</dc:creator>
  <cp:lastModifiedBy>Felienne</cp:lastModifiedBy>
  <cp:lastPrinted>2001-06-25T17:08:14Z</cp:lastPrinted>
  <dcterms:created xsi:type="dcterms:W3CDTF">2001-06-05T12:57:52Z</dcterms:created>
  <dcterms:modified xsi:type="dcterms:W3CDTF">2014-09-04T16:19:05Z</dcterms:modified>
</cp:coreProperties>
</file>