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 tabRatio="599"/>
  </bookViews>
  <sheets>
    <sheet name="Natural Gas Consolidated" sheetId="9" r:id="rId1"/>
    <sheet name="Central Trading" sheetId="8" r:id="rId2"/>
    <sheet name="Central Origination" sheetId="7" r:id="rId3"/>
    <sheet name="Derivatives" sheetId="6" r:id="rId4"/>
    <sheet name="East Trading" sheetId="5" r:id="rId5"/>
    <sheet name="East Origination" sheetId="4" r:id="rId6"/>
    <sheet name="Financial Gas" sheetId="1" r:id="rId7"/>
    <sheet name="Structuring" sheetId="10" r:id="rId8"/>
    <sheet name="Texas Trading" sheetId="11" r:id="rId9"/>
    <sheet name="Texas Origination" sheetId="13" r:id="rId10"/>
    <sheet name="West Trading" sheetId="12" r:id="rId11"/>
    <sheet name="West Origination" sheetId="3" r:id="rId12"/>
    <sheet name="Fundamentals" sheetId="14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Print_Area" localSheetId="2">'Central Origination'!$B$1:$G$41</definedName>
    <definedName name="_xlnm.Print_Area" localSheetId="1">'Central Trading'!$B$1:$G$40</definedName>
    <definedName name="_xlnm.Print_Area" localSheetId="3">Derivatives!$B$1:$G$41</definedName>
    <definedName name="_xlnm.Print_Area" localSheetId="5">'East Origination'!$B$1:$G$40</definedName>
    <definedName name="_xlnm.Print_Area" localSheetId="4">'East Trading'!$B$1:$G$40</definedName>
    <definedName name="_xlnm.Print_Area" localSheetId="6">'Financial Gas'!$B$1:$G$42</definedName>
    <definedName name="_xlnm.Print_Area" localSheetId="12">Fundamentals!$B$1:$G$39</definedName>
    <definedName name="_xlnm.Print_Area" localSheetId="0">'Natural Gas Consolidated'!$B$1:$G$29</definedName>
    <definedName name="_xlnm.Print_Area" localSheetId="7">Structuring!$B$1:$G$41</definedName>
    <definedName name="_xlnm.Print_Area" localSheetId="9">'Texas Origination'!$B$1:$G$40</definedName>
    <definedName name="_xlnm.Print_Area" localSheetId="8">'Texas Trading'!$B$1:$G$41</definedName>
    <definedName name="_xlnm.Print_Area" localSheetId="11">'West Origination'!$B$1:$G$41</definedName>
    <definedName name="_xlnm.Print_Area" localSheetId="10">'West Trading'!$B$1:$G$41</definedName>
  </definedNames>
  <calcPr calcId="152511"/>
</workbook>
</file>

<file path=xl/calcChain.xml><?xml version="1.0" encoding="utf-8"?>
<calcChain xmlns="http://schemas.openxmlformats.org/spreadsheetml/2006/main">
  <c r="B1" i="7" l="1"/>
  <c r="C8" i="7"/>
  <c r="E8" i="7"/>
  <c r="C9" i="7"/>
  <c r="E9" i="7" s="1"/>
  <c r="C10" i="7"/>
  <c r="C11" i="7"/>
  <c r="C11" i="9" s="1"/>
  <c r="E11" i="9" s="1"/>
  <c r="E11" i="7"/>
  <c r="C12" i="7"/>
  <c r="E12" i="7"/>
  <c r="C13" i="7"/>
  <c r="E13" i="7" s="1"/>
  <c r="C14" i="7"/>
  <c r="E14" i="7" s="1"/>
  <c r="C15" i="7"/>
  <c r="E15" i="7"/>
  <c r="C16" i="7"/>
  <c r="E16" i="7"/>
  <c r="C17" i="7"/>
  <c r="E17" i="7"/>
  <c r="C18" i="7"/>
  <c r="E18" i="7" s="1"/>
  <c r="C19" i="7"/>
  <c r="E19" i="7"/>
  <c r="C20" i="7"/>
  <c r="E20" i="7"/>
  <c r="C21" i="7"/>
  <c r="E21" i="7" s="1"/>
  <c r="C22" i="7"/>
  <c r="E22" i="7" s="1"/>
  <c r="E29" i="7"/>
  <c r="C31" i="7"/>
  <c r="E31" i="7"/>
  <c r="C32" i="7"/>
  <c r="E32" i="7"/>
  <c r="C33" i="7"/>
  <c r="E33" i="7"/>
  <c r="C34" i="7"/>
  <c r="E34" i="7" s="1"/>
  <c r="C35" i="7"/>
  <c r="E35" i="7"/>
  <c r="C36" i="7"/>
  <c r="E36" i="7"/>
  <c r="C37" i="7"/>
  <c r="E37" i="7"/>
  <c r="C38" i="7"/>
  <c r="E38" i="7" s="1"/>
  <c r="E39" i="7"/>
  <c r="B1" i="8"/>
  <c r="B2" i="8"/>
  <c r="B3" i="8"/>
  <c r="C8" i="8"/>
  <c r="E9" i="8"/>
  <c r="C10" i="8"/>
  <c r="E10" i="8" s="1"/>
  <c r="E11" i="8"/>
  <c r="C12" i="8"/>
  <c r="E12" i="8"/>
  <c r="C13" i="8"/>
  <c r="E13" i="8" s="1"/>
  <c r="C14" i="8"/>
  <c r="C15" i="8"/>
  <c r="C15" i="9" s="1"/>
  <c r="E15" i="9" s="1"/>
  <c r="E15" i="8"/>
  <c r="C16" i="8"/>
  <c r="E16" i="8"/>
  <c r="C17" i="8"/>
  <c r="E17" i="8" s="1"/>
  <c r="C18" i="8"/>
  <c r="E18" i="8" s="1"/>
  <c r="C19" i="8"/>
  <c r="E19" i="8"/>
  <c r="C20" i="8"/>
  <c r="E20" i="8"/>
  <c r="C21" i="8"/>
  <c r="E21" i="8" s="1"/>
  <c r="C22" i="8"/>
  <c r="E29" i="8"/>
  <c r="C31" i="8"/>
  <c r="E31" i="8"/>
  <c r="C32" i="8"/>
  <c r="E32" i="8" s="1"/>
  <c r="C33" i="8"/>
  <c r="E33" i="8"/>
  <c r="C34" i="8"/>
  <c r="E34" i="8"/>
  <c r="C35" i="8"/>
  <c r="E35" i="8"/>
  <c r="C36" i="8"/>
  <c r="E36" i="8" s="1"/>
  <c r="C37" i="8"/>
  <c r="E37" i="8"/>
  <c r="C38" i="8"/>
  <c r="E38" i="8"/>
  <c r="B1" i="6"/>
  <c r="B2" i="6"/>
  <c r="B3" i="6"/>
  <c r="C8" i="6"/>
  <c r="E8" i="6"/>
  <c r="E9" i="6"/>
  <c r="E10" i="6"/>
  <c r="C11" i="6"/>
  <c r="E11" i="6" s="1"/>
  <c r="C12" i="6"/>
  <c r="C13" i="6"/>
  <c r="E13" i="6"/>
  <c r="C14" i="6"/>
  <c r="E14" i="6"/>
  <c r="C15" i="6"/>
  <c r="E15" i="6"/>
  <c r="C16" i="6"/>
  <c r="C17" i="6"/>
  <c r="E17" i="6"/>
  <c r="C18" i="6"/>
  <c r="E18" i="6"/>
  <c r="C19" i="6"/>
  <c r="E19" i="6" s="1"/>
  <c r="C20" i="6"/>
  <c r="C21" i="6"/>
  <c r="E21" i="6"/>
  <c r="C22" i="6"/>
  <c r="E22" i="6"/>
  <c r="E29" i="6"/>
  <c r="C31" i="6"/>
  <c r="E31" i="6" s="1"/>
  <c r="C32" i="6"/>
  <c r="E32" i="6"/>
  <c r="C33" i="6"/>
  <c r="E33" i="6" s="1"/>
  <c r="C34" i="6"/>
  <c r="E34" i="6"/>
  <c r="C35" i="6"/>
  <c r="E35" i="6" s="1"/>
  <c r="C36" i="6"/>
  <c r="E36" i="6"/>
  <c r="C37" i="6"/>
  <c r="E37" i="6" s="1"/>
  <c r="C38" i="6"/>
  <c r="E38" i="6"/>
  <c r="B1" i="4"/>
  <c r="B2" i="4"/>
  <c r="B3" i="4"/>
  <c r="C8" i="4"/>
  <c r="E8" i="4" s="1"/>
  <c r="E9" i="4"/>
  <c r="E10" i="4"/>
  <c r="C11" i="4"/>
  <c r="E11" i="4" s="1"/>
  <c r="C12" i="4"/>
  <c r="E12" i="4"/>
  <c r="C13" i="4"/>
  <c r="E13" i="4"/>
  <c r="C14" i="4"/>
  <c r="E14" i="4" s="1"/>
  <c r="C15" i="4"/>
  <c r="E15" i="4" s="1"/>
  <c r="C16" i="4"/>
  <c r="E16" i="4"/>
  <c r="C17" i="4"/>
  <c r="E17" i="4"/>
  <c r="C18" i="4"/>
  <c r="E18" i="4" s="1"/>
  <c r="C19" i="4"/>
  <c r="E19" i="4" s="1"/>
  <c r="C20" i="4"/>
  <c r="E20" i="4"/>
  <c r="C21" i="4"/>
  <c r="E21" i="4"/>
  <c r="C22" i="4"/>
  <c r="E22" i="4" s="1"/>
  <c r="E29" i="4"/>
  <c r="C31" i="4"/>
  <c r="E31" i="4" s="1"/>
  <c r="C32" i="4"/>
  <c r="E32" i="4"/>
  <c r="C33" i="4"/>
  <c r="E33" i="4" s="1"/>
  <c r="C34" i="4"/>
  <c r="E34" i="4"/>
  <c r="C35" i="4"/>
  <c r="E35" i="4" s="1"/>
  <c r="C36" i="4"/>
  <c r="E36" i="4"/>
  <c r="C37" i="4"/>
  <c r="E37" i="4" s="1"/>
  <c r="C38" i="4"/>
  <c r="E38" i="4"/>
  <c r="B1" i="5"/>
  <c r="B2" i="5"/>
  <c r="B3" i="5"/>
  <c r="C8" i="5"/>
  <c r="E9" i="5"/>
  <c r="E10" i="5"/>
  <c r="C11" i="5"/>
  <c r="E11" i="5"/>
  <c r="C12" i="5"/>
  <c r="E12" i="5"/>
  <c r="C13" i="5"/>
  <c r="E13" i="5" s="1"/>
  <c r="C14" i="5"/>
  <c r="E14" i="5" s="1"/>
  <c r="C15" i="5"/>
  <c r="E15" i="5"/>
  <c r="C16" i="5"/>
  <c r="E16" i="5"/>
  <c r="C17" i="5"/>
  <c r="E17" i="5" s="1"/>
  <c r="C18" i="5"/>
  <c r="E18" i="5" s="1"/>
  <c r="C19" i="5"/>
  <c r="E19" i="5"/>
  <c r="C20" i="5"/>
  <c r="E20" i="5"/>
  <c r="C21" i="5"/>
  <c r="E21" i="5" s="1"/>
  <c r="C22" i="5"/>
  <c r="E22" i="5" s="1"/>
  <c r="E29" i="5"/>
  <c r="C31" i="5"/>
  <c r="E31" i="5"/>
  <c r="C32" i="5"/>
  <c r="E32" i="5" s="1"/>
  <c r="C33" i="5"/>
  <c r="E33" i="5"/>
  <c r="C34" i="5"/>
  <c r="E34" i="5" s="1"/>
  <c r="C35" i="5"/>
  <c r="E35" i="5"/>
  <c r="C36" i="5"/>
  <c r="E36" i="5" s="1"/>
  <c r="C37" i="5"/>
  <c r="E37" i="5"/>
  <c r="C38" i="5"/>
  <c r="E38" i="5" s="1"/>
  <c r="B1" i="1"/>
  <c r="B2" i="1"/>
  <c r="B3" i="1"/>
  <c r="C8" i="1"/>
  <c r="E8" i="1"/>
  <c r="E9" i="1"/>
  <c r="E10" i="1"/>
  <c r="C11" i="1"/>
  <c r="E11" i="1"/>
  <c r="C12" i="1"/>
  <c r="E12" i="1" s="1"/>
  <c r="C13" i="1"/>
  <c r="E13" i="1" s="1"/>
  <c r="C14" i="1"/>
  <c r="E14" i="1"/>
  <c r="C15" i="1"/>
  <c r="E15" i="1"/>
  <c r="C16" i="1"/>
  <c r="E16" i="1" s="1"/>
  <c r="C17" i="1"/>
  <c r="E17" i="1" s="1"/>
  <c r="C18" i="1"/>
  <c r="E18" i="1"/>
  <c r="C19" i="1"/>
  <c r="E19" i="1"/>
  <c r="C20" i="1"/>
  <c r="E20" i="1" s="1"/>
  <c r="C21" i="1"/>
  <c r="E21" i="1" s="1"/>
  <c r="C22" i="1"/>
  <c r="E22" i="1"/>
  <c r="E29" i="1"/>
  <c r="C31" i="1"/>
  <c r="E31" i="1"/>
  <c r="C32" i="1"/>
  <c r="E32" i="1" s="1"/>
  <c r="C33" i="1"/>
  <c r="E33" i="1"/>
  <c r="C34" i="1"/>
  <c r="E34" i="1" s="1"/>
  <c r="C35" i="1"/>
  <c r="E35" i="1"/>
  <c r="C36" i="1"/>
  <c r="E36" i="1" s="1"/>
  <c r="C37" i="1"/>
  <c r="E37" i="1"/>
  <c r="C38" i="1"/>
  <c r="E38" i="1" s="1"/>
  <c r="B1" i="14"/>
  <c r="B2" i="14"/>
  <c r="B3" i="14"/>
  <c r="C8" i="14"/>
  <c r="E8" i="14"/>
  <c r="E9" i="14"/>
  <c r="E10" i="14"/>
  <c r="C11" i="14"/>
  <c r="C12" i="14"/>
  <c r="E12" i="14" s="1"/>
  <c r="C13" i="14"/>
  <c r="E13" i="14"/>
  <c r="C14" i="14"/>
  <c r="E14" i="14"/>
  <c r="C15" i="14"/>
  <c r="E15" i="14" s="1"/>
  <c r="C16" i="14"/>
  <c r="E16" i="14" s="1"/>
  <c r="C17" i="14"/>
  <c r="E17" i="14"/>
  <c r="C18" i="14"/>
  <c r="E18" i="14"/>
  <c r="C19" i="14"/>
  <c r="E19" i="14" s="1"/>
  <c r="C20" i="14"/>
  <c r="E20" i="14" s="1"/>
  <c r="C21" i="14"/>
  <c r="E21" i="14"/>
  <c r="C22" i="14"/>
  <c r="E22" i="14"/>
  <c r="E29" i="14"/>
  <c r="C31" i="14"/>
  <c r="E31" i="14" s="1"/>
  <c r="C32" i="14"/>
  <c r="E32" i="14"/>
  <c r="C33" i="14"/>
  <c r="E33" i="14" s="1"/>
  <c r="C34" i="14"/>
  <c r="E34" i="14"/>
  <c r="C35" i="14"/>
  <c r="E35" i="14" s="1"/>
  <c r="C36" i="14"/>
  <c r="E36" i="14"/>
  <c r="C37" i="14"/>
  <c r="E37" i="14" s="1"/>
  <c r="C38" i="14"/>
  <c r="E38" i="14"/>
  <c r="B1" i="9"/>
  <c r="B3" i="9"/>
  <c r="C9" i="9"/>
  <c r="E9" i="9"/>
  <c r="D10" i="9"/>
  <c r="C13" i="9"/>
  <c r="E13" i="9" s="1"/>
  <c r="C17" i="9"/>
  <c r="E17" i="9" s="1"/>
  <c r="E25" i="9"/>
  <c r="E27" i="9"/>
  <c r="E29" i="9"/>
  <c r="B1" i="10"/>
  <c r="B2" i="10"/>
  <c r="B3" i="10"/>
  <c r="C8" i="10"/>
  <c r="E8" i="10"/>
  <c r="E9" i="10"/>
  <c r="E10" i="10"/>
  <c r="C11" i="10"/>
  <c r="E11" i="10"/>
  <c r="C12" i="10"/>
  <c r="E12" i="10"/>
  <c r="C13" i="10"/>
  <c r="E13" i="10" s="1"/>
  <c r="C14" i="10"/>
  <c r="E14" i="10"/>
  <c r="C15" i="10"/>
  <c r="E15" i="10"/>
  <c r="C16" i="10"/>
  <c r="E16" i="10" s="1"/>
  <c r="C17" i="10"/>
  <c r="E17" i="10" s="1"/>
  <c r="C18" i="10"/>
  <c r="E18" i="10"/>
  <c r="C19" i="10"/>
  <c r="E19" i="10"/>
  <c r="C20" i="10"/>
  <c r="E20" i="10"/>
  <c r="C21" i="10"/>
  <c r="E21" i="10" s="1"/>
  <c r="C22" i="10"/>
  <c r="E22" i="10"/>
  <c r="E29" i="10"/>
  <c r="C31" i="10"/>
  <c r="E31" i="10"/>
  <c r="C32" i="10"/>
  <c r="E32" i="10" s="1"/>
  <c r="C33" i="10"/>
  <c r="E33" i="10"/>
  <c r="C34" i="10"/>
  <c r="E34" i="10" s="1"/>
  <c r="C35" i="10"/>
  <c r="E35" i="10"/>
  <c r="C36" i="10"/>
  <c r="E36" i="10" s="1"/>
  <c r="C37" i="10"/>
  <c r="E37" i="10"/>
  <c r="C38" i="10"/>
  <c r="E38" i="10" s="1"/>
  <c r="B1" i="13"/>
  <c r="B2" i="13"/>
  <c r="B3" i="13"/>
  <c r="C8" i="13"/>
  <c r="E8" i="13"/>
  <c r="E9" i="13"/>
  <c r="E10" i="13"/>
  <c r="C11" i="13"/>
  <c r="E11" i="13"/>
  <c r="C12" i="13"/>
  <c r="C13" i="13"/>
  <c r="E13" i="13" s="1"/>
  <c r="C14" i="13"/>
  <c r="E14" i="13"/>
  <c r="C15" i="13"/>
  <c r="E15" i="13" s="1"/>
  <c r="C16" i="13"/>
  <c r="E16" i="13" s="1"/>
  <c r="C17" i="13"/>
  <c r="E17" i="13" s="1"/>
  <c r="C18" i="13"/>
  <c r="E18" i="13"/>
  <c r="C19" i="13"/>
  <c r="E19" i="13"/>
  <c r="C20" i="13"/>
  <c r="E20" i="13" s="1"/>
  <c r="C21" i="13"/>
  <c r="E21" i="13"/>
  <c r="C22" i="13"/>
  <c r="E22" i="13"/>
  <c r="E29" i="13"/>
  <c r="C31" i="13"/>
  <c r="E31" i="13"/>
  <c r="C32" i="13"/>
  <c r="E32" i="13"/>
  <c r="C33" i="13"/>
  <c r="E33" i="13" s="1"/>
  <c r="C34" i="13"/>
  <c r="E34" i="13"/>
  <c r="C35" i="13"/>
  <c r="E35" i="13"/>
  <c r="C36" i="13"/>
  <c r="E36" i="13"/>
  <c r="C37" i="13"/>
  <c r="E37" i="13" s="1"/>
  <c r="C38" i="13"/>
  <c r="E38" i="13" s="1"/>
  <c r="B1" i="11"/>
  <c r="B2" i="11"/>
  <c r="B3" i="11"/>
  <c r="C8" i="11"/>
  <c r="E8" i="11" s="1"/>
  <c r="E9" i="11"/>
  <c r="E10" i="11"/>
  <c r="C11" i="11"/>
  <c r="E11" i="11" s="1"/>
  <c r="C12" i="11"/>
  <c r="E12" i="11" s="1"/>
  <c r="C13" i="11"/>
  <c r="E13" i="11"/>
  <c r="C14" i="11"/>
  <c r="E14" i="11" s="1"/>
  <c r="C15" i="11"/>
  <c r="E15" i="11" s="1"/>
  <c r="C16" i="11"/>
  <c r="E16" i="11" s="1"/>
  <c r="C17" i="11"/>
  <c r="E17" i="11"/>
  <c r="C18" i="11"/>
  <c r="E18" i="11"/>
  <c r="C19" i="11"/>
  <c r="E19" i="11" s="1"/>
  <c r="C20" i="11"/>
  <c r="E20" i="11" s="1"/>
  <c r="C21" i="11"/>
  <c r="E21" i="11"/>
  <c r="C22" i="11"/>
  <c r="E22" i="11" s="1"/>
  <c r="C23" i="11"/>
  <c r="C44" i="11" s="1"/>
  <c r="E29" i="11"/>
  <c r="C31" i="11"/>
  <c r="E31" i="11" s="1"/>
  <c r="C32" i="11"/>
  <c r="E32" i="11"/>
  <c r="C33" i="11"/>
  <c r="E33" i="11" s="1"/>
  <c r="C34" i="11"/>
  <c r="E34" i="11"/>
  <c r="C35" i="11"/>
  <c r="E35" i="11" s="1"/>
  <c r="C36" i="11"/>
  <c r="E36" i="11"/>
  <c r="C37" i="11"/>
  <c r="E37" i="11" s="1"/>
  <c r="C38" i="11"/>
  <c r="E38" i="11"/>
  <c r="B1" i="3"/>
  <c r="B2" i="3"/>
  <c r="B3" i="3"/>
  <c r="C8" i="3"/>
  <c r="E8" i="3" s="1"/>
  <c r="E9" i="3"/>
  <c r="E23" i="3" s="1"/>
  <c r="E10" i="3"/>
  <c r="C11" i="3"/>
  <c r="E11" i="3"/>
  <c r="C12" i="3"/>
  <c r="E12" i="3"/>
  <c r="C13" i="3"/>
  <c r="E13" i="3" s="1"/>
  <c r="C14" i="3"/>
  <c r="E14" i="3" s="1"/>
  <c r="C15" i="3"/>
  <c r="E15" i="3"/>
  <c r="C16" i="3"/>
  <c r="E16" i="3"/>
  <c r="G16" i="3" s="1"/>
  <c r="C17" i="3"/>
  <c r="E17" i="3"/>
  <c r="C18" i="3"/>
  <c r="E18" i="3" s="1"/>
  <c r="C19" i="3"/>
  <c r="E19" i="3"/>
  <c r="C20" i="3"/>
  <c r="E20" i="3"/>
  <c r="C21" i="3"/>
  <c r="E21" i="3" s="1"/>
  <c r="G21" i="3" s="1"/>
  <c r="C22" i="3"/>
  <c r="E22" i="3" s="1"/>
  <c r="E29" i="3"/>
  <c r="C31" i="3"/>
  <c r="E31" i="3"/>
  <c r="C32" i="3"/>
  <c r="E32" i="3"/>
  <c r="C33" i="3"/>
  <c r="E33" i="3"/>
  <c r="C34" i="3"/>
  <c r="E34" i="3" s="1"/>
  <c r="C35" i="3"/>
  <c r="E35" i="3" s="1"/>
  <c r="C36" i="3"/>
  <c r="E36" i="3"/>
  <c r="C37" i="3"/>
  <c r="E37" i="3" s="1"/>
  <c r="C38" i="3"/>
  <c r="E38" i="3" s="1"/>
  <c r="B1" i="12"/>
  <c r="B2" i="12"/>
  <c r="B3" i="12"/>
  <c r="C8" i="12"/>
  <c r="C23" i="12" s="1"/>
  <c r="C44" i="12" s="1"/>
  <c r="E9" i="12"/>
  <c r="E10" i="12"/>
  <c r="C11" i="12"/>
  <c r="E11" i="12"/>
  <c r="C12" i="12"/>
  <c r="E12" i="12" s="1"/>
  <c r="C13" i="12"/>
  <c r="E13" i="12" s="1"/>
  <c r="C14" i="12"/>
  <c r="E14" i="12"/>
  <c r="C15" i="12"/>
  <c r="E15" i="12"/>
  <c r="C16" i="12"/>
  <c r="E16" i="12"/>
  <c r="C17" i="12"/>
  <c r="E17" i="12" s="1"/>
  <c r="C18" i="12"/>
  <c r="E18" i="12" s="1"/>
  <c r="C19" i="12"/>
  <c r="E19" i="12"/>
  <c r="C20" i="12"/>
  <c r="E20" i="12" s="1"/>
  <c r="C21" i="12"/>
  <c r="E21" i="12" s="1"/>
  <c r="C22" i="12"/>
  <c r="E22" i="12" s="1"/>
  <c r="E29" i="12"/>
  <c r="C31" i="12"/>
  <c r="E31" i="12"/>
  <c r="C32" i="12"/>
  <c r="E32" i="12" s="1"/>
  <c r="C33" i="12"/>
  <c r="E33" i="12"/>
  <c r="C34" i="12"/>
  <c r="E34" i="12" s="1"/>
  <c r="C35" i="12"/>
  <c r="E35" i="12"/>
  <c r="C36" i="12"/>
  <c r="E36" i="12" s="1"/>
  <c r="C37" i="12"/>
  <c r="E37" i="12"/>
  <c r="C38" i="12"/>
  <c r="E38" i="12" s="1"/>
  <c r="G20" i="11" l="1"/>
  <c r="G22" i="13"/>
  <c r="G11" i="10"/>
  <c r="G23" i="3"/>
  <c r="G17" i="3"/>
  <c r="G20" i="3"/>
  <c r="G13" i="3"/>
  <c r="G9" i="3"/>
  <c r="G17" i="13"/>
  <c r="G12" i="3"/>
  <c r="G19" i="10"/>
  <c r="G14" i="1"/>
  <c r="G8" i="3"/>
  <c r="E23" i="11"/>
  <c r="G14" i="11" s="1"/>
  <c r="G10" i="10"/>
  <c r="E23" i="1"/>
  <c r="G12" i="4"/>
  <c r="E10" i="7"/>
  <c r="C10" i="9"/>
  <c r="C23" i="7"/>
  <c r="C43" i="7" s="1"/>
  <c r="G18" i="10"/>
  <c r="C18" i="9"/>
  <c r="E18" i="9" s="1"/>
  <c r="C23" i="14"/>
  <c r="C44" i="14" s="1"/>
  <c r="G22" i="1"/>
  <c r="C23" i="1"/>
  <c r="C44" i="1" s="1"/>
  <c r="G16" i="4"/>
  <c r="G22" i="4"/>
  <c r="G8" i="10"/>
  <c r="G12" i="1"/>
  <c r="G11" i="3"/>
  <c r="G15" i="11"/>
  <c r="G11" i="11"/>
  <c r="C23" i="10"/>
  <c r="C44" i="10" s="1"/>
  <c r="G16" i="1"/>
  <c r="E8" i="5"/>
  <c r="C23" i="5"/>
  <c r="C44" i="5" s="1"/>
  <c r="G15" i="4"/>
  <c r="E20" i="6"/>
  <c r="C20" i="9"/>
  <c r="E20" i="9" s="1"/>
  <c r="C19" i="9"/>
  <c r="E19" i="9" s="1"/>
  <c r="E14" i="8"/>
  <c r="C14" i="9"/>
  <c r="E14" i="9" s="1"/>
  <c r="G19" i="3"/>
  <c r="E12" i="13"/>
  <c r="C23" i="13"/>
  <c r="C44" i="13" s="1"/>
  <c r="G20" i="4"/>
  <c r="G11" i="4"/>
  <c r="E12" i="6"/>
  <c r="C23" i="6"/>
  <c r="C44" i="6" s="1"/>
  <c r="C12" i="9"/>
  <c r="E12" i="9" s="1"/>
  <c r="C23" i="3"/>
  <c r="C44" i="3" s="1"/>
  <c r="G15" i="3"/>
  <c r="G22" i="3"/>
  <c r="G18" i="3"/>
  <c r="G19" i="4"/>
  <c r="G14" i="4"/>
  <c r="G9" i="4"/>
  <c r="E8" i="8"/>
  <c r="C23" i="8"/>
  <c r="G9" i="11"/>
  <c r="G19" i="11"/>
  <c r="E23" i="13"/>
  <c r="G13" i="13" s="1"/>
  <c r="E16" i="6"/>
  <c r="C16" i="9"/>
  <c r="E16" i="9" s="1"/>
  <c r="E8" i="12"/>
  <c r="G14" i="3"/>
  <c r="G10" i="3"/>
  <c r="E23" i="10"/>
  <c r="G17" i="10" s="1"/>
  <c r="C21" i="9"/>
  <c r="E21" i="9" s="1"/>
  <c r="C8" i="9"/>
  <c r="C23" i="4"/>
  <c r="C44" i="4" s="1"/>
  <c r="E23" i="4"/>
  <c r="G8" i="4"/>
  <c r="E22" i="8"/>
  <c r="C22" i="9"/>
  <c r="E22" i="9" s="1"/>
  <c r="E11" i="14"/>
  <c r="G21" i="10" l="1"/>
  <c r="G14" i="10"/>
  <c r="G8" i="13"/>
  <c r="G16" i="6"/>
  <c r="G18" i="13"/>
  <c r="G14" i="13"/>
  <c r="G22" i="10"/>
  <c r="E23" i="7"/>
  <c r="E10" i="9"/>
  <c r="G9" i="1"/>
  <c r="G19" i="1"/>
  <c r="G15" i="1"/>
  <c r="G11" i="1"/>
  <c r="G23" i="1"/>
  <c r="G23" i="11"/>
  <c r="G10" i="11"/>
  <c r="G8" i="11"/>
  <c r="G18" i="11"/>
  <c r="G22" i="11"/>
  <c r="G13" i="11"/>
  <c r="G17" i="11"/>
  <c r="G10" i="1"/>
  <c r="E8" i="9"/>
  <c r="C23" i="9"/>
  <c r="G12" i="6"/>
  <c r="G8" i="5"/>
  <c r="E23" i="5"/>
  <c r="G9" i="10"/>
  <c r="G12" i="10"/>
  <c r="G16" i="10"/>
  <c r="G23" i="10"/>
  <c r="G20" i="10"/>
  <c r="G22" i="8"/>
  <c r="G21" i="13"/>
  <c r="G10" i="4"/>
  <c r="G23" i="4"/>
  <c r="G13" i="4"/>
  <c r="G17" i="4"/>
  <c r="G21" i="4"/>
  <c r="G21" i="1"/>
  <c r="G20" i="13"/>
  <c r="G8" i="1"/>
  <c r="G16" i="11"/>
  <c r="G12" i="11"/>
  <c r="G19" i="13"/>
  <c r="G11" i="13"/>
  <c r="G15" i="13"/>
  <c r="G23" i="13"/>
  <c r="G10" i="13"/>
  <c r="G16" i="13"/>
  <c r="G12" i="13"/>
  <c r="G13" i="10"/>
  <c r="G9" i="13"/>
  <c r="G8" i="12"/>
  <c r="E23" i="12"/>
  <c r="G18" i="4"/>
  <c r="E23" i="8"/>
  <c r="G14" i="8" s="1"/>
  <c r="G20" i="1"/>
  <c r="G17" i="1"/>
  <c r="E23" i="14"/>
  <c r="G20" i="6"/>
  <c r="G13" i="1"/>
  <c r="E23" i="6"/>
  <c r="G18" i="1"/>
  <c r="G21" i="11"/>
  <c r="G15" i="10"/>
  <c r="G23" i="14" l="1"/>
  <c r="G8" i="14"/>
  <c r="G22" i="14"/>
  <c r="G18" i="14"/>
  <c r="G14" i="14"/>
  <c r="G10" i="14"/>
  <c r="G19" i="14"/>
  <c r="G9" i="14"/>
  <c r="G15" i="14"/>
  <c r="G17" i="14"/>
  <c r="G13" i="14"/>
  <c r="G16" i="14"/>
  <c r="G21" i="14"/>
  <c r="G12" i="14"/>
  <c r="G20" i="14"/>
  <c r="G23" i="8"/>
  <c r="G12" i="8"/>
  <c r="G9" i="8"/>
  <c r="G16" i="8"/>
  <c r="G20" i="8"/>
  <c r="G19" i="8"/>
  <c r="G21" i="8"/>
  <c r="G17" i="8"/>
  <c r="G10" i="8"/>
  <c r="G18" i="8"/>
  <c r="G11" i="8"/>
  <c r="G15" i="8"/>
  <c r="G13" i="8"/>
  <c r="G11" i="14"/>
  <c r="G23" i="7"/>
  <c r="G17" i="7"/>
  <c r="G16" i="7"/>
  <c r="G20" i="7"/>
  <c r="G8" i="7"/>
  <c r="G12" i="7"/>
  <c r="G15" i="7"/>
  <c r="G19" i="7"/>
  <c r="G14" i="7"/>
  <c r="G22" i="7"/>
  <c r="G9" i="7"/>
  <c r="G13" i="7"/>
  <c r="G11" i="7"/>
  <c r="G21" i="7"/>
  <c r="G18" i="7"/>
  <c r="G8" i="8"/>
  <c r="E23" i="9"/>
  <c r="G8" i="9" s="1"/>
  <c r="G10" i="7"/>
  <c r="G23" i="6"/>
  <c r="G9" i="6"/>
  <c r="G15" i="6"/>
  <c r="G14" i="6"/>
  <c r="G18" i="6"/>
  <c r="G10" i="6"/>
  <c r="G22" i="6"/>
  <c r="G8" i="6"/>
  <c r="G17" i="6"/>
  <c r="G19" i="6"/>
  <c r="G13" i="6"/>
  <c r="G11" i="6"/>
  <c r="G21" i="6"/>
  <c r="G23" i="12"/>
  <c r="G19" i="12"/>
  <c r="G16" i="12"/>
  <c r="G9" i="12"/>
  <c r="G15" i="12"/>
  <c r="G11" i="12"/>
  <c r="G18" i="12"/>
  <c r="G22" i="12"/>
  <c r="G21" i="12"/>
  <c r="G12" i="12"/>
  <c r="G17" i="12"/>
  <c r="G14" i="12"/>
  <c r="G20" i="12"/>
  <c r="G10" i="12"/>
  <c r="G13" i="12"/>
  <c r="G23" i="5"/>
  <c r="G20" i="5"/>
  <c r="G16" i="5"/>
  <c r="G12" i="5"/>
  <c r="G9" i="5"/>
  <c r="G13" i="5"/>
  <c r="G22" i="5"/>
  <c r="G15" i="5"/>
  <c r="G18" i="5"/>
  <c r="G21" i="5"/>
  <c r="G14" i="5"/>
  <c r="G19" i="5"/>
  <c r="G11" i="5"/>
  <c r="G10" i="5"/>
  <c r="G17" i="5"/>
  <c r="G23" i="9" l="1"/>
  <c r="G11" i="9"/>
  <c r="G13" i="9"/>
  <c r="G15" i="9"/>
  <c r="G17" i="9"/>
  <c r="G9" i="9"/>
  <c r="G12" i="9"/>
  <c r="G19" i="9"/>
  <c r="G22" i="9"/>
  <c r="G14" i="9"/>
  <c r="G18" i="9"/>
  <c r="G16" i="9"/>
  <c r="G21" i="9"/>
  <c r="G20" i="9"/>
  <c r="G10" i="9"/>
</calcChain>
</file>

<file path=xl/sharedStrings.xml><?xml version="1.0" encoding="utf-8"?>
<sst xmlns="http://schemas.openxmlformats.org/spreadsheetml/2006/main" count="677" uniqueCount="61">
  <si>
    <t>Enron North America</t>
  </si>
  <si>
    <t>YTD Actual</t>
  </si>
  <si>
    <t>Annualized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</si>
  <si>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</si>
  <si>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</si>
  <si>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</si>
  <si>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</si>
  <si>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</si>
  <si>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</si>
  <si>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ENAEMPEX</t>
  </si>
  <si>
    <t>Employee Expense</t>
  </si>
  <si>
    <t>ENAT&amp;EEX</t>
  </si>
  <si>
    <t>Travel &amp; Entertainment Expense</t>
  </si>
  <si>
    <t>Relocation</t>
  </si>
  <si>
    <t>ENAOUTSV</t>
  </si>
  <si>
    <t>Outside Services</t>
  </si>
  <si>
    <t>ENASUPP</t>
  </si>
  <si>
    <t>Supplies Expense</t>
  </si>
  <si>
    <t>ENAMKTEX</t>
  </si>
  <si>
    <t>Marketing</t>
  </si>
  <si>
    <t>ENACONTR</t>
  </si>
  <si>
    <t>Charitable Contributions</t>
  </si>
  <si>
    <t>ENARENT</t>
  </si>
  <si>
    <t>Rent</t>
  </si>
  <si>
    <t>ENATECH</t>
  </si>
  <si>
    <t>Technology</t>
  </si>
  <si>
    <t>ENATRANS</t>
  </si>
  <si>
    <t>Transportation</t>
  </si>
  <si>
    <t>ENAOTHEX</t>
  </si>
  <si>
    <t>Other Expenses</t>
  </si>
  <si>
    <t>ENATAXES</t>
  </si>
  <si>
    <t>Taxes Other than Income</t>
  </si>
  <si>
    <t>ENATOTDR</t>
  </si>
  <si>
    <t>Total Direct Expenses</t>
  </si>
  <si>
    <t>Total Headcount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</si>
  <si>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</si>
  <si>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</si>
  <si>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</si>
  <si>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</si>
  <si>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</si>
  <si>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</si>
  <si>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</si>
  <si>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</si>
  <si>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</si>
  <si>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</si>
  <si>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</si>
  <si>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</si>
  <si>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</si>
  <si>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</si>
  <si>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</si>
  <si>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</si>
  <si>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 xml:space="preserve">Central Gas Origination &amp; ENOVATE  </t>
  </si>
  <si>
    <t>Analyst &amp;  Associates</t>
  </si>
  <si>
    <t>Analyst &amp;  Associate</t>
  </si>
  <si>
    <t>Analyst &amp; Associate</t>
  </si>
  <si>
    <t>A&amp;A Headcount</t>
  </si>
  <si>
    <t>Natural Gas</t>
  </si>
  <si>
    <t>Headcount</t>
  </si>
  <si>
    <t>Analyst &amp; Associate Headcount</t>
  </si>
  <si>
    <t>%</t>
  </si>
  <si>
    <t>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</si>
</sst>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8" formatCode="0.0%"/>
  </numFmts>
  <fonts count="7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7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1" xfId="4" applyNumberFormat="1" applyFont="1" applyBorder="1"/>
    <xf numFmtId="166" fontId="0" fillId="0" borderId="0" xfId="0" applyNumberFormat="1"/>
    <xf numFmtId="165" fontId="6" fillId="0" borderId="0" xfId="3" applyNumberFormat="1" applyFont="1" applyAlignment="1" applyProtection="1">
      <alignment horizontal="right"/>
    </xf>
    <xf numFmtId="165" fontId="6" fillId="0" borderId="1" xfId="3" applyNumberFormat="1" applyFont="1" applyBorder="1" applyProtection="1"/>
    <xf numFmtId="165" fontId="0" fillId="0" borderId="0" xfId="0" applyNumberFormat="1"/>
    <xf numFmtId="168" fontId="0" fillId="0" borderId="0" xfId="5" applyNumberFormat="1" applyFont="1"/>
    <xf numFmtId="168" fontId="6" fillId="0" borderId="0" xfId="5" applyNumberFormat="1" applyFont="1" applyProtection="1"/>
    <xf numFmtId="168" fontId="6" fillId="0" borderId="1" xfId="5" applyNumberFormat="1" applyFont="1" applyBorder="1"/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</cellXfs>
  <cellStyles count="6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%20gas%20Orig%20Trading%20Repor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%20gas%20Orig%20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%20gas%20Trading%20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WPR%20Trading%20Repor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NG%20Fundamentals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%20gas%20Trading%20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erivative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ast%20gas%20Trading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ast%20gas%20Orig%20Trading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%20%20gas%20Trading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NG%20Structuring%20Re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%20gas%20Trading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%20gas%20Orig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enovate"/>
      <sheetName val="Variance"/>
      <sheetName val="sapactivexlhiddensheet"/>
    </sheetNames>
    <sheetDataSet>
      <sheetData sheetId="0" refreshError="1"/>
      <sheetData sheetId="1">
        <row r="1">
          <cell r="B1" t="str">
            <v>Enron North America</v>
          </cell>
        </row>
        <row r="25">
          <cell r="BA25">
            <v>573255.93000000005</v>
          </cell>
        </row>
        <row r="26">
          <cell r="BA26">
            <v>108049.64</v>
          </cell>
        </row>
        <row r="27">
          <cell r="BA27">
            <v>41014.61</v>
          </cell>
        </row>
        <row r="28">
          <cell r="BA28">
            <v>101334.57</v>
          </cell>
        </row>
        <row r="29">
          <cell r="BA29">
            <v>7952.6100000000006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17547.23</v>
          </cell>
        </row>
        <row r="33">
          <cell r="BA33">
            <v>4737.0400000000009</v>
          </cell>
        </row>
        <row r="34">
          <cell r="BA34">
            <v>0</v>
          </cell>
        </row>
        <row r="35">
          <cell r="BA35">
            <v>5000</v>
          </cell>
        </row>
        <row r="36">
          <cell r="BA36">
            <v>22020.83</v>
          </cell>
        </row>
        <row r="37">
          <cell r="BA37">
            <v>14514.130000000001</v>
          </cell>
        </row>
        <row r="38">
          <cell r="BA38">
            <v>16</v>
          </cell>
        </row>
        <row r="39">
          <cell r="BA39">
            <v>0</v>
          </cell>
        </row>
        <row r="40">
          <cell r="BA40">
            <v>93184.849999999991</v>
          </cell>
        </row>
        <row r="41">
          <cell r="BA41">
            <v>23898.699999999997</v>
          </cell>
        </row>
        <row r="42">
          <cell r="BA42">
            <v>54343.83</v>
          </cell>
        </row>
        <row r="43">
          <cell r="BA43">
            <v>0</v>
          </cell>
        </row>
        <row r="44">
          <cell r="BA44">
            <v>53.72</v>
          </cell>
        </row>
        <row r="45">
          <cell r="BA45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West Gas Origination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856285.23999999987</v>
          </cell>
        </row>
        <row r="26">
          <cell r="BA26">
            <v>132575.44999999998</v>
          </cell>
        </row>
        <row r="27">
          <cell r="BA27">
            <v>98627.9</v>
          </cell>
        </row>
        <row r="28">
          <cell r="BA28">
            <v>152797.79999999999</v>
          </cell>
        </row>
        <row r="29">
          <cell r="BA29">
            <v>6186.5499999999993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4804.26</v>
          </cell>
        </row>
        <row r="33">
          <cell r="BA33">
            <v>8317.7200000000012</v>
          </cell>
        </row>
        <row r="34">
          <cell r="BA34">
            <v>0</v>
          </cell>
        </row>
        <row r="35">
          <cell r="BA35">
            <v>500</v>
          </cell>
        </row>
        <row r="36">
          <cell r="BA36">
            <v>166552.07</v>
          </cell>
        </row>
        <row r="37">
          <cell r="BA37">
            <v>24751.93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16453.349999999999</v>
          </cell>
        </row>
        <row r="41">
          <cell r="BA41">
            <v>23918.42</v>
          </cell>
        </row>
        <row r="42">
          <cell r="BA42">
            <v>138729.59999999998</v>
          </cell>
        </row>
        <row r="43">
          <cell r="BA43">
            <v>0</v>
          </cell>
        </row>
        <row r="44">
          <cell r="BA44">
            <v>490.75</v>
          </cell>
        </row>
        <row r="45">
          <cell r="BA45">
            <v>11913.27</v>
          </cell>
        </row>
      </sheetData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West Gas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996618.41</v>
          </cell>
        </row>
        <row r="26">
          <cell r="BA26">
            <v>199395.76</v>
          </cell>
        </row>
        <row r="27">
          <cell r="BA27">
            <v>81330.490000000005</v>
          </cell>
        </row>
        <row r="28">
          <cell r="BA28">
            <v>110485.16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16096.18</v>
          </cell>
        </row>
        <row r="33">
          <cell r="BA33">
            <v>4515.9299999999994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29587.79</v>
          </cell>
        </row>
        <row r="38">
          <cell r="BA38">
            <v>0</v>
          </cell>
        </row>
        <row r="39">
          <cell r="BA39">
            <v>1151429.18</v>
          </cell>
        </row>
        <row r="40">
          <cell r="BA40">
            <v>625847.5</v>
          </cell>
        </row>
        <row r="41">
          <cell r="BA41">
            <v>54675.340000000004</v>
          </cell>
        </row>
        <row r="42">
          <cell r="BA42">
            <v>272276.15000000002</v>
          </cell>
        </row>
        <row r="43">
          <cell r="BA43">
            <v>0</v>
          </cell>
        </row>
        <row r="44">
          <cell r="BA44">
            <v>82.009999999999991</v>
          </cell>
        </row>
        <row r="45">
          <cell r="BA45">
            <v>2150</v>
          </cell>
        </row>
      </sheetData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3">
          <cell r="B3">
            <v>37135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NG Fundamentals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487248.11</v>
          </cell>
        </row>
        <row r="26">
          <cell r="BA26">
            <v>99999.049999999988</v>
          </cell>
        </row>
        <row r="27">
          <cell r="BA27">
            <v>48120.69</v>
          </cell>
        </row>
        <row r="28">
          <cell r="BA28">
            <v>24345.510000000002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18097.810000000001</v>
          </cell>
        </row>
        <row r="33">
          <cell r="BA33">
            <v>8653.91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33238.300000000003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46283.58</v>
          </cell>
        </row>
        <row r="41">
          <cell r="BA41">
            <v>50443.189999999995</v>
          </cell>
        </row>
        <row r="42">
          <cell r="BA42">
            <v>647348.78999999992</v>
          </cell>
        </row>
        <row r="43">
          <cell r="BA43">
            <v>24451.27</v>
          </cell>
        </row>
        <row r="44">
          <cell r="BA44">
            <v>35.190000000000005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Central Gas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970223.49</v>
          </cell>
        </row>
        <row r="26">
          <cell r="BA26">
            <v>168932.00999999998</v>
          </cell>
        </row>
        <row r="27">
          <cell r="BA27">
            <v>51468.14</v>
          </cell>
        </row>
        <row r="28">
          <cell r="BA28">
            <v>7835.4100000000008</v>
          </cell>
        </row>
        <row r="29">
          <cell r="BA29">
            <v>0</v>
          </cell>
        </row>
        <row r="30">
          <cell r="BA30">
            <v>3549</v>
          </cell>
        </row>
        <row r="31">
          <cell r="BA31">
            <v>0</v>
          </cell>
        </row>
        <row r="32">
          <cell r="BA32">
            <v>37546.840000000004</v>
          </cell>
        </row>
        <row r="33">
          <cell r="BA33">
            <v>4744.2900000000009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146.13999999999999</v>
          </cell>
        </row>
        <row r="37">
          <cell r="BA37">
            <v>11962.85</v>
          </cell>
        </row>
        <row r="38">
          <cell r="BA38">
            <v>0</v>
          </cell>
        </row>
        <row r="39">
          <cell r="BA39">
            <v>1423117.25</v>
          </cell>
        </row>
        <row r="40">
          <cell r="BA40">
            <v>757280.51</v>
          </cell>
        </row>
        <row r="41">
          <cell r="BA41">
            <v>42996.61</v>
          </cell>
        </row>
        <row r="42">
          <cell r="BA42">
            <v>11531.98</v>
          </cell>
        </row>
        <row r="43">
          <cell r="BA43">
            <v>0</v>
          </cell>
        </row>
        <row r="44">
          <cell r="BA44">
            <v>114.16000000000001</v>
          </cell>
        </row>
        <row r="45">
          <cell r="BA45">
            <v>2042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Derivatives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1175765.7999999998</v>
          </cell>
        </row>
        <row r="26">
          <cell r="BA26">
            <v>291306.80999999994</v>
          </cell>
        </row>
        <row r="27">
          <cell r="BA27">
            <v>250026.99</v>
          </cell>
        </row>
        <row r="28">
          <cell r="BA28">
            <v>437712.95000000007</v>
          </cell>
        </row>
        <row r="29">
          <cell r="BA29">
            <v>76922.58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41472.9</v>
          </cell>
        </row>
        <row r="33">
          <cell r="BA33">
            <v>29288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-26755.31</v>
          </cell>
        </row>
        <row r="37">
          <cell r="BA37">
            <v>62246.39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236195.72000000003</v>
          </cell>
        </row>
        <row r="41">
          <cell r="BA41">
            <v>126209.46999999999</v>
          </cell>
        </row>
        <row r="42">
          <cell r="BA42">
            <v>268365.8</v>
          </cell>
        </row>
        <row r="43">
          <cell r="BA43">
            <v>0</v>
          </cell>
        </row>
        <row r="44">
          <cell r="BA44">
            <v>133.55999999999997</v>
          </cell>
        </row>
        <row r="45">
          <cell r="BA45">
            <v>48540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East Gas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1242710.72</v>
          </cell>
        </row>
        <row r="26">
          <cell r="BA26">
            <v>295020.11</v>
          </cell>
        </row>
        <row r="27">
          <cell r="BA27">
            <v>67830.09</v>
          </cell>
        </row>
        <row r="28">
          <cell r="BA28">
            <v>-1702.6700000000019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13065.630000000001</v>
          </cell>
        </row>
        <row r="33">
          <cell r="BA33">
            <v>22785.42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589.8599999999999</v>
          </cell>
        </row>
        <row r="37">
          <cell r="BA37">
            <v>12122.89</v>
          </cell>
        </row>
        <row r="38">
          <cell r="BA38">
            <v>0</v>
          </cell>
        </row>
        <row r="39">
          <cell r="BA39">
            <v>1145996.54</v>
          </cell>
        </row>
        <row r="40">
          <cell r="BA40">
            <v>685489.53</v>
          </cell>
        </row>
        <row r="41">
          <cell r="BA41">
            <v>42622.359999999993</v>
          </cell>
        </row>
        <row r="42">
          <cell r="BA42">
            <v>141042.96</v>
          </cell>
        </row>
        <row r="43">
          <cell r="BA43">
            <v>0</v>
          </cell>
        </row>
        <row r="44">
          <cell r="BA44">
            <v>4755620.6100000003</v>
          </cell>
        </row>
        <row r="45">
          <cell r="BA45">
            <v>13396</v>
          </cell>
        </row>
      </sheetData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East Gas Origination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1323225.8099999998</v>
          </cell>
        </row>
        <row r="26">
          <cell r="BA26">
            <v>251345.73</v>
          </cell>
        </row>
        <row r="27">
          <cell r="BA27">
            <v>71177.97</v>
          </cell>
        </row>
        <row r="28">
          <cell r="BA28">
            <v>286730.48000000004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852.11</v>
          </cell>
        </row>
        <row r="33">
          <cell r="BA33">
            <v>4190.84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1502.8600000000001</v>
          </cell>
        </row>
        <row r="37">
          <cell r="BA37">
            <v>21322.510000000002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54085.56</v>
          </cell>
        </row>
        <row r="41">
          <cell r="BA41">
            <v>60740.439999999995</v>
          </cell>
        </row>
        <row r="42">
          <cell r="BA42">
            <v>78046.599999999991</v>
          </cell>
        </row>
        <row r="43">
          <cell r="BA43">
            <v>0</v>
          </cell>
        </row>
        <row r="44">
          <cell r="BA44">
            <v>161.74</v>
          </cell>
        </row>
        <row r="45">
          <cell r="BA45">
            <v>326086.92</v>
          </cell>
        </row>
      </sheetData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Financial Gas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625040.27</v>
          </cell>
        </row>
        <row r="26">
          <cell r="BA26">
            <v>118603.18999999999</v>
          </cell>
        </row>
        <row r="27">
          <cell r="BA27">
            <v>78488.709999999992</v>
          </cell>
        </row>
        <row r="28">
          <cell r="BA28">
            <v>30418.36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40980.630000000005</v>
          </cell>
        </row>
        <row r="33">
          <cell r="BA33">
            <v>11361.58</v>
          </cell>
        </row>
        <row r="34">
          <cell r="BA34">
            <v>0</v>
          </cell>
        </row>
        <row r="35">
          <cell r="BA35">
            <v>400</v>
          </cell>
        </row>
        <row r="36">
          <cell r="BA36">
            <v>308.51</v>
          </cell>
        </row>
        <row r="37">
          <cell r="BA37">
            <v>4585.34</v>
          </cell>
        </row>
        <row r="38">
          <cell r="BA38">
            <v>0</v>
          </cell>
        </row>
        <row r="39">
          <cell r="BA39">
            <v>3182</v>
          </cell>
        </row>
        <row r="40">
          <cell r="BA40">
            <v>106558.61</v>
          </cell>
        </row>
        <row r="41">
          <cell r="BA41">
            <v>38415.71</v>
          </cell>
        </row>
        <row r="42">
          <cell r="BA42">
            <v>110516.62999999999</v>
          </cell>
        </row>
        <row r="43">
          <cell r="BA43">
            <v>0</v>
          </cell>
        </row>
        <row r="44">
          <cell r="BA44">
            <v>69.66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NG Structuring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731333.97000000009</v>
          </cell>
        </row>
        <row r="26">
          <cell r="BA26">
            <v>163897.44</v>
          </cell>
        </row>
        <row r="27">
          <cell r="BA27">
            <v>43481.47</v>
          </cell>
        </row>
        <row r="28">
          <cell r="BA28">
            <v>50057.399999999994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27468.620000000003</v>
          </cell>
        </row>
        <row r="33">
          <cell r="BA33">
            <v>8233.32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867.87</v>
          </cell>
        </row>
        <row r="37">
          <cell r="BA37">
            <v>57072.299999999996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10682.17</v>
          </cell>
        </row>
        <row r="41">
          <cell r="BA41">
            <v>61903.02</v>
          </cell>
        </row>
        <row r="42">
          <cell r="BA42">
            <v>272919.93</v>
          </cell>
        </row>
        <row r="43">
          <cell r="BA43">
            <v>0</v>
          </cell>
        </row>
        <row r="44">
          <cell r="BA44">
            <v>134.17999999999998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Texas Gas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1031180.6699999999</v>
          </cell>
        </row>
        <row r="26">
          <cell r="BA26">
            <v>161041.99000000002</v>
          </cell>
        </row>
        <row r="27">
          <cell r="BA27">
            <v>70914.559999999998</v>
          </cell>
        </row>
        <row r="28">
          <cell r="BA28">
            <v>21515.25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1599.1900000000023</v>
          </cell>
        </row>
        <row r="33">
          <cell r="BA33">
            <v>4958.8200000000006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65</v>
          </cell>
        </row>
        <row r="37">
          <cell r="BA37">
            <v>470.88999999999942</v>
          </cell>
        </row>
        <row r="38">
          <cell r="BA38">
            <v>0</v>
          </cell>
        </row>
        <row r="39">
          <cell r="BA39">
            <v>1050935.19</v>
          </cell>
        </row>
        <row r="40">
          <cell r="BA40">
            <v>540124.86</v>
          </cell>
        </row>
        <row r="41">
          <cell r="BA41">
            <v>73187.179999999978</v>
          </cell>
        </row>
        <row r="42">
          <cell r="BA42">
            <v>127172.3</v>
          </cell>
        </row>
        <row r="43">
          <cell r="BA43">
            <v>0</v>
          </cell>
        </row>
        <row r="44">
          <cell r="BA44">
            <v>182.87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Texas Gas Origination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49370.239999999998</v>
          </cell>
        </row>
        <row r="26">
          <cell r="BA26">
            <v>8505.8700000000008</v>
          </cell>
        </row>
        <row r="27">
          <cell r="BA27">
            <v>82552.23000000001</v>
          </cell>
        </row>
        <row r="28">
          <cell r="BA28">
            <v>8819.61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34855.839999999997</v>
          </cell>
        </row>
        <row r="33">
          <cell r="BA33">
            <v>1111.1300000000001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66586.09</v>
          </cell>
        </row>
        <row r="37">
          <cell r="BA37">
            <v>0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509.44</v>
          </cell>
        </row>
        <row r="41">
          <cell r="BA41">
            <v>76687.009999999995</v>
          </cell>
        </row>
        <row r="42">
          <cell r="BA42">
            <v>24000</v>
          </cell>
        </row>
        <row r="43">
          <cell r="BA43">
            <v>33180</v>
          </cell>
        </row>
        <row r="44">
          <cell r="BA44">
            <v>3.23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9"/>
  <sheetViews>
    <sheetView tabSelected="1"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19.140625" customWidth="1"/>
    <col min="4" max="4" width="2.5703125" customWidth="1"/>
    <col min="5" max="5" width="13.85546875" customWidth="1"/>
    <col min="6" max="6" width="2.42578125" customWidth="1"/>
    <col min="7" max="7" width="14" bestFit="1" customWidth="1"/>
    <col min="9" max="9" width="12.28515625" bestFit="1" customWidth="1"/>
  </cols>
  <sheetData>
    <row r="1" spans="1:44" ht="18" x14ac:dyDescent="0.25">
      <c r="B1" s="18" t="str">
        <f>'[12]Team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">
        <v>56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'[12]Team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1</v>
      </c>
      <c r="E7" s="4" t="s">
        <v>2</v>
      </c>
      <c r="G7" s="4" t="s">
        <v>60</v>
      </c>
    </row>
    <row r="8" spans="1:44" x14ac:dyDescent="0.2">
      <c r="A8" s="5" t="s">
        <v>3</v>
      </c>
      <c r="B8" s="6" t="s">
        <v>4</v>
      </c>
      <c r="C8" s="7">
        <f>'Central Trading'!C8+'Central Origination'!C8+Derivatives!C8+'East Trading'!C8+'East Origination'!C8+'Financial Gas'!C8+Structuring!C8+'Texas Trading'!C8+'Texas Origination'!C8+'West Trading'!C8+'West Origination'!C8+Fundamentals!C8</f>
        <v>8647857.6600000001</v>
      </c>
      <c r="E8" s="7">
        <f>(C8/9)*12</f>
        <v>11530476.880000001</v>
      </c>
      <c r="G8" s="16">
        <f>E8/$E$23</f>
        <v>0.36691404297264901</v>
      </c>
    </row>
    <row r="9" spans="1:44" x14ac:dyDescent="0.2">
      <c r="A9" s="5"/>
      <c r="B9" s="6" t="s">
        <v>5</v>
      </c>
      <c r="C9" s="7">
        <f>'Central Trading'!C9+'Central Origination'!C9+Derivatives!C9+'East Trading'!C9+'East Origination'!C9+'Financial Gas'!C9+Structuring!C9+'Texas Trading'!C9+'Texas Origination'!C9+'West Trading'!C9+'West Origination'!C9+Fundamentals!C9</f>
        <v>1485250</v>
      </c>
      <c r="E9" s="7">
        <f t="shared" ref="E9:E22" si="0">(C9/9)*12</f>
        <v>1980333.3333333335</v>
      </c>
      <c r="G9" s="16">
        <f t="shared" ref="G9:G23" si="1">E9/$E$23</f>
        <v>6.3016657275222418E-2</v>
      </c>
    </row>
    <row r="10" spans="1:44" x14ac:dyDescent="0.2">
      <c r="A10" s="5"/>
      <c r="B10" s="6" t="s">
        <v>6</v>
      </c>
      <c r="C10" s="7">
        <f>'Central Trading'!C10+'Central Origination'!C10+Derivatives!C10+'East Trading'!C10+'East Origination'!C10+'Financial Gas'!C10+Structuring!C10+'Texas Trading'!C10+'Texas Origination'!C10+'West Trading'!C10+'West Origination'!C10+Fundamentals!C10</f>
        <v>3095252.76</v>
      </c>
      <c r="D10" s="7">
        <f>'Central Trading'!D9+'Central Origination'!D10+Derivatives!D10+'East Trading'!D10+'East Origination'!D10+'Financial Gas'!D10+Structuring!D10+'Texas Trading'!D10+'Texas Origination'!D10+'West Trading'!D10+'West Origination'!D10+Fundamentals!D10</f>
        <v>0</v>
      </c>
      <c r="E10" s="7">
        <f>'Central Trading'!E9+'Central Origination'!E10+Derivatives!E10+'East Trading'!E10+'East Origination'!E10+'Financial Gas'!E10+Structuring!E10+'Texas Trading'!E10+'Texas Origination'!E10+'West Trading'!E10+'West Origination'!E10+Fundamentals!E10</f>
        <v>4082420.9999999995</v>
      </c>
      <c r="G10" s="16">
        <f t="shared" si="1"/>
        <v>0.1299076881047824</v>
      </c>
    </row>
    <row r="11" spans="1:44" x14ac:dyDescent="0.2">
      <c r="A11" s="5" t="s">
        <v>7</v>
      </c>
      <c r="B11" s="6" t="s">
        <v>8</v>
      </c>
      <c r="C11" s="7">
        <f>'Central Trading'!C11+'Central Origination'!C11+Derivatives!C11+'East Trading'!C11+'East Origination'!C11+'Financial Gas'!C11+Structuring!C11+'Texas Trading'!C11+'Texas Origination'!C11+'West Trading'!C11+'West Origination'!C11+Fundamentals!C11</f>
        <v>1852307.95</v>
      </c>
      <c r="E11" s="7">
        <f t="shared" si="0"/>
        <v>2469743.9333333331</v>
      </c>
      <c r="G11" s="16">
        <f t="shared" si="1"/>
        <v>7.8590308199508366E-2</v>
      </c>
    </row>
    <row r="12" spans="1:44" x14ac:dyDescent="0.2">
      <c r="A12" s="5" t="s">
        <v>9</v>
      </c>
      <c r="B12" s="6" t="s">
        <v>10</v>
      </c>
      <c r="C12" s="7">
        <f>'Central Trading'!C12+'Central Origination'!C12+Derivatives!C12+'East Trading'!C12+'East Origination'!C12+'Financial Gas'!C12+Structuring!C12+'Texas Trading'!C12+'Texas Origination'!C12+'West Trading'!C12+'West Origination'!C12+Fundamentals!C12</f>
        <v>1114496.8499999996</v>
      </c>
      <c r="E12" s="7">
        <f t="shared" si="0"/>
        <v>1485995.7999999996</v>
      </c>
      <c r="G12" s="16">
        <f t="shared" si="1"/>
        <v>4.7286225235323984E-2</v>
      </c>
    </row>
    <row r="13" spans="1:44" x14ac:dyDescent="0.2">
      <c r="A13" s="5" t="s">
        <v>11</v>
      </c>
      <c r="B13" s="6" t="s">
        <v>12</v>
      </c>
      <c r="C13" s="7">
        <f>'Central Trading'!C13+'Central Origination'!C13+Derivatives!C13+'East Trading'!C13+'East Origination'!C13+'Financial Gas'!C13+Structuring!C13+'Texas Trading'!C13+'Texas Origination'!C13+'West Trading'!C13+'West Origination'!C13+Fundamentals!C13</f>
        <v>1408194.83</v>
      </c>
      <c r="E13" s="7">
        <f t="shared" si="0"/>
        <v>1877593.1066666669</v>
      </c>
      <c r="G13" s="16">
        <f t="shared" si="1"/>
        <v>5.9747336124457234E-2</v>
      </c>
    </row>
    <row r="14" spans="1:44" x14ac:dyDescent="0.2">
      <c r="A14" s="5" t="s">
        <v>14</v>
      </c>
      <c r="B14" s="6" t="s">
        <v>15</v>
      </c>
      <c r="C14" s="7">
        <f>'Central Trading'!C14+'Central Origination'!C14+Derivatives!C14+'East Trading'!C14+'East Origination'!C14+'Financial Gas'!C14+Structuring!C14+'Texas Trading'!C14+'Texas Origination'!C14+'West Trading'!C14+'West Origination'!C14+Fundamentals!C14</f>
        <v>254512.24000000002</v>
      </c>
      <c r="E14" s="7">
        <f t="shared" si="0"/>
        <v>339349.65333333338</v>
      </c>
      <c r="G14" s="16">
        <f t="shared" si="1"/>
        <v>1.0798525905018789E-2</v>
      </c>
    </row>
    <row r="15" spans="1:44" x14ac:dyDescent="0.2">
      <c r="A15" s="5" t="s">
        <v>16</v>
      </c>
      <c r="B15" s="6" t="s">
        <v>17</v>
      </c>
      <c r="C15" s="7">
        <f>'Central Trading'!C15+'Central Origination'!C15+Derivatives!C15+'East Trading'!C15+'East Origination'!C15+'Financial Gas'!C15+Structuring!C15+'Texas Trading'!C15+'Texas Origination'!C15+'West Trading'!C15+'West Origination'!C15+Fundamentals!C15</f>
        <v>160813</v>
      </c>
      <c r="E15" s="7">
        <f t="shared" si="0"/>
        <v>214417.33333333331</v>
      </c>
      <c r="G15" s="16">
        <f t="shared" si="1"/>
        <v>6.8230248822759411E-3</v>
      </c>
    </row>
    <row r="16" spans="1:44" x14ac:dyDescent="0.2">
      <c r="A16" s="5" t="s">
        <v>18</v>
      </c>
      <c r="B16" s="6" t="s">
        <v>19</v>
      </c>
      <c r="C16" s="7">
        <f>'Central Trading'!C16+'Central Origination'!C16+Derivatives!C16+'East Trading'!C16+'East Origination'!C16+'Financial Gas'!C16+Structuring!C16+'Texas Trading'!C16+'Texas Origination'!C16+'West Trading'!C16+'West Origination'!C16+Fundamentals!C16</f>
        <v>0</v>
      </c>
      <c r="E16" s="7">
        <f t="shared" si="0"/>
        <v>0</v>
      </c>
      <c r="G16" s="16">
        <f t="shared" si="1"/>
        <v>0</v>
      </c>
    </row>
    <row r="17" spans="1:9" x14ac:dyDescent="0.2">
      <c r="A17" s="5" t="s">
        <v>20</v>
      </c>
      <c r="B17" s="6" t="s">
        <v>21</v>
      </c>
      <c r="C17" s="7">
        <f>'Central Trading'!C17+'Central Origination'!C17+Derivatives!C17+'East Trading'!C17+'East Origination'!C17+'Financial Gas'!C17+Structuring!C17+'Texas Trading'!C17+'Texas Origination'!C17+'West Trading'!C17+'West Origination'!C17+Fundamentals!C17</f>
        <v>5900</v>
      </c>
      <c r="E17" s="7">
        <f t="shared" si="0"/>
        <v>7866.6666666666661</v>
      </c>
      <c r="G17" s="16">
        <f t="shared" si="1"/>
        <v>2.503270681190454E-4</v>
      </c>
    </row>
    <row r="18" spans="1:9" x14ac:dyDescent="0.2">
      <c r="A18" s="5" t="s">
        <v>22</v>
      </c>
      <c r="B18" s="6" t="s">
        <v>23</v>
      </c>
      <c r="C18" s="7">
        <f>'Central Trading'!C18+'Central Origination'!C18+Derivatives!C18+'East Trading'!C18+'East Origination'!C18+'Financial Gas'!C18+Structuring!C18+'Texas Trading'!C18+'Texas Origination'!C18+'West Trading'!C18+'West Origination'!C18+Fundamentals!C18</f>
        <v>350904.92000000004</v>
      </c>
      <c r="E18" s="7">
        <f t="shared" si="0"/>
        <v>467873.22666666668</v>
      </c>
      <c r="G18" s="16">
        <f t="shared" si="1"/>
        <v>1.4888305052906474E-2</v>
      </c>
    </row>
    <row r="19" spans="1:9" x14ac:dyDescent="0.2">
      <c r="A19" s="5" t="s">
        <v>24</v>
      </c>
      <c r="B19" s="6" t="s">
        <v>25</v>
      </c>
      <c r="C19" s="7">
        <f>'Central Trading'!C19+'Central Origination'!C19+Derivatives!C19+'East Trading'!C19+'East Origination'!C19+'Financial Gas'!C19+Structuring!C19+'Texas Trading'!C19+'Texas Origination'!C19+'West Trading'!C19+'West Origination'!C19+Fundamentals!C19</f>
        <v>277960.32000000001</v>
      </c>
      <c r="E19" s="7">
        <f t="shared" si="0"/>
        <v>370613.76000000001</v>
      </c>
      <c r="G19" s="16">
        <f t="shared" si="1"/>
        <v>1.1793388467632487E-2</v>
      </c>
    </row>
    <row r="20" spans="1:9" x14ac:dyDescent="0.2">
      <c r="A20" s="5" t="s">
        <v>26</v>
      </c>
      <c r="B20" s="6" t="s">
        <v>27</v>
      </c>
      <c r="C20" s="7">
        <f>'Central Trading'!C20+'Central Origination'!C20+Derivatives!C20+'East Trading'!C20+'East Origination'!C20+'Financial Gas'!C20+Structuring!C20+'Texas Trading'!C20+'Texas Origination'!C20+'West Trading'!C20+'West Origination'!C20+Fundamentals!C20</f>
        <v>16</v>
      </c>
      <c r="E20" s="7">
        <f t="shared" si="0"/>
        <v>21.333333333333332</v>
      </c>
      <c r="G20" s="16">
        <f t="shared" si="1"/>
        <v>6.7885306608554691E-7</v>
      </c>
    </row>
    <row r="21" spans="1:9" x14ac:dyDescent="0.2">
      <c r="A21" s="5" t="s">
        <v>28</v>
      </c>
      <c r="B21" s="6" t="s">
        <v>29</v>
      </c>
      <c r="C21" s="7">
        <f>'Central Trading'!C21+'Central Origination'!C21+Derivatives!C21+'East Trading'!C21+'East Origination'!C21+'Financial Gas'!C21+Structuring!C21+'Texas Trading'!C21+'Texas Origination'!C21+'West Trading'!C21+'West Origination'!C21+Fundamentals!C21</f>
        <v>192038.90999999986</v>
      </c>
      <c r="E21" s="7">
        <f t="shared" si="0"/>
        <v>256051.87999999983</v>
      </c>
      <c r="G21" s="16">
        <f t="shared" si="1"/>
        <v>8.1478876788266454E-3</v>
      </c>
    </row>
    <row r="22" spans="1:9" x14ac:dyDescent="0.2">
      <c r="A22" s="5" t="s">
        <v>30</v>
      </c>
      <c r="B22" s="6" t="s">
        <v>31</v>
      </c>
      <c r="C22" s="7">
        <f>'Central Trading'!C22+'Central Origination'!C22+Derivatives!C22+'East Trading'!C22+'East Origination'!C22+'Financial Gas'!C22+Structuring!C22+'Texas Trading'!C22+'Texas Origination'!C22+'West Trading'!C22+'West Origination'!C22+Fundamentals!C22</f>
        <v>4757096.6800000016</v>
      </c>
      <c r="E22" s="7">
        <f t="shared" si="0"/>
        <v>6342795.573333336</v>
      </c>
      <c r="G22" s="16">
        <f t="shared" si="1"/>
        <v>0.2018356041802111</v>
      </c>
    </row>
    <row r="23" spans="1:9" x14ac:dyDescent="0.2">
      <c r="A23" s="8" t="s">
        <v>32</v>
      </c>
      <c r="B23" s="9" t="s">
        <v>33</v>
      </c>
      <c r="C23" s="10">
        <f>SUM(C8:C22)</f>
        <v>23602602.119999997</v>
      </c>
      <c r="E23" s="10">
        <f>SUM(E8:E22)</f>
        <v>31425553.480000004</v>
      </c>
      <c r="G23" s="17">
        <f t="shared" si="1"/>
        <v>1</v>
      </c>
      <c r="I23" s="11"/>
    </row>
    <row r="25" spans="1:9" x14ac:dyDescent="0.2">
      <c r="B25" s="9" t="s">
        <v>57</v>
      </c>
      <c r="C25" s="7"/>
      <c r="E25" s="13">
        <f>'Central Trading'!E25+'Central Origination'!E25+Derivatives!E25+'East Trading'!E25+'East Origination'!E25+'Financial Gas'!E25+Structuring!E25+'Texas Trading'!E25+'Texas Origination'!E25+'West Trading'!E25+'West Origination'!E25+Fundamentals!E25</f>
        <v>108</v>
      </c>
    </row>
    <row r="26" spans="1:9" x14ac:dyDescent="0.2">
      <c r="C26" s="7"/>
      <c r="E26" s="7"/>
    </row>
    <row r="27" spans="1:9" x14ac:dyDescent="0.2">
      <c r="B27" s="9" t="s">
        <v>55</v>
      </c>
      <c r="C27" s="7"/>
      <c r="E27" s="13">
        <f>'Central Trading'!E27+'Central Origination'!E27+Derivatives!E27+'East Trading'!E27+'East Origination'!E27+'Financial Gas'!E27+Structuring!E27+'Texas Trading'!E27+'Texas Origination'!E27+'West Trading'!E27+'West Origination'!E27+Fundamentals!E27</f>
        <v>52</v>
      </c>
    </row>
    <row r="29" spans="1:9" x14ac:dyDescent="0.2">
      <c r="B29" s="9" t="s">
        <v>34</v>
      </c>
      <c r="C29" s="7"/>
      <c r="E29" s="13">
        <f>SUM(E25:E27)</f>
        <v>160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/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'[9]Team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'[9]Pull Sheet'!E9</f>
        <v>Texas Gas Origination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'[9]Team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1</v>
      </c>
      <c r="E7" s="4" t="s">
        <v>2</v>
      </c>
      <c r="G7" s="4" t="s">
        <v>60</v>
      </c>
    </row>
    <row r="8" spans="1:44" x14ac:dyDescent="0.2">
      <c r="A8" s="5" t="s">
        <v>3</v>
      </c>
      <c r="B8" s="6" t="s">
        <v>4</v>
      </c>
      <c r="C8" s="7">
        <f>'[9]Team Report'!BA25-24000</f>
        <v>25370.239999999998</v>
      </c>
      <c r="E8" s="7">
        <f>(C8/9)*12</f>
        <v>33826.986666666664</v>
      </c>
      <c r="G8" s="16">
        <f>E8/$E$23</f>
        <v>9.1986403109683881E-2</v>
      </c>
    </row>
    <row r="9" spans="1:44" x14ac:dyDescent="0.2">
      <c r="A9" s="5"/>
      <c r="B9" s="6" t="s">
        <v>5</v>
      </c>
      <c r="C9" s="7"/>
      <c r="E9" s="7">
        <f>C9</f>
        <v>0</v>
      </c>
      <c r="G9" s="16">
        <f t="shared" ref="G9:G23" si="0">E9/$E$23</f>
        <v>0</v>
      </c>
    </row>
    <row r="10" spans="1:44" x14ac:dyDescent="0.2">
      <c r="A10" s="5"/>
      <c r="B10" s="6" t="s">
        <v>54</v>
      </c>
      <c r="C10" s="7">
        <v>24000</v>
      </c>
      <c r="E10" s="7">
        <f>(C10/9)*12</f>
        <v>32000</v>
      </c>
      <c r="G10" s="16">
        <f t="shared" si="0"/>
        <v>8.7018241633993743E-2</v>
      </c>
    </row>
    <row r="11" spans="1:44" x14ac:dyDescent="0.2">
      <c r="A11" s="5" t="s">
        <v>7</v>
      </c>
      <c r="B11" s="6" t="s">
        <v>8</v>
      </c>
      <c r="C11" s="7">
        <f>'[9]Team Report'!BA26</f>
        <v>8505.8700000000008</v>
      </c>
      <c r="E11" s="7">
        <f t="shared" ref="E11:E22" si="1">(C11/9)*12</f>
        <v>11341.160000000002</v>
      </c>
      <c r="G11" s="16">
        <f t="shared" si="0"/>
        <v>3.0840243790305769E-2</v>
      </c>
    </row>
    <row r="12" spans="1:44" x14ac:dyDescent="0.2">
      <c r="A12" s="5" t="s">
        <v>9</v>
      </c>
      <c r="B12" s="6" t="s">
        <v>10</v>
      </c>
      <c r="C12" s="7">
        <f>'[9]Team Report'!BA27</f>
        <v>82552.23000000001</v>
      </c>
      <c r="E12" s="7">
        <f t="shared" si="1"/>
        <v>110069.64000000001</v>
      </c>
      <c r="G12" s="16">
        <f t="shared" si="0"/>
        <v>0.29931457906520953</v>
      </c>
    </row>
    <row r="13" spans="1:44" x14ac:dyDescent="0.2">
      <c r="A13" s="5" t="s">
        <v>11</v>
      </c>
      <c r="B13" s="6" t="s">
        <v>12</v>
      </c>
      <c r="C13" s="7">
        <f>'[9]Team Report'!BA28</f>
        <v>8819.61</v>
      </c>
      <c r="E13" s="7">
        <f t="shared" si="1"/>
        <v>11759.48</v>
      </c>
      <c r="G13" s="16">
        <f t="shared" si="0"/>
        <v>3.1977789754066149E-2</v>
      </c>
    </row>
    <row r="14" spans="1:44" x14ac:dyDescent="0.2">
      <c r="A14" s="5" t="s">
        <v>14</v>
      </c>
      <c r="B14" s="6" t="s">
        <v>15</v>
      </c>
      <c r="C14" s="7">
        <f>'[9]Team Report'!BA32</f>
        <v>34855.839999999997</v>
      </c>
      <c r="E14" s="7">
        <f t="shared" si="1"/>
        <v>46474.453333333324</v>
      </c>
      <c r="G14" s="16">
        <f t="shared" si="0"/>
        <v>0.12637891281149266</v>
      </c>
    </row>
    <row r="15" spans="1:44" x14ac:dyDescent="0.2">
      <c r="A15" s="5" t="s">
        <v>16</v>
      </c>
      <c r="B15" s="6" t="s">
        <v>17</v>
      </c>
      <c r="C15" s="7">
        <f>'[9]Team Report'!BA33</f>
        <v>1111.1300000000001</v>
      </c>
      <c r="E15" s="7">
        <f t="shared" si="1"/>
        <v>1481.5066666666669</v>
      </c>
      <c r="G15" s="16">
        <f t="shared" si="0"/>
        <v>4.0286907844491451E-3</v>
      </c>
    </row>
    <row r="16" spans="1:44" x14ac:dyDescent="0.2">
      <c r="A16" s="5" t="s">
        <v>18</v>
      </c>
      <c r="B16" s="6" t="s">
        <v>19</v>
      </c>
      <c r="C16" s="7">
        <f>'[9]Team Report'!BA34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20</v>
      </c>
      <c r="B17" s="6" t="s">
        <v>21</v>
      </c>
      <c r="C17" s="7">
        <f>'[9]Team Report'!BA35</f>
        <v>0</v>
      </c>
      <c r="E17" s="7">
        <f t="shared" si="1"/>
        <v>0</v>
      </c>
      <c r="G17" s="16">
        <f t="shared" si="0"/>
        <v>0</v>
      </c>
    </row>
    <row r="18" spans="1:7" x14ac:dyDescent="0.2">
      <c r="A18" s="5" t="s">
        <v>22</v>
      </c>
      <c r="B18" s="6" t="s">
        <v>23</v>
      </c>
      <c r="C18" s="7">
        <f>'[9]Team Report'!BA36</f>
        <v>66586.09</v>
      </c>
      <c r="E18" s="7">
        <f t="shared" si="1"/>
        <v>88781.453333333324</v>
      </c>
      <c r="G18" s="16">
        <f t="shared" si="0"/>
        <v>0.24142518621178558</v>
      </c>
    </row>
    <row r="19" spans="1:7" x14ac:dyDescent="0.2">
      <c r="A19" s="5" t="s">
        <v>24</v>
      </c>
      <c r="B19" s="6" t="s">
        <v>25</v>
      </c>
      <c r="C19" s="7">
        <f>'[9]Team Report'!BA37</f>
        <v>0</v>
      </c>
      <c r="E19" s="7">
        <f t="shared" si="1"/>
        <v>0</v>
      </c>
      <c r="G19" s="16">
        <f t="shared" si="0"/>
        <v>0</v>
      </c>
    </row>
    <row r="20" spans="1:7" x14ac:dyDescent="0.2">
      <c r="A20" s="5" t="s">
        <v>26</v>
      </c>
      <c r="B20" s="6" t="s">
        <v>27</v>
      </c>
      <c r="C20" s="7">
        <f>'[9]Team Report'!BA38</f>
        <v>0</v>
      </c>
      <c r="E20" s="7">
        <f t="shared" si="1"/>
        <v>0</v>
      </c>
      <c r="G20" s="16">
        <f t="shared" si="0"/>
        <v>0</v>
      </c>
    </row>
    <row r="21" spans="1:7" x14ac:dyDescent="0.2">
      <c r="A21" s="5" t="s">
        <v>28</v>
      </c>
      <c r="B21" s="6" t="s">
        <v>29</v>
      </c>
      <c r="C21" s="7">
        <f>'[9]Team Report'!BA42</f>
        <v>24000</v>
      </c>
      <c r="E21" s="7">
        <f t="shared" si="1"/>
        <v>32000</v>
      </c>
      <c r="G21" s="16">
        <f t="shared" si="0"/>
        <v>8.7018241633993743E-2</v>
      </c>
    </row>
    <row r="22" spans="1:7" x14ac:dyDescent="0.2">
      <c r="A22" s="5" t="s">
        <v>30</v>
      </c>
      <c r="B22" s="6" t="s">
        <v>31</v>
      </c>
      <c r="C22" s="7">
        <f>'[9]Team Report'!BA44</f>
        <v>3.23</v>
      </c>
      <c r="E22" s="7">
        <f t="shared" si="1"/>
        <v>4.3066666666666666</v>
      </c>
      <c r="G22" s="16">
        <f t="shared" si="0"/>
        <v>1.1711205019908325E-5</v>
      </c>
    </row>
    <row r="23" spans="1:7" x14ac:dyDescent="0.2">
      <c r="A23" s="8" t="s">
        <v>32</v>
      </c>
      <c r="B23" s="9" t="s">
        <v>33</v>
      </c>
      <c r="C23" s="10">
        <f>SUM(C8:C22)</f>
        <v>275804.24</v>
      </c>
      <c r="E23" s="10">
        <f>SUM(E8:E22)</f>
        <v>367738.98666666663</v>
      </c>
      <c r="G23" s="17">
        <f t="shared" si="0"/>
        <v>1</v>
      </c>
    </row>
    <row r="25" spans="1:7" x14ac:dyDescent="0.2">
      <c r="B25" s="9" t="s">
        <v>57</v>
      </c>
      <c r="C25" s="7"/>
      <c r="E25" s="13">
        <v>1</v>
      </c>
    </row>
    <row r="26" spans="1:7" x14ac:dyDescent="0.2">
      <c r="C26" s="7"/>
      <c r="E26" s="7"/>
    </row>
    <row r="27" spans="1:7" x14ac:dyDescent="0.2">
      <c r="B27" s="9" t="s">
        <v>58</v>
      </c>
      <c r="C27" s="7"/>
      <c r="E27" s="13">
        <v>1</v>
      </c>
    </row>
    <row r="29" spans="1:7" x14ac:dyDescent="0.2">
      <c r="B29" s="9" t="s">
        <v>34</v>
      </c>
      <c r="E29" s="13">
        <f>SUM(E25:E27)</f>
        <v>2</v>
      </c>
    </row>
    <row r="31" spans="1:7" x14ac:dyDescent="0.2">
      <c r="A31" s="5" t="s">
        <v>35</v>
      </c>
      <c r="B31" s="6" t="s">
        <v>36</v>
      </c>
      <c r="C31" s="7">
        <f>'[9]Team Report'!BA29</f>
        <v>0</v>
      </c>
      <c r="E31" s="7">
        <f t="shared" ref="E31:E38" si="2">(C31/9)*12</f>
        <v>0</v>
      </c>
    </row>
    <row r="32" spans="1:7" x14ac:dyDescent="0.2">
      <c r="A32" s="5" t="s">
        <v>37</v>
      </c>
      <c r="B32" s="6" t="s">
        <v>38</v>
      </c>
      <c r="C32" s="7">
        <f>'[9]Team Report'!BA30</f>
        <v>0</v>
      </c>
      <c r="E32" s="7">
        <f t="shared" si="2"/>
        <v>0</v>
      </c>
    </row>
    <row r="33" spans="1:5" x14ac:dyDescent="0.2">
      <c r="A33" s="5" t="s">
        <v>39</v>
      </c>
      <c r="B33" s="6" t="s">
        <v>40</v>
      </c>
      <c r="C33" s="7">
        <f>'[9]Team Report'!BA31</f>
        <v>0</v>
      </c>
      <c r="E33" s="7">
        <f t="shared" si="2"/>
        <v>0</v>
      </c>
    </row>
    <row r="34" spans="1:5" x14ac:dyDescent="0.2">
      <c r="A34" s="5" t="s">
        <v>41</v>
      </c>
      <c r="B34" s="6" t="s">
        <v>42</v>
      </c>
      <c r="C34" s="7">
        <f>'[9]Team Report'!BA39</f>
        <v>0</v>
      </c>
      <c r="E34" s="7">
        <f t="shared" si="2"/>
        <v>0</v>
      </c>
    </row>
    <row r="35" spans="1:5" x14ac:dyDescent="0.2">
      <c r="A35" s="5" t="s">
        <v>43</v>
      </c>
      <c r="B35" s="6" t="s">
        <v>44</v>
      </c>
      <c r="C35" s="7">
        <f>'[9]Team Report'!BA40</f>
        <v>509.44</v>
      </c>
      <c r="E35" s="7">
        <f t="shared" si="2"/>
        <v>679.25333333333333</v>
      </c>
    </row>
    <row r="36" spans="1:5" x14ac:dyDescent="0.2">
      <c r="A36" s="5" t="s">
        <v>45</v>
      </c>
      <c r="B36" s="6" t="s">
        <v>46</v>
      </c>
      <c r="C36" s="7">
        <f>'[9]Team Report'!BA41</f>
        <v>76687.009999999995</v>
      </c>
      <c r="E36" s="7">
        <f t="shared" si="2"/>
        <v>102249.34666666665</v>
      </c>
    </row>
    <row r="37" spans="1:5" x14ac:dyDescent="0.2">
      <c r="A37" s="5" t="s">
        <v>47</v>
      </c>
      <c r="B37" s="6" t="s">
        <v>48</v>
      </c>
      <c r="C37" s="7">
        <f>'[9]Team Report'!BA43</f>
        <v>33180</v>
      </c>
      <c r="E37" s="7">
        <f t="shared" si="2"/>
        <v>44240</v>
      </c>
    </row>
    <row r="38" spans="1:5" x14ac:dyDescent="0.2">
      <c r="A38" s="5" t="s">
        <v>49</v>
      </c>
      <c r="B38" s="6" t="s">
        <v>50</v>
      </c>
      <c r="C38" s="7">
        <f>'[9]Team Report'!BA45</f>
        <v>0</v>
      </c>
      <c r="E38" s="7">
        <f t="shared" si="2"/>
        <v>0</v>
      </c>
    </row>
    <row r="44" spans="1:5" x14ac:dyDescent="0.2">
      <c r="C44" s="11">
        <f>C23+C31+C32+C33+C34+C35+C36+C37+C38</f>
        <v>386180.69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/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2.85546875" customWidth="1"/>
  </cols>
  <sheetData>
    <row r="1" spans="1:44" ht="18" x14ac:dyDescent="0.25">
      <c r="B1" s="18" t="str">
        <f>'[11]Team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'[11]Pull Sheet'!E9</f>
        <v>West Gas Trading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'[11]Team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1</v>
      </c>
      <c r="E7" s="4" t="s">
        <v>2</v>
      </c>
      <c r="G7" s="4" t="s">
        <v>60</v>
      </c>
    </row>
    <row r="8" spans="1:44" x14ac:dyDescent="0.2">
      <c r="A8" s="5" t="s">
        <v>3</v>
      </c>
      <c r="B8" s="6" t="s">
        <v>4</v>
      </c>
      <c r="C8" s="7">
        <f>'[11]Team Report'!BA25-115500-225000</f>
        <v>656118.41</v>
      </c>
      <c r="E8" s="7">
        <f>(C8/9)*12</f>
        <v>874824.54666666663</v>
      </c>
      <c r="G8" s="16">
        <f>E8/$E$23</f>
        <v>0.39665279293404482</v>
      </c>
    </row>
    <row r="9" spans="1:44" x14ac:dyDescent="0.2">
      <c r="A9" s="5"/>
      <c r="B9" s="6" t="s">
        <v>5</v>
      </c>
      <c r="C9" s="7">
        <v>225000</v>
      </c>
      <c r="E9" s="7">
        <f>C9</f>
        <v>225000</v>
      </c>
      <c r="G9" s="16">
        <f t="shared" ref="G9:G23" si="0">E9/$E$23</f>
        <v>0.10201688870095882</v>
      </c>
    </row>
    <row r="10" spans="1:44" x14ac:dyDescent="0.2">
      <c r="A10" s="5"/>
      <c r="B10" s="6" t="s">
        <v>54</v>
      </c>
      <c r="C10" s="7">
        <v>405755</v>
      </c>
      <c r="E10" s="7">
        <f>(C10/9)*12</f>
        <v>541006.66666666674</v>
      </c>
      <c r="G10" s="16">
        <f t="shared" si="0"/>
        <v>0.24529696399915585</v>
      </c>
    </row>
    <row r="11" spans="1:44" x14ac:dyDescent="0.2">
      <c r="A11" s="5" t="s">
        <v>7</v>
      </c>
      <c r="B11" s="6" t="s">
        <v>8</v>
      </c>
      <c r="C11" s="7">
        <f>'[11]Team Report'!BA26-18522-11880</f>
        <v>168993.76</v>
      </c>
      <c r="E11" s="7">
        <f t="shared" ref="E11:E22" si="1">(C11/9)*12</f>
        <v>225325.01333333334</v>
      </c>
      <c r="G11" s="16">
        <f t="shared" si="0"/>
        <v>0.10216425247452768</v>
      </c>
    </row>
    <row r="12" spans="1:44" x14ac:dyDescent="0.2">
      <c r="A12" s="5" t="s">
        <v>9</v>
      </c>
      <c r="B12" s="6" t="s">
        <v>10</v>
      </c>
      <c r="C12" s="7">
        <f>'[11]Team Report'!BA27</f>
        <v>81330.490000000005</v>
      </c>
      <c r="E12" s="7">
        <f t="shared" si="1"/>
        <v>108440.65333333335</v>
      </c>
      <c r="G12" s="16">
        <f t="shared" si="0"/>
        <v>4.9167902496737449E-2</v>
      </c>
    </row>
    <row r="13" spans="1:44" x14ac:dyDescent="0.2">
      <c r="A13" s="5" t="s">
        <v>11</v>
      </c>
      <c r="B13" s="6" t="s">
        <v>12</v>
      </c>
      <c r="C13" s="7">
        <f>'[11]Team Report'!BA28</f>
        <v>110485.16</v>
      </c>
      <c r="E13" s="7">
        <f t="shared" si="1"/>
        <v>147313.54666666666</v>
      </c>
      <c r="G13" s="16">
        <f t="shared" si="0"/>
        <v>6.6793198641941484E-2</v>
      </c>
    </row>
    <row r="14" spans="1:44" x14ac:dyDescent="0.2">
      <c r="A14" s="5" t="s">
        <v>14</v>
      </c>
      <c r="B14" s="6" t="s">
        <v>15</v>
      </c>
      <c r="C14" s="7">
        <f>'[11]Team Report'!BA32</f>
        <v>16096.18</v>
      </c>
      <c r="E14" s="7">
        <f t="shared" si="1"/>
        <v>21461.573333333334</v>
      </c>
      <c r="G14" s="16">
        <f t="shared" si="0"/>
        <v>9.7308575026405879E-3</v>
      </c>
    </row>
    <row r="15" spans="1:44" x14ac:dyDescent="0.2">
      <c r="A15" s="5" t="s">
        <v>16</v>
      </c>
      <c r="B15" s="6" t="s">
        <v>17</v>
      </c>
      <c r="C15" s="7">
        <f>'[11]Team Report'!BA33</f>
        <v>4515.9299999999994</v>
      </c>
      <c r="E15" s="7">
        <f t="shared" si="1"/>
        <v>6021.2399999999989</v>
      </c>
      <c r="G15" s="16">
        <f t="shared" si="0"/>
        <v>2.7300807596522718E-3</v>
      </c>
    </row>
    <row r="16" spans="1:44" x14ac:dyDescent="0.2">
      <c r="A16" s="5" t="s">
        <v>18</v>
      </c>
      <c r="B16" s="6" t="s">
        <v>19</v>
      </c>
      <c r="C16" s="7">
        <f>'[11]Team Report'!BA34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20</v>
      </c>
      <c r="B17" s="6" t="s">
        <v>21</v>
      </c>
      <c r="C17" s="7">
        <f>'[11]Team Report'!BA35</f>
        <v>0</v>
      </c>
      <c r="E17" s="7">
        <f t="shared" si="1"/>
        <v>0</v>
      </c>
      <c r="G17" s="16">
        <f t="shared" si="0"/>
        <v>0</v>
      </c>
    </row>
    <row r="18" spans="1:7" x14ac:dyDescent="0.2">
      <c r="A18" s="5" t="s">
        <v>22</v>
      </c>
      <c r="B18" s="6" t="s">
        <v>23</v>
      </c>
      <c r="C18" s="7">
        <f>'[11]Team Report'!BA36</f>
        <v>0</v>
      </c>
      <c r="E18" s="7">
        <f t="shared" si="1"/>
        <v>0</v>
      </c>
      <c r="G18" s="16">
        <f t="shared" si="0"/>
        <v>0</v>
      </c>
    </row>
    <row r="19" spans="1:7" x14ac:dyDescent="0.2">
      <c r="A19" s="5" t="s">
        <v>24</v>
      </c>
      <c r="B19" s="6" t="s">
        <v>25</v>
      </c>
      <c r="C19" s="7">
        <f>'[11]Team Report'!BA37</f>
        <v>29587.79</v>
      </c>
      <c r="E19" s="7">
        <f t="shared" si="1"/>
        <v>39450.386666666665</v>
      </c>
      <c r="G19" s="16">
        <f t="shared" si="0"/>
        <v>1.7887136470147211E-2</v>
      </c>
    </row>
    <row r="20" spans="1:7" x14ac:dyDescent="0.2">
      <c r="A20" s="5" t="s">
        <v>26</v>
      </c>
      <c r="B20" s="6" t="s">
        <v>27</v>
      </c>
      <c r="C20" s="7">
        <f>'[11]Team Report'!BA38</f>
        <v>0</v>
      </c>
      <c r="E20" s="7">
        <f t="shared" si="1"/>
        <v>0</v>
      </c>
      <c r="G20" s="16">
        <f t="shared" si="0"/>
        <v>0</v>
      </c>
    </row>
    <row r="21" spans="1:7" x14ac:dyDescent="0.2">
      <c r="A21" s="5" t="s">
        <v>28</v>
      </c>
      <c r="B21" s="6" t="s">
        <v>29</v>
      </c>
      <c r="C21" s="7">
        <f>'[11]Team Report'!BA42-221000-38853</f>
        <v>12423.150000000023</v>
      </c>
      <c r="E21" s="7">
        <f t="shared" si="1"/>
        <v>16564.200000000033</v>
      </c>
      <c r="G21" s="16">
        <f t="shared" si="0"/>
        <v>7.5103473236463351E-3</v>
      </c>
    </row>
    <row r="22" spans="1:7" x14ac:dyDescent="0.2">
      <c r="A22" s="5" t="s">
        <v>30</v>
      </c>
      <c r="B22" s="6" t="s">
        <v>31</v>
      </c>
      <c r="C22" s="7">
        <f>'[11]Team Report'!BA44</f>
        <v>82.009999999999991</v>
      </c>
      <c r="E22" s="7">
        <f t="shared" si="1"/>
        <v>109.34666666666666</v>
      </c>
      <c r="G22" s="16">
        <f t="shared" si="0"/>
        <v>4.9578696547351894E-5</v>
      </c>
    </row>
    <row r="23" spans="1:7" x14ac:dyDescent="0.2">
      <c r="A23" s="8" t="s">
        <v>32</v>
      </c>
      <c r="B23" s="9" t="s">
        <v>33</v>
      </c>
      <c r="C23" s="10">
        <f>SUM(C8:C22)</f>
        <v>1710387.8800000001</v>
      </c>
      <c r="E23" s="10">
        <f>SUM(E8:E22)</f>
        <v>2205517.1733333338</v>
      </c>
      <c r="G23" s="17">
        <f t="shared" si="0"/>
        <v>1</v>
      </c>
    </row>
    <row r="25" spans="1:7" x14ac:dyDescent="0.2">
      <c r="B25" s="9" t="s">
        <v>57</v>
      </c>
      <c r="C25" s="7"/>
      <c r="E25" s="13">
        <v>6</v>
      </c>
    </row>
    <row r="26" spans="1:7" x14ac:dyDescent="0.2">
      <c r="C26" s="7"/>
      <c r="E26" s="7"/>
    </row>
    <row r="27" spans="1:7" x14ac:dyDescent="0.2">
      <c r="B27" s="9" t="s">
        <v>58</v>
      </c>
      <c r="C27" s="7"/>
      <c r="E27" s="13">
        <v>8</v>
      </c>
    </row>
    <row r="29" spans="1:7" x14ac:dyDescent="0.2">
      <c r="B29" s="9" t="s">
        <v>34</v>
      </c>
      <c r="E29" s="13">
        <f>SUM(E25:E27)</f>
        <v>14</v>
      </c>
    </row>
    <row r="31" spans="1:7" x14ac:dyDescent="0.2">
      <c r="A31" s="5" t="s">
        <v>35</v>
      </c>
      <c r="B31" s="6" t="s">
        <v>36</v>
      </c>
      <c r="C31" s="7">
        <f>'[11]Team Report'!BA29</f>
        <v>0</v>
      </c>
      <c r="E31" s="7">
        <f t="shared" ref="E31:E38" si="2">(C31/9)*12</f>
        <v>0</v>
      </c>
    </row>
    <row r="32" spans="1:7" x14ac:dyDescent="0.2">
      <c r="A32" s="5" t="s">
        <v>37</v>
      </c>
      <c r="B32" s="6" t="s">
        <v>38</v>
      </c>
      <c r="C32" s="7">
        <f>'[11]Team Report'!BA30</f>
        <v>0</v>
      </c>
      <c r="E32" s="7">
        <f t="shared" si="2"/>
        <v>0</v>
      </c>
    </row>
    <row r="33" spans="1:5" x14ac:dyDescent="0.2">
      <c r="A33" s="5" t="s">
        <v>39</v>
      </c>
      <c r="B33" s="6" t="s">
        <v>40</v>
      </c>
      <c r="C33" s="7">
        <f>'[11]Team Report'!BA31</f>
        <v>0</v>
      </c>
      <c r="E33" s="7">
        <f t="shared" si="2"/>
        <v>0</v>
      </c>
    </row>
    <row r="34" spans="1:5" x14ac:dyDescent="0.2">
      <c r="A34" s="5" t="s">
        <v>41</v>
      </c>
      <c r="B34" s="6" t="s">
        <v>42</v>
      </c>
      <c r="C34" s="7">
        <f>'[11]Team Report'!BA39</f>
        <v>1151429.18</v>
      </c>
      <c r="E34" s="7">
        <f t="shared" si="2"/>
        <v>1535238.9066666667</v>
      </c>
    </row>
    <row r="35" spans="1:5" x14ac:dyDescent="0.2">
      <c r="A35" s="5" t="s">
        <v>43</v>
      </c>
      <c r="B35" s="6" t="s">
        <v>44</v>
      </c>
      <c r="C35" s="7">
        <f>'[11]Team Report'!BA40</f>
        <v>625847.5</v>
      </c>
      <c r="E35" s="7">
        <f t="shared" si="2"/>
        <v>834463.33333333326</v>
      </c>
    </row>
    <row r="36" spans="1:5" x14ac:dyDescent="0.2">
      <c r="A36" s="5" t="s">
        <v>45</v>
      </c>
      <c r="B36" s="6" t="s">
        <v>46</v>
      </c>
      <c r="C36" s="7">
        <f>'[11]Team Report'!BA41</f>
        <v>54675.340000000004</v>
      </c>
      <c r="E36" s="7">
        <f t="shared" si="2"/>
        <v>72900.453333333338</v>
      </c>
    </row>
    <row r="37" spans="1:5" x14ac:dyDescent="0.2">
      <c r="A37" s="5" t="s">
        <v>47</v>
      </c>
      <c r="B37" s="6" t="s">
        <v>48</v>
      </c>
      <c r="C37" s="7">
        <f>'[11]Team Report'!BA43</f>
        <v>0</v>
      </c>
      <c r="E37" s="7">
        <f t="shared" si="2"/>
        <v>0</v>
      </c>
    </row>
    <row r="38" spans="1:5" x14ac:dyDescent="0.2">
      <c r="A38" s="5" t="s">
        <v>49</v>
      </c>
      <c r="B38" s="6" t="s">
        <v>50</v>
      </c>
      <c r="C38" s="7">
        <f>'[11]Team Report'!BA45</f>
        <v>2150</v>
      </c>
      <c r="E38" s="7">
        <f t="shared" si="2"/>
        <v>2866.6666666666665</v>
      </c>
    </row>
    <row r="44" spans="1:5" x14ac:dyDescent="0.2">
      <c r="C44" s="11">
        <f>C23+C31+C32+C33+C34+C35+C36+C37+C38</f>
        <v>3544489.9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/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2.85546875" customWidth="1"/>
  </cols>
  <sheetData>
    <row r="1" spans="1:44" ht="18" x14ac:dyDescent="0.25">
      <c r="B1" s="18" t="str">
        <f>'[10]Team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'[10]Pull Sheet'!E9</f>
        <v>West Gas Origination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'[10]Team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1</v>
      </c>
      <c r="E7" s="4" t="s">
        <v>2</v>
      </c>
      <c r="G7" s="4" t="s">
        <v>60</v>
      </c>
    </row>
    <row r="8" spans="1:44" x14ac:dyDescent="0.2">
      <c r="A8" s="5" t="s">
        <v>3</v>
      </c>
      <c r="B8" s="6" t="s">
        <v>4</v>
      </c>
      <c r="C8" s="7">
        <f>'[10]Team Report'!BA25-34500-173000</f>
        <v>648785.23999999987</v>
      </c>
      <c r="E8" s="7">
        <f>(C8/9)*12</f>
        <v>865046.98666666658</v>
      </c>
      <c r="G8" s="16">
        <f>E8/$E$23</f>
        <v>0.42096581513709164</v>
      </c>
    </row>
    <row r="9" spans="1:44" x14ac:dyDescent="0.2">
      <c r="A9" s="5"/>
      <c r="B9" s="6" t="s">
        <v>5</v>
      </c>
      <c r="C9" s="7">
        <v>173000</v>
      </c>
      <c r="E9" s="7">
        <f>C9</f>
        <v>173000</v>
      </c>
      <c r="G9" s="16">
        <f t="shared" ref="G9:G23" si="0">E9/$E$23</f>
        <v>8.4188589916191131E-2</v>
      </c>
    </row>
    <row r="10" spans="1:44" x14ac:dyDescent="0.2">
      <c r="A10" s="5"/>
      <c r="B10" s="6" t="s">
        <v>6</v>
      </c>
      <c r="C10" s="7">
        <v>159800</v>
      </c>
      <c r="E10" s="7">
        <f>(C10/9)*12</f>
        <v>213066.66666666666</v>
      </c>
      <c r="G10" s="16">
        <f t="shared" si="0"/>
        <v>0.10368660245554792</v>
      </c>
    </row>
    <row r="11" spans="1:44" x14ac:dyDescent="0.2">
      <c r="A11" s="5" t="s">
        <v>7</v>
      </c>
      <c r="B11" s="6" t="s">
        <v>8</v>
      </c>
      <c r="C11" s="7">
        <f>'[10]Team Report'!BA26-5346-2835</f>
        <v>124394.44999999998</v>
      </c>
      <c r="E11" s="7">
        <f t="shared" ref="E11:E22" si="1">(C11/9)*12</f>
        <v>165859.26666666666</v>
      </c>
      <c r="G11" s="16">
        <f t="shared" si="0"/>
        <v>8.0713628816186059E-2</v>
      </c>
    </row>
    <row r="12" spans="1:44" x14ac:dyDescent="0.2">
      <c r="A12" s="5" t="s">
        <v>9</v>
      </c>
      <c r="B12" s="6" t="s">
        <v>10</v>
      </c>
      <c r="C12" s="7">
        <f>'[10]Team Report'!BA27</f>
        <v>98627.9</v>
      </c>
      <c r="E12" s="7">
        <f t="shared" si="1"/>
        <v>131503.86666666667</v>
      </c>
      <c r="G12" s="16">
        <f t="shared" si="0"/>
        <v>6.399494279302588E-2</v>
      </c>
    </row>
    <row r="13" spans="1:44" x14ac:dyDescent="0.2">
      <c r="A13" s="5" t="s">
        <v>11</v>
      </c>
      <c r="B13" s="6" t="s">
        <v>12</v>
      </c>
      <c r="C13" s="7">
        <f>'[10]Team Report'!BA28</f>
        <v>152797.79999999999</v>
      </c>
      <c r="E13" s="7">
        <f t="shared" si="1"/>
        <v>203730.4</v>
      </c>
      <c r="G13" s="16">
        <f t="shared" si="0"/>
        <v>9.9143208665095864E-2</v>
      </c>
    </row>
    <row r="14" spans="1:44" x14ac:dyDescent="0.2">
      <c r="A14" s="5" t="s">
        <v>14</v>
      </c>
      <c r="B14" s="6" t="s">
        <v>15</v>
      </c>
      <c r="C14" s="7">
        <f>'[10]Team Report'!BA32</f>
        <v>4804.26</v>
      </c>
      <c r="E14" s="7">
        <f t="shared" si="1"/>
        <v>6405.68</v>
      </c>
      <c r="G14" s="16">
        <f t="shared" si="0"/>
        <v>3.117255298580042E-3</v>
      </c>
    </row>
    <row r="15" spans="1:44" x14ac:dyDescent="0.2">
      <c r="A15" s="5" t="s">
        <v>16</v>
      </c>
      <c r="B15" s="6" t="s">
        <v>17</v>
      </c>
      <c r="C15" s="7">
        <f>'[10]Team Report'!BA33</f>
        <v>8317.7200000000012</v>
      </c>
      <c r="E15" s="7">
        <f t="shared" si="1"/>
        <v>11090.293333333335</v>
      </c>
      <c r="G15" s="16">
        <f t="shared" si="0"/>
        <v>5.3969720086142689E-3</v>
      </c>
    </row>
    <row r="16" spans="1:44" x14ac:dyDescent="0.2">
      <c r="A16" s="5" t="s">
        <v>18</v>
      </c>
      <c r="B16" s="6" t="s">
        <v>19</v>
      </c>
      <c r="C16" s="7">
        <f>'[10]Team Report'!BA34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20</v>
      </c>
      <c r="B17" s="6" t="s">
        <v>21</v>
      </c>
      <c r="C17" s="7">
        <f>'[10]Team Report'!BA35</f>
        <v>500</v>
      </c>
      <c r="E17" s="7">
        <f t="shared" si="1"/>
        <v>666.66666666666674</v>
      </c>
      <c r="G17" s="16">
        <f t="shared" si="0"/>
        <v>3.2442616538031269E-4</v>
      </c>
    </row>
    <row r="18" spans="1:7" x14ac:dyDescent="0.2">
      <c r="A18" s="5" t="s">
        <v>22</v>
      </c>
      <c r="B18" s="6" t="s">
        <v>23</v>
      </c>
      <c r="C18" s="7">
        <f>'[10]Team Report'!BA36</f>
        <v>166552.07</v>
      </c>
      <c r="E18" s="7">
        <f t="shared" si="1"/>
        <v>222069.4266666667</v>
      </c>
      <c r="G18" s="16">
        <f t="shared" si="0"/>
        <v>0.10806769881250683</v>
      </c>
    </row>
    <row r="19" spans="1:7" x14ac:dyDescent="0.2">
      <c r="A19" s="5" t="s">
        <v>24</v>
      </c>
      <c r="B19" s="6" t="s">
        <v>25</v>
      </c>
      <c r="C19" s="7">
        <f>'[10]Team Report'!BA37</f>
        <v>24751.93</v>
      </c>
      <c r="E19" s="7">
        <f t="shared" si="1"/>
        <v>33002.573333333334</v>
      </c>
      <c r="G19" s="16">
        <f t="shared" si="0"/>
        <v>1.6060347471323844E-2</v>
      </c>
    </row>
    <row r="20" spans="1:7" x14ac:dyDescent="0.2">
      <c r="A20" s="5" t="s">
        <v>26</v>
      </c>
      <c r="B20" s="6" t="s">
        <v>27</v>
      </c>
      <c r="C20" s="7">
        <f>'[10]Team Report'!BA38</f>
        <v>0</v>
      </c>
      <c r="E20" s="7">
        <f t="shared" si="1"/>
        <v>0</v>
      </c>
      <c r="G20" s="16">
        <f t="shared" si="0"/>
        <v>0</v>
      </c>
    </row>
    <row r="21" spans="1:7" x14ac:dyDescent="0.2">
      <c r="A21" s="5" t="s">
        <v>28</v>
      </c>
      <c r="B21" s="6" t="s">
        <v>29</v>
      </c>
      <c r="C21" s="7">
        <f>'[10]Team Report'!BA42-106400-10719</f>
        <v>21610.599999999977</v>
      </c>
      <c r="E21" s="7">
        <f t="shared" si="1"/>
        <v>28814.133333333302</v>
      </c>
      <c r="G21" s="16">
        <f t="shared" si="0"/>
        <v>1.4022088179135554E-2</v>
      </c>
    </row>
    <row r="22" spans="1:7" x14ac:dyDescent="0.2">
      <c r="A22" s="5" t="s">
        <v>30</v>
      </c>
      <c r="B22" s="6" t="s">
        <v>31</v>
      </c>
      <c r="C22" s="7">
        <f>'[10]Team Report'!BA44</f>
        <v>490.75</v>
      </c>
      <c r="E22" s="7">
        <f t="shared" si="1"/>
        <v>654.33333333333337</v>
      </c>
      <c r="G22" s="16">
        <f t="shared" si="0"/>
        <v>3.1842428132077688E-4</v>
      </c>
    </row>
    <row r="23" spans="1:7" x14ac:dyDescent="0.2">
      <c r="A23" s="8" t="s">
        <v>32</v>
      </c>
      <c r="B23" s="9" t="s">
        <v>33</v>
      </c>
      <c r="C23" s="10">
        <f>SUM(C8:C22)</f>
        <v>1584432.7199999997</v>
      </c>
      <c r="E23" s="10">
        <f>SUM(E8:E22)</f>
        <v>2054910.293333333</v>
      </c>
      <c r="G23" s="17">
        <f t="shared" si="0"/>
        <v>1</v>
      </c>
    </row>
    <row r="25" spans="1:7" x14ac:dyDescent="0.2">
      <c r="B25" s="9" t="s">
        <v>57</v>
      </c>
      <c r="C25" s="7"/>
      <c r="E25" s="13">
        <v>9</v>
      </c>
    </row>
    <row r="26" spans="1:7" x14ac:dyDescent="0.2">
      <c r="C26" s="7"/>
      <c r="E26" s="7"/>
    </row>
    <row r="27" spans="1:7" x14ac:dyDescent="0.2">
      <c r="B27" s="9" t="s">
        <v>58</v>
      </c>
      <c r="C27" s="7"/>
      <c r="E27" s="13">
        <v>3</v>
      </c>
    </row>
    <row r="29" spans="1:7" x14ac:dyDescent="0.2">
      <c r="B29" s="9" t="s">
        <v>34</v>
      </c>
      <c r="E29" s="13">
        <f>SUM(E25:E27)</f>
        <v>12</v>
      </c>
    </row>
    <row r="31" spans="1:7" x14ac:dyDescent="0.2">
      <c r="A31" s="5" t="s">
        <v>35</v>
      </c>
      <c r="B31" s="6" t="s">
        <v>36</v>
      </c>
      <c r="C31" s="7">
        <f>'[10]Team Report'!BA29</f>
        <v>6186.5499999999993</v>
      </c>
      <c r="E31" s="7">
        <f t="shared" ref="E31:E38" si="2">(C31/9)*12</f>
        <v>8248.7333333333336</v>
      </c>
    </row>
    <row r="32" spans="1:7" x14ac:dyDescent="0.2">
      <c r="A32" s="5" t="s">
        <v>37</v>
      </c>
      <c r="B32" s="6" t="s">
        <v>38</v>
      </c>
      <c r="C32" s="7">
        <f>'[10]Team Report'!BA30</f>
        <v>0</v>
      </c>
      <c r="E32" s="7">
        <f t="shared" si="2"/>
        <v>0</v>
      </c>
    </row>
    <row r="33" spans="1:5" x14ac:dyDescent="0.2">
      <c r="A33" s="5" t="s">
        <v>39</v>
      </c>
      <c r="B33" s="6" t="s">
        <v>40</v>
      </c>
      <c r="C33" s="7">
        <f>'[10]Team Report'!BA31</f>
        <v>0</v>
      </c>
      <c r="E33" s="7">
        <f t="shared" si="2"/>
        <v>0</v>
      </c>
    </row>
    <row r="34" spans="1:5" x14ac:dyDescent="0.2">
      <c r="A34" s="5" t="s">
        <v>41</v>
      </c>
      <c r="B34" s="6" t="s">
        <v>42</v>
      </c>
      <c r="C34" s="7">
        <f>'[10]Team Report'!BA39</f>
        <v>0</v>
      </c>
      <c r="E34" s="7">
        <f t="shared" si="2"/>
        <v>0</v>
      </c>
    </row>
    <row r="35" spans="1:5" x14ac:dyDescent="0.2">
      <c r="A35" s="5" t="s">
        <v>43</v>
      </c>
      <c r="B35" s="6" t="s">
        <v>44</v>
      </c>
      <c r="C35" s="7">
        <f>'[10]Team Report'!BA40</f>
        <v>16453.349999999999</v>
      </c>
      <c r="E35" s="7">
        <f t="shared" si="2"/>
        <v>21937.8</v>
      </c>
    </row>
    <row r="36" spans="1:5" x14ac:dyDescent="0.2">
      <c r="A36" s="5" t="s">
        <v>45</v>
      </c>
      <c r="B36" s="6" t="s">
        <v>46</v>
      </c>
      <c r="C36" s="7">
        <f>'[10]Team Report'!BA41</f>
        <v>23918.42</v>
      </c>
      <c r="E36" s="7">
        <f t="shared" si="2"/>
        <v>31891.226666666662</v>
      </c>
    </row>
    <row r="37" spans="1:5" x14ac:dyDescent="0.2">
      <c r="A37" s="5" t="s">
        <v>47</v>
      </c>
      <c r="B37" s="6" t="s">
        <v>48</v>
      </c>
      <c r="C37" s="7">
        <f>'[10]Team Report'!BA43</f>
        <v>0</v>
      </c>
      <c r="E37" s="7">
        <f t="shared" si="2"/>
        <v>0</v>
      </c>
    </row>
    <row r="38" spans="1:5" x14ac:dyDescent="0.2">
      <c r="A38" s="5" t="s">
        <v>49</v>
      </c>
      <c r="B38" s="6" t="s">
        <v>50</v>
      </c>
      <c r="C38" s="7">
        <f>'[10]Team Report'!BA45</f>
        <v>11913.27</v>
      </c>
      <c r="E38" s="7">
        <f t="shared" si="2"/>
        <v>15884.36</v>
      </c>
    </row>
    <row r="44" spans="1:5" x14ac:dyDescent="0.2">
      <c r="C44" s="11">
        <f>C23+C31+C32+C33+C34+C35+C36+C37+C38</f>
        <v>1642904.3099999998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/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'[13]Team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'[13]Pull Sheet'!E9&amp;"  Monthly Variance"</f>
        <v>NG Fundamentals  Monthly Variance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'[13]Team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1</v>
      </c>
      <c r="E7" s="4" t="s">
        <v>2</v>
      </c>
      <c r="G7" s="4" t="s">
        <v>60</v>
      </c>
    </row>
    <row r="8" spans="1:44" x14ac:dyDescent="0.2">
      <c r="A8" s="5" t="s">
        <v>3</v>
      </c>
      <c r="B8" s="6" t="s">
        <v>4</v>
      </c>
      <c r="C8" s="7">
        <f>'[13]Team Report'!BA25-224000</f>
        <v>263248.11</v>
      </c>
      <c r="E8" s="7">
        <f>(C8/9)*12</f>
        <v>350997.48</v>
      </c>
      <c r="G8" s="16">
        <f>E8/$E$23</f>
        <v>0.19256129323000987</v>
      </c>
    </row>
    <row r="9" spans="1:44" x14ac:dyDescent="0.2">
      <c r="A9" s="5"/>
      <c r="B9" s="6" t="s">
        <v>5</v>
      </c>
      <c r="C9" s="7"/>
      <c r="E9" s="7">
        <f>C9</f>
        <v>0</v>
      </c>
      <c r="G9" s="16">
        <f t="shared" ref="G9:G23" si="0">E9/$E$23</f>
        <v>0</v>
      </c>
    </row>
    <row r="10" spans="1:44" x14ac:dyDescent="0.2">
      <c r="A10" s="5"/>
      <c r="B10" s="6" t="s">
        <v>54</v>
      </c>
      <c r="C10" s="7">
        <v>880875</v>
      </c>
      <c r="E10" s="7">
        <f>(C10/9)*12</f>
        <v>1174500</v>
      </c>
      <c r="G10" s="16">
        <f t="shared" si="0"/>
        <v>0.64434433802387014</v>
      </c>
    </row>
    <row r="11" spans="1:44" x14ac:dyDescent="0.2">
      <c r="A11" s="5" t="s">
        <v>7</v>
      </c>
      <c r="B11" s="6" t="s">
        <v>8</v>
      </c>
      <c r="C11" s="7">
        <f>'[13]Team Report'!BA26-38718-18945</f>
        <v>42336.049999999988</v>
      </c>
      <c r="E11" s="7">
        <f t="shared" ref="E11:E22" si="1">(C11/9)*12</f>
        <v>56448.066666666651</v>
      </c>
      <c r="G11" s="16">
        <f t="shared" si="0"/>
        <v>3.0968064835300648E-2</v>
      </c>
    </row>
    <row r="12" spans="1:44" x14ac:dyDescent="0.2">
      <c r="A12" s="5" t="s">
        <v>9</v>
      </c>
      <c r="B12" s="6" t="s">
        <v>10</v>
      </c>
      <c r="C12" s="7">
        <f>'[13]Team Report'!BA27</f>
        <v>48120.69</v>
      </c>
      <c r="E12" s="7">
        <f t="shared" si="1"/>
        <v>64160.920000000006</v>
      </c>
      <c r="G12" s="16">
        <f t="shared" si="0"/>
        <v>3.519942573384631E-2</v>
      </c>
    </row>
    <row r="13" spans="1:44" x14ac:dyDescent="0.2">
      <c r="A13" s="5" t="s">
        <v>11</v>
      </c>
      <c r="B13" s="6" t="s">
        <v>12</v>
      </c>
      <c r="C13" s="7">
        <f>'[13]Team Report'!BA28</f>
        <v>24345.510000000002</v>
      </c>
      <c r="E13" s="7">
        <f t="shared" si="1"/>
        <v>32460.68</v>
      </c>
      <c r="G13" s="16">
        <f t="shared" si="0"/>
        <v>1.7808305973950344E-2</v>
      </c>
    </row>
    <row r="14" spans="1:44" x14ac:dyDescent="0.2">
      <c r="A14" s="5" t="s">
        <v>14</v>
      </c>
      <c r="B14" s="6" t="s">
        <v>15</v>
      </c>
      <c r="C14" s="7">
        <f>'[13]Team Report'!BA32</f>
        <v>18097.810000000001</v>
      </c>
      <c r="E14" s="7">
        <f t="shared" si="1"/>
        <v>24130.413333333338</v>
      </c>
      <c r="G14" s="16">
        <f t="shared" si="0"/>
        <v>1.3238224951476406E-2</v>
      </c>
    </row>
    <row r="15" spans="1:44" x14ac:dyDescent="0.2">
      <c r="A15" s="5" t="s">
        <v>16</v>
      </c>
      <c r="B15" s="6" t="s">
        <v>17</v>
      </c>
      <c r="C15" s="7">
        <f>'[13]Team Report'!BA33</f>
        <v>8653.91</v>
      </c>
      <c r="E15" s="7">
        <f t="shared" si="1"/>
        <v>11538.546666666667</v>
      </c>
      <c r="G15" s="16">
        <f t="shared" si="0"/>
        <v>6.3301806842834115E-3</v>
      </c>
    </row>
    <row r="16" spans="1:44" x14ac:dyDescent="0.2">
      <c r="A16" s="5" t="s">
        <v>18</v>
      </c>
      <c r="B16" s="6" t="s">
        <v>19</v>
      </c>
      <c r="C16" s="7">
        <f>'[13]Team Report'!BA34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20</v>
      </c>
      <c r="B17" s="6" t="s">
        <v>21</v>
      </c>
      <c r="C17" s="7">
        <f>'[13]Team Report'!BA35</f>
        <v>0</v>
      </c>
      <c r="E17" s="7">
        <f t="shared" si="1"/>
        <v>0</v>
      </c>
      <c r="G17" s="16">
        <f t="shared" si="0"/>
        <v>0</v>
      </c>
    </row>
    <row r="18" spans="1:7" x14ac:dyDescent="0.2">
      <c r="A18" s="5" t="s">
        <v>22</v>
      </c>
      <c r="B18" s="6" t="s">
        <v>23</v>
      </c>
      <c r="C18" s="7">
        <f>'[13]Team Report'!BA36</f>
        <v>0</v>
      </c>
      <c r="E18" s="7">
        <f t="shared" si="1"/>
        <v>0</v>
      </c>
      <c r="G18" s="16">
        <f t="shared" si="0"/>
        <v>0</v>
      </c>
    </row>
    <row r="19" spans="1:7" x14ac:dyDescent="0.2">
      <c r="A19" s="5" t="s">
        <v>24</v>
      </c>
      <c r="B19" s="6" t="s">
        <v>25</v>
      </c>
      <c r="C19" s="7">
        <f>'[13]Team Report'!BA37</f>
        <v>33238.300000000003</v>
      </c>
      <c r="E19" s="7">
        <f t="shared" si="1"/>
        <v>44317.733333333337</v>
      </c>
      <c r="G19" s="16">
        <f t="shared" si="0"/>
        <v>2.4313223113993251E-2</v>
      </c>
    </row>
    <row r="20" spans="1:7" x14ac:dyDescent="0.2">
      <c r="A20" s="5" t="s">
        <v>26</v>
      </c>
      <c r="B20" s="6" t="s">
        <v>27</v>
      </c>
      <c r="C20" s="7">
        <f>'[13]Team Report'!BA38</f>
        <v>0</v>
      </c>
      <c r="E20" s="7">
        <f t="shared" si="1"/>
        <v>0</v>
      </c>
      <c r="G20" s="16">
        <f t="shared" si="0"/>
        <v>0</v>
      </c>
    </row>
    <row r="21" spans="1:7" x14ac:dyDescent="0.2">
      <c r="A21" s="5" t="s">
        <v>28</v>
      </c>
      <c r="B21" s="6" t="s">
        <v>29</v>
      </c>
      <c r="C21" s="7">
        <f>'[13]Team Report'!BA42-529300-69912</f>
        <v>48136.789999999921</v>
      </c>
      <c r="E21" s="7">
        <f t="shared" si="1"/>
        <v>64182.386666666556</v>
      </c>
      <c r="G21" s="16">
        <f t="shared" si="0"/>
        <v>3.5211202596445577E-2</v>
      </c>
    </row>
    <row r="22" spans="1:7" x14ac:dyDescent="0.2">
      <c r="A22" s="5" t="s">
        <v>30</v>
      </c>
      <c r="B22" s="6" t="s">
        <v>31</v>
      </c>
      <c r="C22" s="7">
        <f>'[13]Team Report'!BA44</f>
        <v>35.190000000000005</v>
      </c>
      <c r="E22" s="7">
        <f t="shared" si="1"/>
        <v>46.920000000000009</v>
      </c>
      <c r="G22" s="16">
        <f t="shared" si="0"/>
        <v>2.5740856824248607E-5</v>
      </c>
    </row>
    <row r="23" spans="1:7" x14ac:dyDescent="0.2">
      <c r="A23" s="8" t="s">
        <v>32</v>
      </c>
      <c r="B23" s="9" t="s">
        <v>33</v>
      </c>
      <c r="C23" s="10">
        <f>SUM(C8:C22)</f>
        <v>1367087.3599999999</v>
      </c>
      <c r="E23" s="10">
        <f>SUM(E8:E22)</f>
        <v>1822783.1466666663</v>
      </c>
      <c r="G23" s="17">
        <f t="shared" si="0"/>
        <v>1</v>
      </c>
    </row>
    <row r="25" spans="1:7" x14ac:dyDescent="0.2">
      <c r="B25" s="9" t="s">
        <v>57</v>
      </c>
      <c r="C25" s="7"/>
      <c r="E25" s="13">
        <v>3</v>
      </c>
    </row>
    <row r="26" spans="1:7" x14ac:dyDescent="0.2">
      <c r="C26" s="7"/>
      <c r="E26" s="7"/>
    </row>
    <row r="27" spans="1:7" x14ac:dyDescent="0.2">
      <c r="B27" s="9" t="s">
        <v>58</v>
      </c>
      <c r="C27" s="7"/>
      <c r="E27" s="13">
        <v>17</v>
      </c>
    </row>
    <row r="29" spans="1:7" x14ac:dyDescent="0.2">
      <c r="B29" s="9" t="s">
        <v>34</v>
      </c>
      <c r="E29" s="13">
        <f>SUM(E25:E27)</f>
        <v>20</v>
      </c>
    </row>
    <row r="31" spans="1:7" x14ac:dyDescent="0.2">
      <c r="A31" s="5" t="s">
        <v>35</v>
      </c>
      <c r="B31" s="6" t="s">
        <v>36</v>
      </c>
      <c r="C31" s="7">
        <f>'[13]Team Report'!BA29</f>
        <v>0</v>
      </c>
      <c r="E31" s="7">
        <f t="shared" ref="E31:E38" si="2">(C31/9)*12</f>
        <v>0</v>
      </c>
    </row>
    <row r="32" spans="1:7" x14ac:dyDescent="0.2">
      <c r="A32" s="5" t="s">
        <v>37</v>
      </c>
      <c r="B32" s="6" t="s">
        <v>38</v>
      </c>
      <c r="C32" s="7">
        <f>'[13]Team Report'!BA30</f>
        <v>0</v>
      </c>
      <c r="E32" s="7">
        <f t="shared" si="2"/>
        <v>0</v>
      </c>
    </row>
    <row r="33" spans="1:5" x14ac:dyDescent="0.2">
      <c r="A33" s="5" t="s">
        <v>39</v>
      </c>
      <c r="B33" s="6" t="s">
        <v>40</v>
      </c>
      <c r="C33" s="7">
        <f>'[13]Team Report'!BA31</f>
        <v>0</v>
      </c>
      <c r="E33" s="7">
        <f t="shared" si="2"/>
        <v>0</v>
      </c>
    </row>
    <row r="34" spans="1:5" x14ac:dyDescent="0.2">
      <c r="A34" s="5" t="s">
        <v>41</v>
      </c>
      <c r="B34" s="6" t="s">
        <v>42</v>
      </c>
      <c r="C34" s="7">
        <f>'[13]Team Report'!BA39</f>
        <v>0</v>
      </c>
      <c r="E34" s="7">
        <f t="shared" si="2"/>
        <v>0</v>
      </c>
    </row>
    <row r="35" spans="1:5" x14ac:dyDescent="0.2">
      <c r="A35" s="5" t="s">
        <v>43</v>
      </c>
      <c r="B35" s="6" t="s">
        <v>44</v>
      </c>
      <c r="C35" s="7">
        <f>'[13]Team Report'!BA40</f>
        <v>46283.58</v>
      </c>
      <c r="E35" s="7">
        <f t="shared" si="2"/>
        <v>61711.44</v>
      </c>
    </row>
    <row r="36" spans="1:5" x14ac:dyDescent="0.2">
      <c r="A36" s="5" t="s">
        <v>45</v>
      </c>
      <c r="B36" s="6" t="s">
        <v>46</v>
      </c>
      <c r="C36" s="7">
        <f>'[13]Team Report'!BA41</f>
        <v>50443.189999999995</v>
      </c>
      <c r="E36" s="7">
        <f t="shared" si="2"/>
        <v>67257.58666666667</v>
      </c>
    </row>
    <row r="37" spans="1:5" x14ac:dyDescent="0.2">
      <c r="A37" s="5" t="s">
        <v>47</v>
      </c>
      <c r="B37" s="6" t="s">
        <v>48</v>
      </c>
      <c r="C37" s="7">
        <f>'[13]Team Report'!BA43</f>
        <v>24451.27</v>
      </c>
      <c r="E37" s="7">
        <f t="shared" si="2"/>
        <v>32601.693333333336</v>
      </c>
    </row>
    <row r="38" spans="1:5" x14ac:dyDescent="0.2">
      <c r="A38" s="5" t="s">
        <v>49</v>
      </c>
      <c r="B38" s="6" t="s">
        <v>50</v>
      </c>
      <c r="C38" s="7">
        <f>'[13]Team Report'!BA45</f>
        <v>0</v>
      </c>
      <c r="E38" s="7">
        <f t="shared" si="2"/>
        <v>0</v>
      </c>
    </row>
    <row r="44" spans="1:5" x14ac:dyDescent="0.2">
      <c r="C44" s="11">
        <f>C23+C31+C32+C33+C34+C35+C36+C37+C38</f>
        <v>1488265.4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/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3" customWidth="1"/>
    <col min="7" max="7" width="12.28515625" bestFit="1" customWidth="1"/>
  </cols>
  <sheetData>
    <row r="1" spans="1:44" ht="18" x14ac:dyDescent="0.25">
      <c r="B1" s="18" t="str">
        <f>'[2]Team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'[2]Pull Sheet'!E9</f>
        <v>Central Gas Trading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'[2]Team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1</v>
      </c>
      <c r="E7" s="4" t="s">
        <v>2</v>
      </c>
      <c r="G7" s="4" t="s">
        <v>60</v>
      </c>
    </row>
    <row r="8" spans="1:44" x14ac:dyDescent="0.2">
      <c r="A8" s="5" t="s">
        <v>3</v>
      </c>
      <c r="B8" s="6" t="s">
        <v>4</v>
      </c>
      <c r="C8" s="12">
        <f>'[2]Team Report'!BA25-174000-18500</f>
        <v>777723.49</v>
      </c>
      <c r="E8" s="7">
        <f>(C8/9)*12</f>
        <v>1036964.6533333333</v>
      </c>
      <c r="G8" s="16">
        <f>E8/$E$23</f>
        <v>0.63695340522311072</v>
      </c>
    </row>
    <row r="9" spans="1:44" x14ac:dyDescent="0.2">
      <c r="A9" s="5"/>
      <c r="B9" s="6" t="s">
        <v>5</v>
      </c>
      <c r="C9" s="7">
        <v>174000</v>
      </c>
      <c r="E9" s="7">
        <f>C9</f>
        <v>174000</v>
      </c>
      <c r="G9" s="16">
        <f t="shared" ref="G9:G23" si="0">E9/$E$23</f>
        <v>0.1068791420735099</v>
      </c>
    </row>
    <row r="10" spans="1:44" x14ac:dyDescent="0.2">
      <c r="A10" s="5" t="s">
        <v>7</v>
      </c>
      <c r="B10" s="6" t="s">
        <v>8</v>
      </c>
      <c r="C10" s="7">
        <f>'[2]Team Report'!BA26-3330-1665</f>
        <v>163937.00999999998</v>
      </c>
      <c r="E10" s="7">
        <f t="shared" ref="E10:E22" si="1">(C10/9)*12</f>
        <v>218582.68</v>
      </c>
      <c r="G10" s="16">
        <f t="shared" si="0"/>
        <v>0.13426396155476178</v>
      </c>
    </row>
    <row r="11" spans="1:44" x14ac:dyDescent="0.2">
      <c r="B11" s="6" t="s">
        <v>6</v>
      </c>
      <c r="C11" s="7">
        <v>29600</v>
      </c>
      <c r="E11" s="7">
        <f>(C11/9)*12</f>
        <v>39466.666666666664</v>
      </c>
      <c r="G11" s="16">
        <f t="shared" si="0"/>
        <v>2.424231881514094E-2</v>
      </c>
    </row>
    <row r="12" spans="1:44" x14ac:dyDescent="0.2">
      <c r="A12" s="5" t="s">
        <v>9</v>
      </c>
      <c r="B12" s="6" t="s">
        <v>10</v>
      </c>
      <c r="C12" s="7">
        <f>'[2]Team Report'!BA27</f>
        <v>51468.14</v>
      </c>
      <c r="E12" s="7">
        <f t="shared" si="1"/>
        <v>68624.186666666661</v>
      </c>
      <c r="G12" s="16">
        <f t="shared" si="0"/>
        <v>4.2152265496699592E-2</v>
      </c>
    </row>
    <row r="13" spans="1:44" x14ac:dyDescent="0.2">
      <c r="A13" s="5" t="s">
        <v>11</v>
      </c>
      <c r="B13" s="6" t="s">
        <v>12</v>
      </c>
      <c r="C13" s="7">
        <f>'[2]Team Report'!BA28</f>
        <v>7835.4100000000008</v>
      </c>
      <c r="E13" s="7">
        <f t="shared" si="1"/>
        <v>10447.213333333335</v>
      </c>
      <c r="G13" s="16">
        <f t="shared" si="0"/>
        <v>6.4171792995724158E-3</v>
      </c>
    </row>
    <row r="14" spans="1:44" x14ac:dyDescent="0.2">
      <c r="A14" s="5" t="s">
        <v>14</v>
      </c>
      <c r="B14" s="6" t="s">
        <v>15</v>
      </c>
      <c r="C14" s="7">
        <f>'[2]Team Report'!BA32</f>
        <v>37546.840000000004</v>
      </c>
      <c r="E14" s="7">
        <f t="shared" si="1"/>
        <v>50062.453333333338</v>
      </c>
      <c r="G14" s="16">
        <f t="shared" si="0"/>
        <v>3.0750758979090763E-2</v>
      </c>
    </row>
    <row r="15" spans="1:44" x14ac:dyDescent="0.2">
      <c r="A15" s="5" t="s">
        <v>16</v>
      </c>
      <c r="B15" s="6" t="s">
        <v>17</v>
      </c>
      <c r="C15" s="7">
        <f>'[2]Team Report'!BA33</f>
        <v>4744.2900000000009</v>
      </c>
      <c r="E15" s="7">
        <f t="shared" si="1"/>
        <v>6325.7200000000012</v>
      </c>
      <c r="G15" s="16">
        <f t="shared" si="0"/>
        <v>3.8855604976853054E-3</v>
      </c>
    </row>
    <row r="16" spans="1:44" x14ac:dyDescent="0.2">
      <c r="A16" s="5" t="s">
        <v>18</v>
      </c>
      <c r="B16" s="6" t="s">
        <v>19</v>
      </c>
      <c r="C16" s="7">
        <f>'[2]Team Report'!BA34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20</v>
      </c>
      <c r="B17" s="6" t="s">
        <v>21</v>
      </c>
      <c r="C17" s="7">
        <f>'[2]Team Report'!BA35</f>
        <v>0</v>
      </c>
      <c r="E17" s="7">
        <f t="shared" si="1"/>
        <v>0</v>
      </c>
      <c r="G17" s="16">
        <f t="shared" si="0"/>
        <v>0</v>
      </c>
    </row>
    <row r="18" spans="1:7" x14ac:dyDescent="0.2">
      <c r="A18" s="5" t="s">
        <v>22</v>
      </c>
      <c r="B18" s="6" t="s">
        <v>23</v>
      </c>
      <c r="C18" s="7">
        <f>'[2]Team Report'!BA36</f>
        <v>146.13999999999999</v>
      </c>
      <c r="E18" s="7">
        <f t="shared" si="1"/>
        <v>194.8533333333333</v>
      </c>
      <c r="G18" s="16">
        <f t="shared" si="0"/>
        <v>1.1968825917718569E-4</v>
      </c>
    </row>
    <row r="19" spans="1:7" x14ac:dyDescent="0.2">
      <c r="A19" s="5" t="s">
        <v>24</v>
      </c>
      <c r="B19" s="6" t="s">
        <v>25</v>
      </c>
      <c r="C19" s="7">
        <f>'[2]Team Report'!BA37</f>
        <v>11962.85</v>
      </c>
      <c r="E19" s="7">
        <f t="shared" si="1"/>
        <v>15950.466666666667</v>
      </c>
      <c r="G19" s="16">
        <f t="shared" si="0"/>
        <v>9.7975413391117854E-3</v>
      </c>
    </row>
    <row r="20" spans="1:7" x14ac:dyDescent="0.2">
      <c r="A20" s="5" t="s">
        <v>26</v>
      </c>
      <c r="B20" s="6" t="s">
        <v>27</v>
      </c>
      <c r="C20" s="7">
        <f>'[2]Team Report'!BA38</f>
        <v>0</v>
      </c>
      <c r="E20" s="7">
        <f t="shared" si="1"/>
        <v>0</v>
      </c>
      <c r="G20" s="16">
        <f t="shared" si="0"/>
        <v>0</v>
      </c>
    </row>
    <row r="21" spans="1:7" x14ac:dyDescent="0.2">
      <c r="A21" s="5" t="s">
        <v>28</v>
      </c>
      <c r="B21" s="6" t="s">
        <v>29</v>
      </c>
      <c r="C21" s="7">
        <f>'[2]Team Report'!BA42-6105</f>
        <v>5426.98</v>
      </c>
      <c r="E21" s="7">
        <f t="shared" si="1"/>
        <v>7235.9733333333334</v>
      </c>
      <c r="G21" s="16">
        <f t="shared" si="0"/>
        <v>4.4446817352497836E-3</v>
      </c>
    </row>
    <row r="22" spans="1:7" x14ac:dyDescent="0.2">
      <c r="A22" s="5" t="s">
        <v>30</v>
      </c>
      <c r="B22" s="6" t="s">
        <v>31</v>
      </c>
      <c r="C22" s="7">
        <f>'[2]Team Report'!BA44</f>
        <v>114.16000000000001</v>
      </c>
      <c r="E22" s="7">
        <f t="shared" si="1"/>
        <v>152.21333333333334</v>
      </c>
      <c r="G22" s="16">
        <f t="shared" si="0"/>
        <v>9.3496726889746284E-5</v>
      </c>
    </row>
    <row r="23" spans="1:7" x14ac:dyDescent="0.2">
      <c r="A23" s="8" t="s">
        <v>32</v>
      </c>
      <c r="B23" s="9" t="s">
        <v>33</v>
      </c>
      <c r="C23" s="10">
        <f>SUM(C8:C22)</f>
        <v>1264505.3099999998</v>
      </c>
      <c r="E23" s="10">
        <f>SUM(E8:E22)</f>
        <v>1628007.08</v>
      </c>
      <c r="G23" s="17">
        <f t="shared" si="0"/>
        <v>1</v>
      </c>
    </row>
    <row r="25" spans="1:7" x14ac:dyDescent="0.2">
      <c r="B25" s="9" t="s">
        <v>57</v>
      </c>
      <c r="C25" s="7"/>
      <c r="E25" s="13">
        <v>18</v>
      </c>
    </row>
    <row r="26" spans="1:7" x14ac:dyDescent="0.2">
      <c r="C26" s="7"/>
      <c r="E26" s="7"/>
    </row>
    <row r="27" spans="1:7" x14ac:dyDescent="0.2">
      <c r="B27" s="9" t="s">
        <v>58</v>
      </c>
      <c r="C27" s="7"/>
      <c r="E27" s="13">
        <v>1</v>
      </c>
    </row>
    <row r="29" spans="1:7" x14ac:dyDescent="0.2">
      <c r="B29" s="9" t="s">
        <v>34</v>
      </c>
      <c r="E29" s="13">
        <f>SUM(E25:E28)</f>
        <v>19</v>
      </c>
    </row>
    <row r="30" spans="1:7" x14ac:dyDescent="0.2">
      <c r="E30" s="14"/>
    </row>
    <row r="31" spans="1:7" x14ac:dyDescent="0.2">
      <c r="A31" s="5" t="s">
        <v>35</v>
      </c>
      <c r="B31" s="6" t="s">
        <v>36</v>
      </c>
      <c r="C31" s="7">
        <f>'[2]Team Report'!BA29</f>
        <v>0</v>
      </c>
      <c r="E31" s="7">
        <f t="shared" ref="E31:E38" si="2">(C31/9)*12</f>
        <v>0</v>
      </c>
    </row>
    <row r="32" spans="1:7" x14ac:dyDescent="0.2">
      <c r="A32" s="5" t="s">
        <v>37</v>
      </c>
      <c r="B32" s="6" t="s">
        <v>38</v>
      </c>
      <c r="C32" s="7">
        <f>'[2]Team Report'!BA30</f>
        <v>3549</v>
      </c>
      <c r="E32" s="7">
        <f t="shared" si="2"/>
        <v>4732</v>
      </c>
    </row>
    <row r="33" spans="1:5" x14ac:dyDescent="0.2">
      <c r="A33" s="5" t="s">
        <v>39</v>
      </c>
      <c r="B33" s="6" t="s">
        <v>40</v>
      </c>
      <c r="C33" s="7">
        <f>'[2]Team Report'!BA31</f>
        <v>0</v>
      </c>
      <c r="E33" s="7">
        <f t="shared" si="2"/>
        <v>0</v>
      </c>
    </row>
    <row r="34" spans="1:5" x14ac:dyDescent="0.2">
      <c r="A34" s="5" t="s">
        <v>41</v>
      </c>
      <c r="B34" s="6" t="s">
        <v>42</v>
      </c>
      <c r="C34" s="7">
        <f>'[2]Team Report'!BA39</f>
        <v>1423117.25</v>
      </c>
      <c r="E34" s="7">
        <f t="shared" si="2"/>
        <v>1897489.6666666665</v>
      </c>
    </row>
    <row r="35" spans="1:5" x14ac:dyDescent="0.2">
      <c r="A35" s="5" t="s">
        <v>43</v>
      </c>
      <c r="B35" s="6" t="s">
        <v>44</v>
      </c>
      <c r="C35" s="7">
        <f>'[2]Team Report'!BA40</f>
        <v>757280.51</v>
      </c>
      <c r="E35" s="7">
        <f t="shared" si="2"/>
        <v>1009707.3466666667</v>
      </c>
    </row>
    <row r="36" spans="1:5" x14ac:dyDescent="0.2">
      <c r="A36" s="5" t="s">
        <v>45</v>
      </c>
      <c r="B36" s="6" t="s">
        <v>46</v>
      </c>
      <c r="C36" s="7">
        <f>'[2]Team Report'!BA41</f>
        <v>42996.61</v>
      </c>
      <c r="E36" s="7">
        <f t="shared" si="2"/>
        <v>57328.813333333339</v>
      </c>
    </row>
    <row r="37" spans="1:5" x14ac:dyDescent="0.2">
      <c r="A37" s="5" t="s">
        <v>47</v>
      </c>
      <c r="B37" s="6" t="s">
        <v>48</v>
      </c>
      <c r="C37" s="7">
        <f>'[2]Team Report'!BA43</f>
        <v>0</v>
      </c>
      <c r="E37" s="7">
        <f t="shared" si="2"/>
        <v>0</v>
      </c>
    </row>
    <row r="38" spans="1:5" x14ac:dyDescent="0.2">
      <c r="A38" s="5" t="s">
        <v>49</v>
      </c>
      <c r="B38" s="6" t="s">
        <v>50</v>
      </c>
      <c r="C38" s="7">
        <f>'[2]Team Report'!BA45</f>
        <v>2042</v>
      </c>
      <c r="E38" s="7">
        <f t="shared" si="2"/>
        <v>2722.6666666666665</v>
      </c>
    </row>
    <row r="43" spans="1:5" x14ac:dyDescent="0.2">
      <c r="C43" s="11"/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/>
  </sheetViews>
  <sheetFormatPr defaultRowHeight="12.75" x14ac:dyDescent="0.2"/>
  <cols>
    <col min="2" max="2" width="23.42578125" bestFit="1" customWidth="1"/>
    <col min="3" max="3" width="17.42578125" customWidth="1"/>
    <col min="4" max="4" width="2.5703125" customWidth="1"/>
    <col min="5" max="5" width="16.5703125" customWidth="1"/>
    <col min="6" max="6" width="2.5703125" customWidth="1"/>
    <col min="7" max="7" width="11.28515625" bestFit="1" customWidth="1"/>
  </cols>
  <sheetData>
    <row r="1" spans="1:44" ht="18" x14ac:dyDescent="0.25">
      <c r="B1" s="18" t="str">
        <f>'[1]Team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">
        <v>51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 t="s">
        <v>0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1</v>
      </c>
      <c r="E7" s="4" t="s">
        <v>2</v>
      </c>
      <c r="G7" s="4" t="s">
        <v>60</v>
      </c>
    </row>
    <row r="8" spans="1:44" x14ac:dyDescent="0.2">
      <c r="A8" s="5" t="s">
        <v>3</v>
      </c>
      <c r="B8" s="6" t="s">
        <v>4</v>
      </c>
      <c r="C8" s="7">
        <f>'[1]Team Report'!BA25-6500-3000+780349</f>
        <v>1344104.9300000002</v>
      </c>
      <c r="E8" s="7">
        <f>(C8/9)*12</f>
        <v>1792139.9066666667</v>
      </c>
      <c r="G8" s="16">
        <f>E8/$E$23</f>
        <v>0.5443184669197223</v>
      </c>
    </row>
    <row r="9" spans="1:44" x14ac:dyDescent="0.2">
      <c r="A9" s="5"/>
      <c r="B9" s="6" t="s">
        <v>5</v>
      </c>
      <c r="C9" s="7">
        <f>3000+71000</f>
        <v>74000</v>
      </c>
      <c r="E9" s="7">
        <f>C9</f>
        <v>74000</v>
      </c>
      <c r="G9" s="16">
        <f t="shared" ref="G9:G23" si="0">E9/$E$23</f>
        <v>2.2475681949953554E-2</v>
      </c>
    </row>
    <row r="10" spans="1:44" x14ac:dyDescent="0.2">
      <c r="A10" s="5"/>
      <c r="B10" s="6" t="s">
        <v>6</v>
      </c>
      <c r="C10" s="7">
        <f>61900+49400</f>
        <v>111300</v>
      </c>
      <c r="E10" s="7">
        <f>(C10/9)*12</f>
        <v>148400</v>
      </c>
      <c r="G10" s="16">
        <f t="shared" si="0"/>
        <v>4.507285407260956E-2</v>
      </c>
    </row>
    <row r="11" spans="1:44" x14ac:dyDescent="0.2">
      <c r="A11" s="5" t="s">
        <v>7</v>
      </c>
      <c r="B11" s="6" t="s">
        <v>8</v>
      </c>
      <c r="C11" s="7">
        <f>'[1]Team Report'!BA26-1593+161252</f>
        <v>267708.64</v>
      </c>
      <c r="E11" s="7">
        <f t="shared" ref="E11:E22" si="1">(C11/9)*12</f>
        <v>356944.85333333333</v>
      </c>
      <c r="G11" s="16">
        <f t="shared" si="0"/>
        <v>0.10841322969179486</v>
      </c>
    </row>
    <row r="12" spans="1:44" x14ac:dyDescent="0.2">
      <c r="A12" s="5" t="s">
        <v>9</v>
      </c>
      <c r="B12" s="6" t="s">
        <v>10</v>
      </c>
      <c r="C12" s="7">
        <f>'[1]Team Report'!BA27+129463</f>
        <v>170477.61</v>
      </c>
      <c r="E12" s="7">
        <f t="shared" si="1"/>
        <v>227303.47999999998</v>
      </c>
      <c r="G12" s="16">
        <f t="shared" si="0"/>
        <v>6.9037847602670663E-2</v>
      </c>
    </row>
    <row r="13" spans="1:44" x14ac:dyDescent="0.2">
      <c r="A13" s="5" t="s">
        <v>11</v>
      </c>
      <c r="B13" s="6" t="s">
        <v>12</v>
      </c>
      <c r="C13" s="7">
        <f>'[1]Team Report'!BA28-7719+185564</f>
        <v>279179.57</v>
      </c>
      <c r="E13" s="7">
        <f t="shared" si="1"/>
        <v>372239.42666666664</v>
      </c>
      <c r="G13" s="16">
        <f t="shared" si="0"/>
        <v>0.11305858058098729</v>
      </c>
    </row>
    <row r="14" spans="1:44" x14ac:dyDescent="0.2">
      <c r="A14" s="5" t="s">
        <v>14</v>
      </c>
      <c r="B14" s="6" t="s">
        <v>15</v>
      </c>
      <c r="C14" s="7">
        <f>'[1]Team Report'!BA32+125</f>
        <v>17672.23</v>
      </c>
      <c r="E14" s="7">
        <f t="shared" si="1"/>
        <v>23562.973333333335</v>
      </c>
      <c r="G14" s="16">
        <f t="shared" si="0"/>
        <v>7.1566742491248241E-3</v>
      </c>
    </row>
    <row r="15" spans="1:44" x14ac:dyDescent="0.2">
      <c r="A15" s="5" t="s">
        <v>16</v>
      </c>
      <c r="B15" s="6" t="s">
        <v>17</v>
      </c>
      <c r="C15" s="7">
        <f>'[1]Team Report'!BA33+47915</f>
        <v>52652.04</v>
      </c>
      <c r="E15" s="7">
        <f t="shared" si="1"/>
        <v>70202.720000000001</v>
      </c>
      <c r="G15" s="16">
        <f t="shared" si="0"/>
        <v>2.1322351442454642E-2</v>
      </c>
    </row>
    <row r="16" spans="1:44" x14ac:dyDescent="0.2">
      <c r="A16" s="5" t="s">
        <v>18</v>
      </c>
      <c r="B16" s="6" t="s">
        <v>19</v>
      </c>
      <c r="C16" s="7">
        <f>'[1]Team Report'!BA34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20</v>
      </c>
      <c r="B17" s="6" t="s">
        <v>21</v>
      </c>
      <c r="C17" s="7">
        <f>'[1]Team Report'!BA35</f>
        <v>5000</v>
      </c>
      <c r="E17" s="7">
        <f t="shared" si="1"/>
        <v>6666.6666666666661</v>
      </c>
      <c r="G17" s="16">
        <f t="shared" si="0"/>
        <v>2.0248362117075273E-3</v>
      </c>
    </row>
    <row r="18" spans="1:7" x14ac:dyDescent="0.2">
      <c r="A18" s="5" t="s">
        <v>22</v>
      </c>
      <c r="B18" s="6" t="s">
        <v>23</v>
      </c>
      <c r="C18" s="7">
        <f>'[1]Team Report'!BA36+119021</f>
        <v>141041.83000000002</v>
      </c>
      <c r="E18" s="7">
        <f t="shared" si="1"/>
        <v>188055.77333333335</v>
      </c>
      <c r="G18" s="16">
        <f t="shared" si="0"/>
        <v>5.7117320949899422E-2</v>
      </c>
    </row>
    <row r="19" spans="1:7" x14ac:dyDescent="0.2">
      <c r="A19" s="5" t="s">
        <v>24</v>
      </c>
      <c r="B19" s="6" t="s">
        <v>25</v>
      </c>
      <c r="C19" s="7">
        <f>'[1]Team Report'!BA37+6085</f>
        <v>20599.13</v>
      </c>
      <c r="E19" s="7">
        <f t="shared" si="1"/>
        <v>27465.506666666668</v>
      </c>
      <c r="G19" s="16">
        <f t="shared" si="0"/>
        <v>8.3419728707341771E-3</v>
      </c>
    </row>
    <row r="20" spans="1:7" x14ac:dyDescent="0.2">
      <c r="A20" s="5" t="s">
        <v>26</v>
      </c>
      <c r="B20" s="6" t="s">
        <v>27</v>
      </c>
      <c r="C20" s="7">
        <f>'[1]Team Report'!BA38</f>
        <v>16</v>
      </c>
      <c r="E20" s="7">
        <f t="shared" si="1"/>
        <v>21.333333333333332</v>
      </c>
      <c r="G20" s="16">
        <f t="shared" si="0"/>
        <v>6.4794758774640877E-6</v>
      </c>
    </row>
    <row r="21" spans="1:7" x14ac:dyDescent="0.2">
      <c r="A21" s="5" t="s">
        <v>28</v>
      </c>
      <c r="B21" s="6" t="s">
        <v>29</v>
      </c>
      <c r="C21" s="7">
        <f>'[1]Team Report'!BA42-53807+3478</f>
        <v>4014.8300000000017</v>
      </c>
      <c r="E21" s="7">
        <f t="shared" si="1"/>
        <v>5353.1066666666684</v>
      </c>
      <c r="G21" s="16">
        <f t="shared" si="0"/>
        <v>1.6258746335699472E-3</v>
      </c>
    </row>
    <row r="22" spans="1:7" x14ac:dyDescent="0.2">
      <c r="A22" s="5" t="s">
        <v>30</v>
      </c>
      <c r="B22" s="6" t="s">
        <v>31</v>
      </c>
      <c r="C22" s="7">
        <f>'[1]Team Report'!BA44+15</f>
        <v>68.72</v>
      </c>
      <c r="E22" s="7">
        <f t="shared" si="1"/>
        <v>91.626666666666665</v>
      </c>
      <c r="G22" s="16">
        <f t="shared" si="0"/>
        <v>2.7829348893708257E-5</v>
      </c>
    </row>
    <row r="23" spans="1:7" x14ac:dyDescent="0.2">
      <c r="A23" s="8" t="s">
        <v>32</v>
      </c>
      <c r="B23" s="9" t="s">
        <v>33</v>
      </c>
      <c r="C23" s="10">
        <f>SUM(C8:C22)</f>
        <v>2487835.5300000003</v>
      </c>
      <c r="E23" s="10">
        <f>SUM(E8:E22)</f>
        <v>3292447.3733333335</v>
      </c>
      <c r="G23" s="17">
        <f t="shared" si="0"/>
        <v>1</v>
      </c>
    </row>
    <row r="25" spans="1:7" x14ac:dyDescent="0.2">
      <c r="B25" s="9" t="s">
        <v>57</v>
      </c>
      <c r="C25" s="7"/>
      <c r="E25" s="13">
        <v>6</v>
      </c>
    </row>
    <row r="26" spans="1:7" x14ac:dyDescent="0.2">
      <c r="C26" s="7"/>
      <c r="E26" s="7"/>
    </row>
    <row r="27" spans="1:7" x14ac:dyDescent="0.2">
      <c r="B27" s="9" t="s">
        <v>58</v>
      </c>
      <c r="C27" s="7"/>
      <c r="E27" s="13">
        <v>1</v>
      </c>
    </row>
    <row r="29" spans="1:7" x14ac:dyDescent="0.2">
      <c r="B29" s="9" t="s">
        <v>34</v>
      </c>
      <c r="E29" s="13">
        <f>SUM(E25:E27)</f>
        <v>7</v>
      </c>
    </row>
    <row r="31" spans="1:7" x14ac:dyDescent="0.2">
      <c r="A31" s="5" t="s">
        <v>35</v>
      </c>
      <c r="B31" s="6" t="s">
        <v>36</v>
      </c>
      <c r="C31" s="7">
        <f>'[1]Team Report'!BA29</f>
        <v>7952.6100000000006</v>
      </c>
      <c r="E31" s="7">
        <f t="shared" ref="E31:E38" si="2">(C31/9)*12</f>
        <v>10603.480000000001</v>
      </c>
    </row>
    <row r="32" spans="1:7" x14ac:dyDescent="0.2">
      <c r="A32" s="5" t="s">
        <v>37</v>
      </c>
      <c r="B32" s="6" t="s">
        <v>38</v>
      </c>
      <c r="C32" s="7">
        <f>'[1]Team Report'!BA30</f>
        <v>0</v>
      </c>
      <c r="E32" s="7">
        <f t="shared" si="2"/>
        <v>0</v>
      </c>
    </row>
    <row r="33" spans="1:7" x14ac:dyDescent="0.2">
      <c r="A33" s="5" t="s">
        <v>39</v>
      </c>
      <c r="B33" s="6" t="s">
        <v>40</v>
      </c>
      <c r="C33" s="7">
        <f>'[1]Team Report'!BA31</f>
        <v>0</v>
      </c>
      <c r="E33" s="7">
        <f t="shared" si="2"/>
        <v>0</v>
      </c>
    </row>
    <row r="34" spans="1:7" x14ac:dyDescent="0.2">
      <c r="A34" s="5" t="s">
        <v>41</v>
      </c>
      <c r="B34" s="6" t="s">
        <v>42</v>
      </c>
      <c r="C34" s="7">
        <f>'[1]Team Report'!BA39</f>
        <v>0</v>
      </c>
      <c r="E34" s="7">
        <f t="shared" si="2"/>
        <v>0</v>
      </c>
    </row>
    <row r="35" spans="1:7" x14ac:dyDescent="0.2">
      <c r="A35" s="5" t="s">
        <v>43</v>
      </c>
      <c r="B35" s="6" t="s">
        <v>44</v>
      </c>
      <c r="C35" s="7">
        <f>'[1]Team Report'!BA40+21379</f>
        <v>114563.84999999999</v>
      </c>
      <c r="E35" s="7">
        <f t="shared" si="2"/>
        <v>152751.79999999999</v>
      </c>
    </row>
    <row r="36" spans="1:7" x14ac:dyDescent="0.2">
      <c r="A36" s="5" t="s">
        <v>45</v>
      </c>
      <c r="B36" s="6" t="s">
        <v>46</v>
      </c>
      <c r="C36" s="7">
        <f>'[1]Team Report'!BA41+11066</f>
        <v>34964.699999999997</v>
      </c>
      <c r="E36" s="7">
        <f t="shared" si="2"/>
        <v>46619.599999999991</v>
      </c>
    </row>
    <row r="37" spans="1:7" x14ac:dyDescent="0.2">
      <c r="A37" s="5" t="s">
        <v>47</v>
      </c>
      <c r="B37" s="6" t="s">
        <v>48</v>
      </c>
      <c r="C37" s="7">
        <f>'[1]Team Report'!BA43</f>
        <v>0</v>
      </c>
      <c r="E37" s="7">
        <f t="shared" si="2"/>
        <v>0</v>
      </c>
    </row>
    <row r="38" spans="1:7" x14ac:dyDescent="0.2">
      <c r="A38" s="5" t="s">
        <v>49</v>
      </c>
      <c r="B38" s="6" t="s">
        <v>50</v>
      </c>
      <c r="C38" s="7">
        <f>'[1]Team Report'!BA45</f>
        <v>0</v>
      </c>
      <c r="E38" s="7">
        <f t="shared" si="2"/>
        <v>0</v>
      </c>
    </row>
    <row r="39" spans="1:7" x14ac:dyDescent="0.2">
      <c r="A39" s="5"/>
      <c r="B39" s="6" t="s">
        <v>13</v>
      </c>
      <c r="C39" s="7">
        <v>7719.17</v>
      </c>
      <c r="E39" s="7">
        <f>(C39/9)*12</f>
        <v>10292.226666666666</v>
      </c>
      <c r="G39" s="15"/>
    </row>
    <row r="43" spans="1:7" x14ac:dyDescent="0.2">
      <c r="C43" s="11">
        <f>C23+C31+C32+C33+C34+C35+C36+C37+C38</f>
        <v>2645316.6900000004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/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'[3]Team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'[3]Pull Sheet'!E9</f>
        <v>Derivatives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'[3]Team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1</v>
      </c>
      <c r="E7" s="4" t="s">
        <v>2</v>
      </c>
      <c r="G7" s="4" t="s">
        <v>60</v>
      </c>
    </row>
    <row r="8" spans="1:44" x14ac:dyDescent="0.2">
      <c r="A8" s="5" t="s">
        <v>3</v>
      </c>
      <c r="B8" s="6" t="s">
        <v>4</v>
      </c>
      <c r="C8" s="7">
        <f>'[3]Team Report'!BA25-151000-160000</f>
        <v>864765.79999999981</v>
      </c>
      <c r="E8" s="7">
        <f>(C8/9)*12</f>
        <v>1153021.0666666664</v>
      </c>
      <c r="G8" s="16">
        <f>E8/$E$23</f>
        <v>0.34735606053792772</v>
      </c>
    </row>
    <row r="9" spans="1:44" x14ac:dyDescent="0.2">
      <c r="A9" s="5"/>
      <c r="B9" s="6" t="s">
        <v>5</v>
      </c>
      <c r="C9" s="7">
        <v>160000</v>
      </c>
      <c r="E9" s="7">
        <f>C9</f>
        <v>160000</v>
      </c>
      <c r="G9" s="16">
        <f t="shared" ref="G9:G23" si="0">E9/$E$23</f>
        <v>4.8201174542924038E-2</v>
      </c>
    </row>
    <row r="10" spans="1:44" x14ac:dyDescent="0.2">
      <c r="A10" s="5"/>
      <c r="B10" s="6" t="s">
        <v>6</v>
      </c>
      <c r="C10" s="7">
        <v>414608.66</v>
      </c>
      <c r="E10" s="7">
        <f>(C10/9)*12</f>
        <v>552811.54666666663</v>
      </c>
      <c r="G10" s="16">
        <f t="shared" si="0"/>
        <v>0.16653853656389872</v>
      </c>
    </row>
    <row r="11" spans="1:44" x14ac:dyDescent="0.2">
      <c r="A11" s="5" t="s">
        <v>7</v>
      </c>
      <c r="B11" s="6" t="s">
        <v>8</v>
      </c>
      <c r="C11" s="7">
        <f>'[3]Team Report'!BA26-35235</f>
        <v>256071.80999999994</v>
      </c>
      <c r="E11" s="7">
        <f t="shared" ref="E11:E22" si="1">(C11/9)*12</f>
        <v>341429.0799999999</v>
      </c>
      <c r="G11" s="16">
        <f t="shared" si="0"/>
        <v>0.10285801674443731</v>
      </c>
    </row>
    <row r="12" spans="1:44" x14ac:dyDescent="0.2">
      <c r="A12" s="5" t="s">
        <v>9</v>
      </c>
      <c r="B12" s="6" t="s">
        <v>10</v>
      </c>
      <c r="C12" s="7">
        <f>'[3]Team Report'!BA27</f>
        <v>250026.99</v>
      </c>
      <c r="E12" s="7">
        <f t="shared" si="1"/>
        <v>333369.31999999995</v>
      </c>
      <c r="G12" s="16">
        <f t="shared" si="0"/>
        <v>0.10042995487859933</v>
      </c>
    </row>
    <row r="13" spans="1:44" x14ac:dyDescent="0.2">
      <c r="A13" s="5" t="s">
        <v>11</v>
      </c>
      <c r="B13" s="6" t="s">
        <v>12</v>
      </c>
      <c r="C13" s="7">
        <f>'[3]Team Report'!BA28</f>
        <v>437712.95000000007</v>
      </c>
      <c r="E13" s="7">
        <f t="shared" si="1"/>
        <v>583617.26666666672</v>
      </c>
      <c r="G13" s="16">
        <f t="shared" si="0"/>
        <v>0.17581898585540154</v>
      </c>
    </row>
    <row r="14" spans="1:44" x14ac:dyDescent="0.2">
      <c r="A14" s="5" t="s">
        <v>14</v>
      </c>
      <c r="B14" s="6" t="s">
        <v>15</v>
      </c>
      <c r="C14" s="7">
        <f>'[3]Team Report'!BA32</f>
        <v>41472.9</v>
      </c>
      <c r="E14" s="7">
        <f t="shared" si="1"/>
        <v>55297.200000000004</v>
      </c>
      <c r="G14" s="16">
        <f t="shared" si="0"/>
        <v>1.665868743084362E-2</v>
      </c>
    </row>
    <row r="15" spans="1:44" x14ac:dyDescent="0.2">
      <c r="A15" s="5" t="s">
        <v>16</v>
      </c>
      <c r="B15" s="6" t="s">
        <v>17</v>
      </c>
      <c r="C15" s="7">
        <f>'[3]Team Report'!BA33</f>
        <v>29288</v>
      </c>
      <c r="E15" s="7">
        <f t="shared" si="1"/>
        <v>39050.666666666664</v>
      </c>
      <c r="G15" s="16">
        <f t="shared" si="0"/>
        <v>1.1764300000109659E-2</v>
      </c>
    </row>
    <row r="16" spans="1:44" x14ac:dyDescent="0.2">
      <c r="A16" s="5" t="s">
        <v>18</v>
      </c>
      <c r="B16" s="6" t="s">
        <v>19</v>
      </c>
      <c r="C16" s="7">
        <f>'[3]Team Report'!BA34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20</v>
      </c>
      <c r="B17" s="6" t="s">
        <v>21</v>
      </c>
      <c r="C17" s="7">
        <f>'[3]Team Report'!BA35</f>
        <v>0</v>
      </c>
      <c r="E17" s="7">
        <f t="shared" si="1"/>
        <v>0</v>
      </c>
      <c r="G17" s="16">
        <f t="shared" si="0"/>
        <v>0</v>
      </c>
    </row>
    <row r="18" spans="1:7" x14ac:dyDescent="0.2">
      <c r="A18" s="5" t="s">
        <v>22</v>
      </c>
      <c r="B18" s="6" t="s">
        <v>23</v>
      </c>
      <c r="C18" s="7">
        <f>'[3]Team Report'!BA36</f>
        <v>-26755.31</v>
      </c>
      <c r="E18" s="7">
        <f t="shared" si="1"/>
        <v>-35673.746666666666</v>
      </c>
      <c r="G18" s="16">
        <f t="shared" si="0"/>
        <v>-1.074697806050034E-2</v>
      </c>
    </row>
    <row r="19" spans="1:7" x14ac:dyDescent="0.2">
      <c r="A19" s="5" t="s">
        <v>24</v>
      </c>
      <c r="B19" s="6" t="s">
        <v>25</v>
      </c>
      <c r="C19" s="7">
        <f>'[3]Team Report'!BA37</f>
        <v>62246.39</v>
      </c>
      <c r="E19" s="7">
        <f t="shared" si="1"/>
        <v>82995.186666666676</v>
      </c>
      <c r="G19" s="16">
        <f t="shared" si="0"/>
        <v>2.5002909242141012E-2</v>
      </c>
    </row>
    <row r="20" spans="1:7" x14ac:dyDescent="0.2">
      <c r="A20" s="5" t="s">
        <v>26</v>
      </c>
      <c r="B20" s="6" t="s">
        <v>27</v>
      </c>
      <c r="C20" s="7">
        <f>'[3]Team Report'!BA38</f>
        <v>0</v>
      </c>
      <c r="E20" s="7">
        <f t="shared" si="1"/>
        <v>0</v>
      </c>
      <c r="G20" s="16">
        <f t="shared" si="0"/>
        <v>0</v>
      </c>
    </row>
    <row r="21" spans="1:7" x14ac:dyDescent="0.2">
      <c r="A21" s="5" t="s">
        <v>28</v>
      </c>
      <c r="B21" s="6" t="s">
        <v>29</v>
      </c>
      <c r="C21" s="7">
        <f>'[3]Team Report'!BA42-228371.66</f>
        <v>39994.139999999985</v>
      </c>
      <c r="E21" s="7">
        <f t="shared" si="1"/>
        <v>53325.519999999975</v>
      </c>
      <c r="G21" s="16">
        <f t="shared" si="0"/>
        <v>1.6064704356951159E-2</v>
      </c>
    </row>
    <row r="22" spans="1:7" x14ac:dyDescent="0.2">
      <c r="A22" s="5" t="s">
        <v>30</v>
      </c>
      <c r="B22" s="6" t="s">
        <v>31</v>
      </c>
      <c r="C22" s="7">
        <f>'[3]Team Report'!BA44</f>
        <v>133.55999999999997</v>
      </c>
      <c r="E22" s="7">
        <f t="shared" si="1"/>
        <v>178.07999999999996</v>
      </c>
      <c r="G22" s="16">
        <f t="shared" si="0"/>
        <v>5.364790726627444E-5</v>
      </c>
    </row>
    <row r="23" spans="1:7" x14ac:dyDescent="0.2">
      <c r="A23" s="8" t="s">
        <v>32</v>
      </c>
      <c r="B23" s="9" t="s">
        <v>33</v>
      </c>
      <c r="C23" s="10">
        <f>SUM(C8:C22)</f>
        <v>2529565.8899999997</v>
      </c>
      <c r="E23" s="10">
        <f>SUM(E8:E22)</f>
        <v>3319421.1866666661</v>
      </c>
      <c r="G23" s="17">
        <f t="shared" si="0"/>
        <v>1</v>
      </c>
    </row>
    <row r="25" spans="1:7" x14ac:dyDescent="0.2">
      <c r="B25" s="9" t="s">
        <v>57</v>
      </c>
      <c r="C25" s="7"/>
      <c r="E25" s="13">
        <v>12</v>
      </c>
    </row>
    <row r="26" spans="1:7" x14ac:dyDescent="0.2">
      <c r="C26" s="7"/>
      <c r="E26" s="7"/>
    </row>
    <row r="27" spans="1:7" x14ac:dyDescent="0.2">
      <c r="B27" s="9" t="s">
        <v>58</v>
      </c>
      <c r="C27" s="7"/>
      <c r="E27" s="13">
        <v>4</v>
      </c>
    </row>
    <row r="29" spans="1:7" x14ac:dyDescent="0.2">
      <c r="B29" s="9" t="s">
        <v>34</v>
      </c>
      <c r="E29" s="13">
        <f>SUM(E25:E28)</f>
        <v>16</v>
      </c>
    </row>
    <row r="31" spans="1:7" x14ac:dyDescent="0.2">
      <c r="A31" s="5" t="s">
        <v>35</v>
      </c>
      <c r="B31" s="6" t="s">
        <v>36</v>
      </c>
      <c r="C31" s="7">
        <f>'[3]Team Report'!BA29</f>
        <v>76922.58</v>
      </c>
      <c r="E31" s="7">
        <f t="shared" ref="E31:E38" si="2">(C31/9)*12</f>
        <v>102563.44</v>
      </c>
    </row>
    <row r="32" spans="1:7" x14ac:dyDescent="0.2">
      <c r="A32" s="5" t="s">
        <v>37</v>
      </c>
      <c r="B32" s="6" t="s">
        <v>38</v>
      </c>
      <c r="C32" s="7">
        <f>'[3]Team Report'!BA30</f>
        <v>0</v>
      </c>
      <c r="E32" s="7">
        <f t="shared" si="2"/>
        <v>0</v>
      </c>
    </row>
    <row r="33" spans="1:5" x14ac:dyDescent="0.2">
      <c r="A33" s="5" t="s">
        <v>39</v>
      </c>
      <c r="B33" s="6" t="s">
        <v>40</v>
      </c>
      <c r="C33" s="7">
        <f>'[3]Team Report'!BA31</f>
        <v>0</v>
      </c>
      <c r="E33" s="7">
        <f t="shared" si="2"/>
        <v>0</v>
      </c>
    </row>
    <row r="34" spans="1:5" x14ac:dyDescent="0.2">
      <c r="A34" s="5" t="s">
        <v>41</v>
      </c>
      <c r="B34" s="6" t="s">
        <v>42</v>
      </c>
      <c r="C34" s="7">
        <f>'[3]Team Report'!BA39</f>
        <v>0</v>
      </c>
      <c r="E34" s="7">
        <f t="shared" si="2"/>
        <v>0</v>
      </c>
    </row>
    <row r="35" spans="1:5" x14ac:dyDescent="0.2">
      <c r="A35" s="5" t="s">
        <v>43</v>
      </c>
      <c r="B35" s="6" t="s">
        <v>44</v>
      </c>
      <c r="C35" s="7">
        <f>'[3]Team Report'!BA40</f>
        <v>236195.72000000003</v>
      </c>
      <c r="E35" s="7">
        <f t="shared" si="2"/>
        <v>314927.62666666671</v>
      </c>
    </row>
    <row r="36" spans="1:5" x14ac:dyDescent="0.2">
      <c r="A36" s="5" t="s">
        <v>45</v>
      </c>
      <c r="B36" s="6" t="s">
        <v>46</v>
      </c>
      <c r="C36" s="7">
        <f>'[3]Team Report'!BA41</f>
        <v>126209.46999999999</v>
      </c>
      <c r="E36" s="7">
        <f t="shared" si="2"/>
        <v>168279.29333333333</v>
      </c>
    </row>
    <row r="37" spans="1:5" x14ac:dyDescent="0.2">
      <c r="A37" s="5" t="s">
        <v>47</v>
      </c>
      <c r="B37" s="6" t="s">
        <v>48</v>
      </c>
      <c r="C37" s="7">
        <f>'[3]Team Report'!BA43</f>
        <v>0</v>
      </c>
      <c r="E37" s="7">
        <f t="shared" si="2"/>
        <v>0</v>
      </c>
    </row>
    <row r="38" spans="1:5" x14ac:dyDescent="0.2">
      <c r="A38" s="5" t="s">
        <v>49</v>
      </c>
      <c r="B38" s="6" t="s">
        <v>50</v>
      </c>
      <c r="C38" s="7">
        <f>'[3]Team Report'!BA45</f>
        <v>48540</v>
      </c>
      <c r="E38" s="7">
        <f t="shared" si="2"/>
        <v>64720</v>
      </c>
    </row>
    <row r="44" spans="1:5" x14ac:dyDescent="0.2">
      <c r="C44" s="11">
        <f>C23+C31+C32+C33+C34+C35+C36+C37+C38</f>
        <v>3017433.66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/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'[4]Team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'[4]Pull Sheet'!E9</f>
        <v>East Gas Trading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'[4]Team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1</v>
      </c>
      <c r="E7" s="4" t="s">
        <v>2</v>
      </c>
      <c r="G7" s="4" t="s">
        <v>60</v>
      </c>
    </row>
    <row r="8" spans="1:44" x14ac:dyDescent="0.2">
      <c r="A8" s="5" t="s">
        <v>3</v>
      </c>
      <c r="B8" s="6" t="s">
        <v>4</v>
      </c>
      <c r="C8" s="7">
        <f>'[4]Team Report'!BA25-39000-150000</f>
        <v>1053710.72</v>
      </c>
      <c r="E8" s="7">
        <f>(C8/9)*12</f>
        <v>1404947.6266666667</v>
      </c>
      <c r="G8" s="16">
        <f>E8/$E$23</f>
        <v>0.16182091368459686</v>
      </c>
    </row>
    <row r="9" spans="1:44" x14ac:dyDescent="0.2">
      <c r="A9" s="5"/>
      <c r="B9" s="6" t="s">
        <v>5</v>
      </c>
      <c r="C9" s="7">
        <v>150000</v>
      </c>
      <c r="E9" s="7">
        <f>C9</f>
        <v>150000</v>
      </c>
      <c r="G9" s="16">
        <f t="shared" ref="G9:G23" si="0">E9/$E$23</f>
        <v>1.7276898150487781E-2</v>
      </c>
    </row>
    <row r="10" spans="1:44" x14ac:dyDescent="0.2">
      <c r="A10" s="5"/>
      <c r="B10" s="6" t="s">
        <v>6</v>
      </c>
      <c r="C10" s="7">
        <v>158500</v>
      </c>
      <c r="E10" s="7">
        <f>(C10/9)*12</f>
        <v>211333.33333333331</v>
      </c>
      <c r="G10" s="16">
        <f t="shared" si="0"/>
        <v>2.4341229838687226E-2</v>
      </c>
    </row>
    <row r="11" spans="1:44" x14ac:dyDescent="0.2">
      <c r="A11" s="5" t="s">
        <v>7</v>
      </c>
      <c r="B11" s="6" t="s">
        <v>8</v>
      </c>
      <c r="C11" s="7">
        <f>'[4]Team Report'!BA26-7596+17469.91</f>
        <v>304894.01999999996</v>
      </c>
      <c r="E11" s="7">
        <f t="shared" ref="E11:E21" si="1">(C11/9)*12</f>
        <v>406525.35999999993</v>
      </c>
      <c r="G11" s="16">
        <f t="shared" si="0"/>
        <v>4.6823314935402517E-2</v>
      </c>
    </row>
    <row r="12" spans="1:44" x14ac:dyDescent="0.2">
      <c r="A12" s="5" t="s">
        <v>9</v>
      </c>
      <c r="B12" s="6" t="s">
        <v>10</v>
      </c>
      <c r="C12" s="7">
        <f>'[4]Team Report'!BA27</f>
        <v>67830.09</v>
      </c>
      <c r="E12" s="7">
        <f t="shared" si="1"/>
        <v>90440.12</v>
      </c>
      <c r="G12" s="16">
        <f t="shared" si="0"/>
        <v>1.0416831613052619E-2</v>
      </c>
    </row>
    <row r="13" spans="1:44" x14ac:dyDescent="0.2">
      <c r="A13" s="5" t="s">
        <v>11</v>
      </c>
      <c r="B13" s="6" t="s">
        <v>12</v>
      </c>
      <c r="C13" s="7">
        <f>'[4]Team Report'!BA28</f>
        <v>-1702.6700000000019</v>
      </c>
      <c r="E13" s="7">
        <f t="shared" si="1"/>
        <v>-2270.2266666666692</v>
      </c>
      <c r="G13" s="16">
        <f t="shared" si="0"/>
        <v>-2.6148316599014276E-4</v>
      </c>
    </row>
    <row r="14" spans="1:44" x14ac:dyDescent="0.2">
      <c r="A14" s="5" t="s">
        <v>14</v>
      </c>
      <c r="B14" s="6" t="s">
        <v>15</v>
      </c>
      <c r="C14" s="7">
        <f>'[4]Team Report'!BA32</f>
        <v>13065.630000000001</v>
      </c>
      <c r="E14" s="7">
        <f t="shared" si="1"/>
        <v>17420.84</v>
      </c>
      <c r="G14" s="16">
        <f t="shared" si="0"/>
        <v>2.0065205225062903E-3</v>
      </c>
    </row>
    <row r="15" spans="1:44" x14ac:dyDescent="0.2">
      <c r="A15" s="5" t="s">
        <v>16</v>
      </c>
      <c r="B15" s="6" t="s">
        <v>17</v>
      </c>
      <c r="C15" s="7">
        <f>'[4]Team Report'!BA33</f>
        <v>22785.42</v>
      </c>
      <c r="E15" s="7">
        <f t="shared" si="1"/>
        <v>30380.559999999998</v>
      </c>
      <c r="G15" s="16">
        <f t="shared" si="0"/>
        <v>3.499212272498553E-3</v>
      </c>
    </row>
    <row r="16" spans="1:44" x14ac:dyDescent="0.2">
      <c r="A16" s="5" t="s">
        <v>18</v>
      </c>
      <c r="B16" s="6" t="s">
        <v>19</v>
      </c>
      <c r="C16" s="7">
        <f>'[4]Team Report'!BA34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20</v>
      </c>
      <c r="B17" s="6" t="s">
        <v>21</v>
      </c>
      <c r="C17" s="7">
        <f>'[4]Team Report'!BA35</f>
        <v>0</v>
      </c>
      <c r="E17" s="7">
        <f t="shared" si="1"/>
        <v>0</v>
      </c>
      <c r="G17" s="16">
        <f t="shared" si="0"/>
        <v>0</v>
      </c>
    </row>
    <row r="18" spans="1:7" x14ac:dyDescent="0.2">
      <c r="A18" s="5" t="s">
        <v>22</v>
      </c>
      <c r="B18" s="6" t="s">
        <v>23</v>
      </c>
      <c r="C18" s="7">
        <f>'[4]Team Report'!BA36</f>
        <v>589.8599999999999</v>
      </c>
      <c r="E18" s="7">
        <f t="shared" si="1"/>
        <v>786.4799999999999</v>
      </c>
      <c r="G18" s="16">
        <f t="shared" si="0"/>
        <v>9.0586232382637509E-5</v>
      </c>
    </row>
    <row r="19" spans="1:7" x14ac:dyDescent="0.2">
      <c r="A19" s="5" t="s">
        <v>24</v>
      </c>
      <c r="B19" s="6" t="s">
        <v>25</v>
      </c>
      <c r="C19" s="7">
        <f>'[4]Team Report'!BA37</f>
        <v>12122.89</v>
      </c>
      <c r="E19" s="7">
        <f t="shared" si="1"/>
        <v>16163.853333333333</v>
      </c>
      <c r="G19" s="16">
        <f t="shared" si="0"/>
        <v>1.8617416517294825E-3</v>
      </c>
    </row>
    <row r="20" spans="1:7" x14ac:dyDescent="0.2">
      <c r="A20" s="5" t="s">
        <v>26</v>
      </c>
      <c r="B20" s="6" t="s">
        <v>27</v>
      </c>
      <c r="C20" s="7">
        <f>'[4]Team Report'!BA38</f>
        <v>0</v>
      </c>
      <c r="E20" s="7">
        <f t="shared" si="1"/>
        <v>0</v>
      </c>
      <c r="G20" s="16">
        <f t="shared" si="0"/>
        <v>0</v>
      </c>
    </row>
    <row r="21" spans="1:7" x14ac:dyDescent="0.2">
      <c r="A21" s="5" t="s">
        <v>28</v>
      </c>
      <c r="B21" s="6" t="s">
        <v>29</v>
      </c>
      <c r="C21" s="7">
        <f>'[4]Team Report'!BA42-113000-16374</f>
        <v>11668.959999999992</v>
      </c>
      <c r="E21" s="7">
        <f t="shared" si="1"/>
        <v>15558.613333333324</v>
      </c>
      <c r="G21" s="16">
        <f t="shared" si="0"/>
        <v>1.7920305194854733E-3</v>
      </c>
    </row>
    <row r="22" spans="1:7" x14ac:dyDescent="0.2">
      <c r="A22" s="5" t="s">
        <v>30</v>
      </c>
      <c r="B22" s="6" t="s">
        <v>31</v>
      </c>
      <c r="C22" s="7">
        <f>'[4]Team Report'!BA44</f>
        <v>4755620.6100000003</v>
      </c>
      <c r="E22" s="7">
        <f>(C22/9)*12</f>
        <v>6340827.4800000004</v>
      </c>
      <c r="G22" s="16">
        <f t="shared" si="0"/>
        <v>0.73033220374516061</v>
      </c>
    </row>
    <row r="23" spans="1:7" x14ac:dyDescent="0.2">
      <c r="A23" s="8" t="s">
        <v>32</v>
      </c>
      <c r="B23" s="9" t="s">
        <v>33</v>
      </c>
      <c r="C23" s="10">
        <f>SUM(C8:C22)</f>
        <v>6549085.5300000003</v>
      </c>
      <c r="E23" s="10">
        <f>SUM(E8:E22)</f>
        <v>8682114.040000001</v>
      </c>
      <c r="G23" s="17">
        <f t="shared" si="0"/>
        <v>1</v>
      </c>
    </row>
    <row r="25" spans="1:7" x14ac:dyDescent="0.2">
      <c r="B25" s="9" t="s">
        <v>57</v>
      </c>
      <c r="C25" s="7"/>
      <c r="E25" s="13">
        <v>15</v>
      </c>
    </row>
    <row r="26" spans="1:7" x14ac:dyDescent="0.2">
      <c r="C26" s="7"/>
      <c r="E26" s="7"/>
    </row>
    <row r="27" spans="1:7" x14ac:dyDescent="0.2">
      <c r="B27" s="9" t="s">
        <v>58</v>
      </c>
      <c r="C27" s="7"/>
      <c r="E27" s="13">
        <v>4</v>
      </c>
    </row>
    <row r="29" spans="1:7" x14ac:dyDescent="0.2">
      <c r="B29" s="9" t="s">
        <v>34</v>
      </c>
      <c r="E29" s="13">
        <f>SUM(E25:E27)</f>
        <v>19</v>
      </c>
    </row>
    <row r="31" spans="1:7" x14ac:dyDescent="0.2">
      <c r="A31" s="5" t="s">
        <v>35</v>
      </c>
      <c r="B31" s="6" t="s">
        <v>36</v>
      </c>
      <c r="C31" s="7">
        <f>'[4]Team Report'!BA29</f>
        <v>0</v>
      </c>
      <c r="E31" s="7">
        <f t="shared" ref="E31:E38" si="2">(C31/9)*12</f>
        <v>0</v>
      </c>
    </row>
    <row r="32" spans="1:7" x14ac:dyDescent="0.2">
      <c r="A32" s="5" t="s">
        <v>37</v>
      </c>
      <c r="B32" s="6" t="s">
        <v>38</v>
      </c>
      <c r="C32" s="7">
        <f>'[4]Team Report'!BA30</f>
        <v>0</v>
      </c>
      <c r="E32" s="7">
        <f t="shared" si="2"/>
        <v>0</v>
      </c>
    </row>
    <row r="33" spans="1:5" x14ac:dyDescent="0.2">
      <c r="A33" s="5" t="s">
        <v>39</v>
      </c>
      <c r="B33" s="6" t="s">
        <v>40</v>
      </c>
      <c r="C33" s="7">
        <f>'[4]Team Report'!BA31</f>
        <v>0</v>
      </c>
      <c r="E33" s="7">
        <f t="shared" si="2"/>
        <v>0</v>
      </c>
    </row>
    <row r="34" spans="1:5" x14ac:dyDescent="0.2">
      <c r="A34" s="5" t="s">
        <v>41</v>
      </c>
      <c r="B34" s="6" t="s">
        <v>42</v>
      </c>
      <c r="C34" s="7">
        <f>'[4]Team Report'!BA39</f>
        <v>1145996.54</v>
      </c>
      <c r="E34" s="7">
        <f t="shared" si="2"/>
        <v>1527995.3866666667</v>
      </c>
    </row>
    <row r="35" spans="1:5" x14ac:dyDescent="0.2">
      <c r="A35" s="5" t="s">
        <v>43</v>
      </c>
      <c r="B35" s="6" t="s">
        <v>44</v>
      </c>
      <c r="C35" s="7">
        <f>'[4]Team Report'!BA40</f>
        <v>685489.53</v>
      </c>
      <c r="E35" s="7">
        <f t="shared" si="2"/>
        <v>913986.04</v>
      </c>
    </row>
    <row r="36" spans="1:5" x14ac:dyDescent="0.2">
      <c r="A36" s="5" t="s">
        <v>45</v>
      </c>
      <c r="B36" s="6" t="s">
        <v>46</v>
      </c>
      <c r="C36" s="7">
        <f>'[4]Team Report'!BA41</f>
        <v>42622.359999999993</v>
      </c>
      <c r="E36" s="7">
        <f t="shared" si="2"/>
        <v>56829.813333333324</v>
      </c>
    </row>
    <row r="37" spans="1:5" x14ac:dyDescent="0.2">
      <c r="A37" s="5" t="s">
        <v>47</v>
      </c>
      <c r="B37" s="6" t="s">
        <v>48</v>
      </c>
      <c r="C37" s="7">
        <f>'[4]Team Report'!BA43</f>
        <v>0</v>
      </c>
      <c r="E37" s="7">
        <f t="shared" si="2"/>
        <v>0</v>
      </c>
    </row>
    <row r="38" spans="1:5" x14ac:dyDescent="0.2">
      <c r="A38" s="5" t="s">
        <v>49</v>
      </c>
      <c r="B38" s="6" t="s">
        <v>50</v>
      </c>
      <c r="C38" s="7">
        <f>'[4]Team Report'!BA45</f>
        <v>13396</v>
      </c>
      <c r="E38" s="7">
        <f t="shared" si="2"/>
        <v>17861.333333333332</v>
      </c>
    </row>
    <row r="44" spans="1:5" x14ac:dyDescent="0.2">
      <c r="C44" s="11">
        <f>C23+C31+C32+C33+C34+C35+C36+C37+C38</f>
        <v>8436589.9600000009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/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'[5]Team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'[5]Pull Sheet'!E9</f>
        <v>East Gas Origination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'[5]Team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1</v>
      </c>
      <c r="E7" s="4" t="s">
        <v>2</v>
      </c>
      <c r="G7" s="4" t="s">
        <v>60</v>
      </c>
    </row>
    <row r="8" spans="1:44" x14ac:dyDescent="0.2">
      <c r="A8" s="5" t="s">
        <v>3</v>
      </c>
      <c r="B8" s="6" t="s">
        <v>4</v>
      </c>
      <c r="C8" s="7">
        <f>'[5]Team Report'!BA25-198750-12000</f>
        <v>1112475.8099999998</v>
      </c>
      <c r="E8" s="7">
        <f>(C8/9)*12</f>
        <v>1483301.0799999996</v>
      </c>
      <c r="G8" s="16">
        <f>E8/$E$23</f>
        <v>0.55935093065323083</v>
      </c>
    </row>
    <row r="9" spans="1:44" x14ac:dyDescent="0.2">
      <c r="A9" s="5"/>
      <c r="B9" s="6" t="s">
        <v>5</v>
      </c>
      <c r="C9" s="7">
        <v>198750</v>
      </c>
      <c r="E9" s="7">
        <f>C9</f>
        <v>198750</v>
      </c>
      <c r="G9" s="16">
        <f t="shared" ref="G9:G23" si="0">E9/$E$23</f>
        <v>7.494836952948869E-2</v>
      </c>
    </row>
    <row r="10" spans="1:44" x14ac:dyDescent="0.2">
      <c r="A10" s="5"/>
      <c r="B10" s="6" t="s">
        <v>52</v>
      </c>
      <c r="C10" s="7">
        <v>85600</v>
      </c>
      <c r="E10" s="7">
        <f>(C10/9)*12</f>
        <v>114133.33333333334</v>
      </c>
      <c r="G10" s="16">
        <f t="shared" si="0"/>
        <v>4.3039533294586041E-2</v>
      </c>
    </row>
    <row r="11" spans="1:44" x14ac:dyDescent="0.2">
      <c r="A11" s="5" t="s">
        <v>7</v>
      </c>
      <c r="B11" s="6" t="s">
        <v>8</v>
      </c>
      <c r="C11" s="7">
        <f>'[5]Team Report'!BA26-2322-1080</f>
        <v>247943.73</v>
      </c>
      <c r="E11" s="7">
        <f t="shared" ref="E11:E22" si="1">(C11/9)*12</f>
        <v>330591.64</v>
      </c>
      <c r="G11" s="16">
        <f t="shared" si="0"/>
        <v>0.12466568250606135</v>
      </c>
    </row>
    <row r="12" spans="1:44" x14ac:dyDescent="0.2">
      <c r="A12" s="5" t="s">
        <v>9</v>
      </c>
      <c r="B12" s="6" t="s">
        <v>10</v>
      </c>
      <c r="C12" s="7">
        <f>'[5]Team Report'!BA27</f>
        <v>71177.97</v>
      </c>
      <c r="E12" s="7">
        <f t="shared" si="1"/>
        <v>94903.96</v>
      </c>
      <c r="G12" s="16">
        <f t="shared" si="0"/>
        <v>3.5788161327757549E-2</v>
      </c>
    </row>
    <row r="13" spans="1:44" x14ac:dyDescent="0.2">
      <c r="A13" s="5" t="s">
        <v>11</v>
      </c>
      <c r="B13" s="6" t="s">
        <v>12</v>
      </c>
      <c r="C13" s="7">
        <f>'[5]Team Report'!BA28</f>
        <v>286730.48000000004</v>
      </c>
      <c r="E13" s="7">
        <f t="shared" si="1"/>
        <v>382307.30666666676</v>
      </c>
      <c r="G13" s="16">
        <f t="shared" si="0"/>
        <v>0.14416759393145606</v>
      </c>
    </row>
    <row r="14" spans="1:44" x14ac:dyDescent="0.2">
      <c r="A14" s="5" t="s">
        <v>14</v>
      </c>
      <c r="B14" s="6" t="s">
        <v>15</v>
      </c>
      <c r="C14" s="7">
        <f>'[5]Team Report'!BA32</f>
        <v>852.11</v>
      </c>
      <c r="E14" s="7">
        <f t="shared" si="1"/>
        <v>1136.1466666666668</v>
      </c>
      <c r="G14" s="16">
        <f t="shared" si="0"/>
        <v>4.2843944761273027E-4</v>
      </c>
    </row>
    <row r="15" spans="1:44" x14ac:dyDescent="0.2">
      <c r="A15" s="5" t="s">
        <v>16</v>
      </c>
      <c r="B15" s="6" t="s">
        <v>17</v>
      </c>
      <c r="C15" s="7">
        <f>'[5]Team Report'!BA33</f>
        <v>4190.84</v>
      </c>
      <c r="E15" s="7">
        <f t="shared" si="1"/>
        <v>5587.7866666666669</v>
      </c>
      <c r="G15" s="16">
        <f t="shared" si="0"/>
        <v>2.1071471695360161E-3</v>
      </c>
    </row>
    <row r="16" spans="1:44" x14ac:dyDescent="0.2">
      <c r="A16" s="5" t="s">
        <v>18</v>
      </c>
      <c r="B16" s="6" t="s">
        <v>19</v>
      </c>
      <c r="C16" s="7">
        <f>'[5]Team Report'!BA34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20</v>
      </c>
      <c r="B17" s="6" t="s">
        <v>21</v>
      </c>
      <c r="C17" s="7">
        <f>'[5]Team Report'!BA35</f>
        <v>0</v>
      </c>
      <c r="E17" s="7">
        <f t="shared" si="1"/>
        <v>0</v>
      </c>
      <c r="G17" s="16">
        <f t="shared" si="0"/>
        <v>0</v>
      </c>
    </row>
    <row r="18" spans="1:7" x14ac:dyDescent="0.2">
      <c r="A18" s="5" t="s">
        <v>22</v>
      </c>
      <c r="B18" s="6" t="s">
        <v>23</v>
      </c>
      <c r="C18" s="7">
        <f>'[5]Team Report'!BA36</f>
        <v>1502.8600000000001</v>
      </c>
      <c r="E18" s="7">
        <f t="shared" si="1"/>
        <v>2003.8133333333335</v>
      </c>
      <c r="G18" s="16">
        <f t="shared" si="0"/>
        <v>7.5563543232595298E-4</v>
      </c>
    </row>
    <row r="19" spans="1:7" x14ac:dyDescent="0.2">
      <c r="A19" s="5" t="s">
        <v>24</v>
      </c>
      <c r="B19" s="6" t="s">
        <v>25</v>
      </c>
      <c r="C19" s="7">
        <f>'[5]Team Report'!BA37</f>
        <v>21322.510000000002</v>
      </c>
      <c r="E19" s="7">
        <f t="shared" si="1"/>
        <v>28430.013333333336</v>
      </c>
      <c r="G19" s="16">
        <f t="shared" si="0"/>
        <v>1.0720921484452615E-2</v>
      </c>
    </row>
    <row r="20" spans="1:7" x14ac:dyDescent="0.2">
      <c r="A20" s="5" t="s">
        <v>26</v>
      </c>
      <c r="B20" s="6" t="s">
        <v>27</v>
      </c>
      <c r="C20" s="7">
        <f>'[5]Team Report'!BA38</f>
        <v>0</v>
      </c>
      <c r="E20" s="7">
        <f t="shared" si="1"/>
        <v>0</v>
      </c>
      <c r="G20" s="16">
        <f t="shared" si="0"/>
        <v>0</v>
      </c>
    </row>
    <row r="21" spans="1:7" x14ac:dyDescent="0.2">
      <c r="A21" s="5" t="s">
        <v>28</v>
      </c>
      <c r="B21" s="6" t="s">
        <v>29</v>
      </c>
      <c r="C21" s="7">
        <f>'[5]Team Report'!BA42-66400-3798</f>
        <v>7848.5999999999913</v>
      </c>
      <c r="E21" s="7">
        <f t="shared" si="1"/>
        <v>10464.799999999988</v>
      </c>
      <c r="G21" s="16">
        <f t="shared" si="0"/>
        <v>3.9462626286902759E-3</v>
      </c>
    </row>
    <row r="22" spans="1:7" x14ac:dyDescent="0.2">
      <c r="A22" s="5" t="s">
        <v>30</v>
      </c>
      <c r="B22" s="6" t="s">
        <v>31</v>
      </c>
      <c r="C22" s="7">
        <f>'[5]Team Report'!BA44</f>
        <v>161.74</v>
      </c>
      <c r="E22" s="7">
        <f t="shared" si="1"/>
        <v>215.65333333333336</v>
      </c>
      <c r="G22" s="16">
        <f t="shared" si="0"/>
        <v>8.1322594802176945E-5</v>
      </c>
    </row>
    <row r="23" spans="1:7" x14ac:dyDescent="0.2">
      <c r="A23" s="8" t="s">
        <v>32</v>
      </c>
      <c r="B23" s="9" t="s">
        <v>33</v>
      </c>
      <c r="C23" s="10">
        <f>SUM(C8:C22)</f>
        <v>2038556.6500000001</v>
      </c>
      <c r="E23" s="10">
        <f>SUM(E8:E22)</f>
        <v>2651825.5333333323</v>
      </c>
      <c r="G23" s="17">
        <f t="shared" si="0"/>
        <v>1</v>
      </c>
    </row>
    <row r="25" spans="1:7" x14ac:dyDescent="0.2">
      <c r="B25" s="9" t="s">
        <v>57</v>
      </c>
      <c r="C25" s="7"/>
      <c r="E25" s="13">
        <v>13</v>
      </c>
    </row>
    <row r="26" spans="1:7" x14ac:dyDescent="0.2">
      <c r="C26" s="7"/>
      <c r="E26" s="7"/>
    </row>
    <row r="27" spans="1:7" x14ac:dyDescent="0.2">
      <c r="B27" s="9" t="s">
        <v>58</v>
      </c>
      <c r="C27" s="7"/>
      <c r="E27" s="13">
        <v>2</v>
      </c>
    </row>
    <row r="29" spans="1:7" x14ac:dyDescent="0.2">
      <c r="B29" s="9" t="s">
        <v>34</v>
      </c>
      <c r="E29" s="13">
        <f>SUM(E25:E28)</f>
        <v>15</v>
      </c>
    </row>
    <row r="31" spans="1:7" x14ac:dyDescent="0.2">
      <c r="A31" s="5" t="s">
        <v>35</v>
      </c>
      <c r="B31" s="6" t="s">
        <v>36</v>
      </c>
      <c r="C31" s="7">
        <f>'[5]Team Report'!BA29</f>
        <v>0</v>
      </c>
      <c r="E31" s="7">
        <f t="shared" ref="E31:E38" si="2">(C31/9)*12</f>
        <v>0</v>
      </c>
    </row>
    <row r="32" spans="1:7" x14ac:dyDescent="0.2">
      <c r="A32" s="5" t="s">
        <v>37</v>
      </c>
      <c r="B32" s="6" t="s">
        <v>38</v>
      </c>
      <c r="C32" s="7">
        <f>'[5]Team Report'!BA30</f>
        <v>0</v>
      </c>
      <c r="E32" s="7">
        <f t="shared" si="2"/>
        <v>0</v>
      </c>
    </row>
    <row r="33" spans="1:5" x14ac:dyDescent="0.2">
      <c r="A33" s="5" t="s">
        <v>39</v>
      </c>
      <c r="B33" s="6" t="s">
        <v>40</v>
      </c>
      <c r="C33" s="7">
        <f>'[5]Team Report'!BA31</f>
        <v>0</v>
      </c>
      <c r="E33" s="7">
        <f t="shared" si="2"/>
        <v>0</v>
      </c>
    </row>
    <row r="34" spans="1:5" x14ac:dyDescent="0.2">
      <c r="A34" s="5" t="s">
        <v>41</v>
      </c>
      <c r="B34" s="6" t="s">
        <v>42</v>
      </c>
      <c r="C34" s="7">
        <f>'[5]Team Report'!BA39</f>
        <v>0</v>
      </c>
      <c r="E34" s="7">
        <f t="shared" si="2"/>
        <v>0</v>
      </c>
    </row>
    <row r="35" spans="1:5" x14ac:dyDescent="0.2">
      <c r="A35" s="5" t="s">
        <v>43</v>
      </c>
      <c r="B35" s="6" t="s">
        <v>44</v>
      </c>
      <c r="C35" s="7">
        <f>'[5]Team Report'!BA40</f>
        <v>54085.56</v>
      </c>
      <c r="E35" s="7">
        <f t="shared" si="2"/>
        <v>72114.079999999987</v>
      </c>
    </row>
    <row r="36" spans="1:5" x14ac:dyDescent="0.2">
      <c r="A36" s="5" t="s">
        <v>45</v>
      </c>
      <c r="B36" s="6" t="s">
        <v>46</v>
      </c>
      <c r="C36" s="7">
        <f>'[5]Team Report'!BA41</f>
        <v>60740.439999999995</v>
      </c>
      <c r="E36" s="7">
        <f t="shared" si="2"/>
        <v>80987.253333333327</v>
      </c>
    </row>
    <row r="37" spans="1:5" x14ac:dyDescent="0.2">
      <c r="A37" s="5" t="s">
        <v>47</v>
      </c>
      <c r="B37" s="6" t="s">
        <v>48</v>
      </c>
      <c r="C37" s="7">
        <f>'[5]Team Report'!BA43</f>
        <v>0</v>
      </c>
      <c r="E37" s="7">
        <f t="shared" si="2"/>
        <v>0</v>
      </c>
    </row>
    <row r="38" spans="1:5" x14ac:dyDescent="0.2">
      <c r="A38" s="5" t="s">
        <v>49</v>
      </c>
      <c r="B38" s="6" t="s">
        <v>50</v>
      </c>
      <c r="C38" s="7">
        <f>'[5]Team Report'!BA45</f>
        <v>326086.92</v>
      </c>
      <c r="E38" s="7">
        <f t="shared" si="2"/>
        <v>434782.55999999994</v>
      </c>
    </row>
    <row r="44" spans="1:5" x14ac:dyDescent="0.2">
      <c r="C44" s="11">
        <f>C23+C31+C32+C33+C34+C35+C36+C37+C38</f>
        <v>2479469.5700000003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4"/>
  <sheetViews>
    <sheetView workbookViewId="0"/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2.42578125" customWidth="1"/>
  </cols>
  <sheetData>
    <row r="1" spans="1:44" ht="18" x14ac:dyDescent="0.25">
      <c r="B1" s="18" t="str">
        <f>'[6]Team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'[6]Pull Sheet'!E9</f>
        <v>Financial Gas Trading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'[6]Team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1</v>
      </c>
      <c r="E7" s="4" t="s">
        <v>2</v>
      </c>
      <c r="G7" s="4" t="s">
        <v>60</v>
      </c>
    </row>
    <row r="8" spans="1:44" x14ac:dyDescent="0.2">
      <c r="A8" s="5" t="s">
        <v>3</v>
      </c>
      <c r="B8" s="6" t="s">
        <v>4</v>
      </c>
      <c r="C8" s="7">
        <f>'[6]Team Report'!BA25-102000-47500</f>
        <v>475540.27</v>
      </c>
      <c r="E8" s="7">
        <f>(C8/9)*12</f>
        <v>634053.69333333336</v>
      </c>
      <c r="G8" s="16">
        <f>E8/$E$23</f>
        <v>0.47779883944803614</v>
      </c>
    </row>
    <row r="9" spans="1:44" x14ac:dyDescent="0.2">
      <c r="A9" s="5"/>
      <c r="B9" s="6" t="s">
        <v>5</v>
      </c>
      <c r="C9" s="7">
        <v>102000</v>
      </c>
      <c r="E9" s="7">
        <f>C9</f>
        <v>102000</v>
      </c>
      <c r="G9" s="16">
        <f t="shared" ref="G9:G23" si="0">E9/$E$23</f>
        <v>7.6863335291824528E-2</v>
      </c>
    </row>
    <row r="10" spans="1:44" x14ac:dyDescent="0.2">
      <c r="A10" s="5"/>
      <c r="B10" s="6" t="s">
        <v>6</v>
      </c>
      <c r="C10" s="7">
        <v>148878.09</v>
      </c>
      <c r="E10" s="7">
        <f>(C10/9)*12</f>
        <v>198504.12</v>
      </c>
      <c r="G10" s="16">
        <f t="shared" si="0"/>
        <v>0.14958518365067225</v>
      </c>
    </row>
    <row r="11" spans="1:44" x14ac:dyDescent="0.2">
      <c r="A11" s="5" t="s">
        <v>7</v>
      </c>
      <c r="B11" s="6" t="s">
        <v>8</v>
      </c>
      <c r="C11" s="7">
        <f>'[6]Team Report'!BA26-8442-4275</f>
        <v>105886.18999999999</v>
      </c>
      <c r="E11" s="7">
        <f t="shared" ref="E11:E22" si="1">(C11/9)*12</f>
        <v>141181.58666666664</v>
      </c>
      <c r="G11" s="16">
        <f t="shared" si="0"/>
        <v>0.10638909444109589</v>
      </c>
    </row>
    <row r="12" spans="1:44" x14ac:dyDescent="0.2">
      <c r="A12" s="5" t="s">
        <v>9</v>
      </c>
      <c r="B12" s="6" t="s">
        <v>10</v>
      </c>
      <c r="C12" s="7">
        <f>'[6]Team Report'!BA27</f>
        <v>78488.709999999992</v>
      </c>
      <c r="E12" s="7">
        <f t="shared" si="1"/>
        <v>104651.61333333331</v>
      </c>
      <c r="G12" s="16">
        <f t="shared" si="0"/>
        <v>7.8861490632062478E-2</v>
      </c>
    </row>
    <row r="13" spans="1:44" x14ac:dyDescent="0.2">
      <c r="A13" s="5" t="s">
        <v>11</v>
      </c>
      <c r="B13" s="6" t="s">
        <v>12</v>
      </c>
      <c r="C13" s="7">
        <f>'[6]Team Report'!BA28</f>
        <v>30418.36</v>
      </c>
      <c r="E13" s="7">
        <f t="shared" si="1"/>
        <v>40557.813333333332</v>
      </c>
      <c r="G13" s="16">
        <f t="shared" si="0"/>
        <v>3.0562831421012071E-2</v>
      </c>
    </row>
    <row r="14" spans="1:44" x14ac:dyDescent="0.2">
      <c r="A14" s="5" t="s">
        <v>14</v>
      </c>
      <c r="B14" s="6" t="s">
        <v>15</v>
      </c>
      <c r="C14" s="7">
        <f>'[6]Team Report'!BA32</f>
        <v>40980.630000000005</v>
      </c>
      <c r="E14" s="7">
        <f t="shared" si="1"/>
        <v>54640.840000000004</v>
      </c>
      <c r="G14" s="16">
        <f t="shared" si="0"/>
        <v>4.1175266721048404E-2</v>
      </c>
    </row>
    <row r="15" spans="1:44" x14ac:dyDescent="0.2">
      <c r="A15" s="5" t="s">
        <v>16</v>
      </c>
      <c r="B15" s="6" t="s">
        <v>17</v>
      </c>
      <c r="C15" s="7">
        <f>'[6]Team Report'!BA33</f>
        <v>11361.58</v>
      </c>
      <c r="E15" s="7">
        <f t="shared" si="1"/>
        <v>15148.773333333333</v>
      </c>
      <c r="G15" s="16">
        <f t="shared" si="0"/>
        <v>1.141554160764559E-2</v>
      </c>
    </row>
    <row r="16" spans="1:44" x14ac:dyDescent="0.2">
      <c r="A16" s="5" t="s">
        <v>18</v>
      </c>
      <c r="B16" s="6" t="s">
        <v>19</v>
      </c>
      <c r="C16" s="7">
        <f>'[6]Team Report'!BA34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20</v>
      </c>
      <c r="B17" s="6" t="s">
        <v>21</v>
      </c>
      <c r="C17" s="7">
        <f>'[6]Team Report'!BA35</f>
        <v>400</v>
      </c>
      <c r="E17" s="7">
        <f t="shared" si="1"/>
        <v>533.33333333333326</v>
      </c>
      <c r="G17" s="16">
        <f t="shared" si="0"/>
        <v>4.0189979237555302E-4</v>
      </c>
    </row>
    <row r="18" spans="1:7" x14ac:dyDescent="0.2">
      <c r="A18" s="5" t="s">
        <v>22</v>
      </c>
      <c r="B18" s="6" t="s">
        <v>23</v>
      </c>
      <c r="C18" s="7">
        <f>'[6]Team Report'!BA36</f>
        <v>308.51</v>
      </c>
      <c r="E18" s="7">
        <f t="shared" si="1"/>
        <v>411.34666666666664</v>
      </c>
      <c r="G18" s="16">
        <f t="shared" si="0"/>
        <v>3.0997526236445469E-4</v>
      </c>
    </row>
    <row r="19" spans="1:7" x14ac:dyDescent="0.2">
      <c r="A19" s="5" t="s">
        <v>24</v>
      </c>
      <c r="B19" s="6" t="s">
        <v>25</v>
      </c>
      <c r="C19" s="7">
        <f>'[6]Team Report'!BA37</f>
        <v>4585.34</v>
      </c>
      <c r="E19" s="7">
        <f t="shared" si="1"/>
        <v>6113.7866666666669</v>
      </c>
      <c r="G19" s="16">
        <f t="shared" si="0"/>
        <v>4.607117984928296E-3</v>
      </c>
    </row>
    <row r="20" spans="1:7" x14ac:dyDescent="0.2">
      <c r="A20" s="5" t="s">
        <v>26</v>
      </c>
      <c r="B20" s="6" t="s">
        <v>27</v>
      </c>
      <c r="C20" s="7">
        <f>'[6]Team Report'!BA38</f>
        <v>0</v>
      </c>
      <c r="E20" s="7">
        <f t="shared" si="1"/>
        <v>0</v>
      </c>
      <c r="G20" s="16">
        <f t="shared" si="0"/>
        <v>0</v>
      </c>
    </row>
    <row r="21" spans="1:7" x14ac:dyDescent="0.2">
      <c r="A21" s="5" t="s">
        <v>28</v>
      </c>
      <c r="B21" s="6" t="s">
        <v>29</v>
      </c>
      <c r="C21" s="7">
        <f>'[6]Team Report'!BA42-68800-15783-4078</f>
        <v>21855.62999999999</v>
      </c>
      <c r="E21" s="7">
        <f t="shared" si="1"/>
        <v>29140.839999999989</v>
      </c>
      <c r="G21" s="16">
        <f t="shared" si="0"/>
        <v>2.1959432898092265E-2</v>
      </c>
    </row>
    <row r="22" spans="1:7" x14ac:dyDescent="0.2">
      <c r="A22" s="5" t="s">
        <v>30</v>
      </c>
      <c r="B22" s="6" t="s">
        <v>31</v>
      </c>
      <c r="C22" s="7">
        <f>'[6]Team Report'!BA44</f>
        <v>69.66</v>
      </c>
      <c r="E22" s="7">
        <f t="shared" si="1"/>
        <v>92.88</v>
      </c>
      <c r="G22" s="16">
        <f t="shared" si="0"/>
        <v>6.9990848842202568E-5</v>
      </c>
    </row>
    <row r="23" spans="1:7" x14ac:dyDescent="0.2">
      <c r="A23" s="8" t="s">
        <v>32</v>
      </c>
      <c r="B23" s="9" t="s">
        <v>33</v>
      </c>
      <c r="C23" s="10">
        <f>SUM(C8:C22)</f>
        <v>1020772.9699999999</v>
      </c>
      <c r="E23" s="10">
        <f>SUM(E8:E22)</f>
        <v>1327030.6266666665</v>
      </c>
      <c r="G23" s="17">
        <f t="shared" si="0"/>
        <v>1</v>
      </c>
    </row>
    <row r="25" spans="1:7" x14ac:dyDescent="0.2">
      <c r="B25" s="9" t="s">
        <v>57</v>
      </c>
      <c r="C25" s="7"/>
      <c r="E25" s="13">
        <v>10</v>
      </c>
    </row>
    <row r="26" spans="1:7" x14ac:dyDescent="0.2">
      <c r="C26" s="7"/>
      <c r="E26" s="7"/>
    </row>
    <row r="27" spans="1:7" x14ac:dyDescent="0.2">
      <c r="B27" s="9" t="s">
        <v>58</v>
      </c>
      <c r="C27" s="7"/>
      <c r="E27" s="13">
        <v>0</v>
      </c>
    </row>
    <row r="29" spans="1:7" x14ac:dyDescent="0.2">
      <c r="B29" s="9" t="s">
        <v>34</v>
      </c>
      <c r="E29" s="13">
        <f>SUM(E25:E28)</f>
        <v>10</v>
      </c>
    </row>
    <row r="31" spans="1:7" x14ac:dyDescent="0.2">
      <c r="A31" s="5" t="s">
        <v>35</v>
      </c>
      <c r="B31" s="6" t="s">
        <v>36</v>
      </c>
      <c r="C31" s="7">
        <f>'[6]Team Report'!BA29</f>
        <v>0</v>
      </c>
      <c r="E31" s="7">
        <f t="shared" ref="E31:E38" si="2">(C31/9)*12</f>
        <v>0</v>
      </c>
    </row>
    <row r="32" spans="1:7" x14ac:dyDescent="0.2">
      <c r="A32" s="5" t="s">
        <v>37</v>
      </c>
      <c r="B32" s="6" t="s">
        <v>38</v>
      </c>
      <c r="C32" s="7">
        <f>'[6]Team Report'!BA30</f>
        <v>0</v>
      </c>
      <c r="E32" s="7">
        <f t="shared" si="2"/>
        <v>0</v>
      </c>
    </row>
    <row r="33" spans="1:5" x14ac:dyDescent="0.2">
      <c r="A33" s="5" t="s">
        <v>39</v>
      </c>
      <c r="B33" s="6" t="s">
        <v>40</v>
      </c>
      <c r="C33" s="7">
        <f>'[6]Team Report'!BA31</f>
        <v>0</v>
      </c>
      <c r="E33" s="7">
        <f t="shared" si="2"/>
        <v>0</v>
      </c>
    </row>
    <row r="34" spans="1:5" x14ac:dyDescent="0.2">
      <c r="A34" s="5" t="s">
        <v>41</v>
      </c>
      <c r="B34" s="6" t="s">
        <v>42</v>
      </c>
      <c r="C34" s="7">
        <f>'[6]Team Report'!BA39</f>
        <v>3182</v>
      </c>
      <c r="E34" s="7">
        <f t="shared" si="2"/>
        <v>4242.6666666666661</v>
      </c>
    </row>
    <row r="35" spans="1:5" x14ac:dyDescent="0.2">
      <c r="A35" s="5" t="s">
        <v>43</v>
      </c>
      <c r="B35" s="6" t="s">
        <v>44</v>
      </c>
      <c r="C35" s="7">
        <f>'[6]Team Report'!BA40</f>
        <v>106558.61</v>
      </c>
      <c r="E35" s="7">
        <f t="shared" si="2"/>
        <v>142078.14666666667</v>
      </c>
    </row>
    <row r="36" spans="1:5" x14ac:dyDescent="0.2">
      <c r="A36" s="5" t="s">
        <v>45</v>
      </c>
      <c r="B36" s="6" t="s">
        <v>46</v>
      </c>
      <c r="C36" s="7">
        <f>'[6]Team Report'!BA41</f>
        <v>38415.71</v>
      </c>
      <c r="E36" s="7">
        <f t="shared" si="2"/>
        <v>51220.94666666667</v>
      </c>
    </row>
    <row r="37" spans="1:5" x14ac:dyDescent="0.2">
      <c r="A37" s="5" t="s">
        <v>47</v>
      </c>
      <c r="B37" s="6" t="s">
        <v>48</v>
      </c>
      <c r="C37" s="7">
        <f>'[6]Team Report'!BA43</f>
        <v>0</v>
      </c>
      <c r="E37" s="7">
        <f t="shared" si="2"/>
        <v>0</v>
      </c>
    </row>
    <row r="38" spans="1:5" x14ac:dyDescent="0.2">
      <c r="A38" s="5" t="s">
        <v>49</v>
      </c>
      <c r="B38" s="6" t="s">
        <v>50</v>
      </c>
      <c r="C38" s="7">
        <f>'[6]Team Report'!BA45</f>
        <v>0</v>
      </c>
      <c r="E38" s="7">
        <f t="shared" si="2"/>
        <v>0</v>
      </c>
    </row>
    <row r="44" spans="1:5" x14ac:dyDescent="0.2">
      <c r="C44" s="11">
        <f>C23+C31+C32+C33+C34+C35+C36+C37+C38</f>
        <v>1168929.2899999998</v>
      </c>
    </row>
  </sheetData>
  <mergeCells count="3">
    <mergeCell ref="B1:G1"/>
    <mergeCell ref="B3:G3"/>
    <mergeCell ref="B2:G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/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'[7]Team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'[7]Pull Sheet'!E9</f>
        <v>NG Structuring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'[7]Team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1</v>
      </c>
      <c r="E7" s="4" t="s">
        <v>2</v>
      </c>
      <c r="G7" s="4" t="s">
        <v>60</v>
      </c>
    </row>
    <row r="8" spans="1:44" x14ac:dyDescent="0.2">
      <c r="A8" s="5" t="s">
        <v>3</v>
      </c>
      <c r="B8" s="6" t="s">
        <v>4</v>
      </c>
      <c r="C8" s="7">
        <f>'[7]Team Report'!BA25-80500</f>
        <v>650833.97000000009</v>
      </c>
      <c r="E8" s="7">
        <f>(C8/9)*12</f>
        <v>867778.62666666671</v>
      </c>
      <c r="G8" s="16">
        <f>E8/$E$23</f>
        <v>0.48015496509873179</v>
      </c>
    </row>
    <row r="9" spans="1:44" x14ac:dyDescent="0.2">
      <c r="A9" s="5"/>
      <c r="B9" s="6" t="s">
        <v>5</v>
      </c>
      <c r="C9" s="7"/>
      <c r="E9" s="7">
        <f>C9</f>
        <v>0</v>
      </c>
      <c r="G9" s="16">
        <f t="shared" ref="G9:G23" si="0">E9/$E$23</f>
        <v>0</v>
      </c>
    </row>
    <row r="10" spans="1:44" x14ac:dyDescent="0.2">
      <c r="A10" s="5"/>
      <c r="B10" s="6" t="s">
        <v>53</v>
      </c>
      <c r="C10" s="7">
        <v>380700</v>
      </c>
      <c r="E10" s="7">
        <f>(C10/9)*12</f>
        <v>507600</v>
      </c>
      <c r="G10" s="16">
        <f t="shared" si="0"/>
        <v>0.28086271405453406</v>
      </c>
    </row>
    <row r="11" spans="1:44" x14ac:dyDescent="0.2">
      <c r="A11" s="5" t="s">
        <v>7</v>
      </c>
      <c r="B11" s="6" t="s">
        <v>8</v>
      </c>
      <c r="C11" s="7">
        <f>'[7]Team Report'!BA26-13716-7425</f>
        <v>142756.44</v>
      </c>
      <c r="E11" s="7">
        <f t="shared" ref="E11:E22" si="1">(C11/9)*12</f>
        <v>190341.92</v>
      </c>
      <c r="G11" s="16">
        <f t="shared" si="0"/>
        <v>0.10531904698493105</v>
      </c>
    </row>
    <row r="12" spans="1:44" x14ac:dyDescent="0.2">
      <c r="A12" s="5" t="s">
        <v>9</v>
      </c>
      <c r="B12" s="6" t="s">
        <v>10</v>
      </c>
      <c r="C12" s="7">
        <f>'[7]Team Report'!BA27</f>
        <v>43481.47</v>
      </c>
      <c r="E12" s="7">
        <f t="shared" si="1"/>
        <v>57975.293333333335</v>
      </c>
      <c r="G12" s="16">
        <f t="shared" si="0"/>
        <v>3.2078601721252431E-2</v>
      </c>
    </row>
    <row r="13" spans="1:44" x14ac:dyDescent="0.2">
      <c r="A13" s="5" t="s">
        <v>11</v>
      </c>
      <c r="B13" s="6" t="s">
        <v>12</v>
      </c>
      <c r="C13" s="7">
        <f>'[7]Team Report'!BA28</f>
        <v>50057.399999999994</v>
      </c>
      <c r="E13" s="7">
        <f t="shared" si="1"/>
        <v>66743.199999999983</v>
      </c>
      <c r="G13" s="16">
        <f t="shared" si="0"/>
        <v>3.6930016344926264E-2</v>
      </c>
    </row>
    <row r="14" spans="1:44" x14ac:dyDescent="0.2">
      <c r="A14" s="5" t="s">
        <v>14</v>
      </c>
      <c r="B14" s="6" t="s">
        <v>15</v>
      </c>
      <c r="C14" s="7">
        <f>'[7]Team Report'!BA32</f>
        <v>27468.620000000003</v>
      </c>
      <c r="E14" s="7">
        <f t="shared" si="1"/>
        <v>36624.826666666668</v>
      </c>
      <c r="G14" s="16">
        <f t="shared" si="0"/>
        <v>2.0265067414060034E-2</v>
      </c>
    </row>
    <row r="15" spans="1:44" x14ac:dyDescent="0.2">
      <c r="A15" s="5" t="s">
        <v>16</v>
      </c>
      <c r="B15" s="6" t="s">
        <v>17</v>
      </c>
      <c r="C15" s="7">
        <f>'[7]Team Report'!BA33</f>
        <v>8233.32</v>
      </c>
      <c r="E15" s="7">
        <f t="shared" si="1"/>
        <v>10977.759999999998</v>
      </c>
      <c r="G15" s="16">
        <f t="shared" si="0"/>
        <v>6.0741597081152504E-3</v>
      </c>
    </row>
    <row r="16" spans="1:44" x14ac:dyDescent="0.2">
      <c r="A16" s="5" t="s">
        <v>18</v>
      </c>
      <c r="B16" s="6" t="s">
        <v>19</v>
      </c>
      <c r="C16" s="7">
        <f>'[7]Team Report'!BA34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20</v>
      </c>
      <c r="B17" s="6" t="s">
        <v>21</v>
      </c>
      <c r="C17" s="7">
        <f>'[7]Team Report'!BA35</f>
        <v>0</v>
      </c>
      <c r="E17" s="7">
        <f t="shared" si="1"/>
        <v>0</v>
      </c>
      <c r="G17" s="16">
        <f t="shared" si="0"/>
        <v>0</v>
      </c>
    </row>
    <row r="18" spans="1:7" x14ac:dyDescent="0.2">
      <c r="A18" s="5" t="s">
        <v>22</v>
      </c>
      <c r="B18" s="6" t="s">
        <v>23</v>
      </c>
      <c r="C18" s="7">
        <f>'[7]Team Report'!BA36</f>
        <v>867.87</v>
      </c>
      <c r="E18" s="7">
        <f t="shared" si="1"/>
        <v>1157.1600000000001</v>
      </c>
      <c r="G18" s="16">
        <f t="shared" si="0"/>
        <v>6.4027403111770024E-4</v>
      </c>
    </row>
    <row r="19" spans="1:7" x14ac:dyDescent="0.2">
      <c r="A19" s="5" t="s">
        <v>24</v>
      </c>
      <c r="B19" s="6" t="s">
        <v>25</v>
      </c>
      <c r="C19" s="7">
        <f>'[7]Team Report'!BA37</f>
        <v>57072.299999999996</v>
      </c>
      <c r="E19" s="7">
        <f t="shared" si="1"/>
        <v>76096.399999999994</v>
      </c>
      <c r="G19" s="16">
        <f t="shared" si="0"/>
        <v>4.2105282572457534E-2</v>
      </c>
    </row>
    <row r="20" spans="1:7" x14ac:dyDescent="0.2">
      <c r="A20" s="5" t="s">
        <v>26</v>
      </c>
      <c r="B20" s="6" t="s">
        <v>27</v>
      </c>
      <c r="C20" s="7">
        <f>'[7]Team Report'!BA38</f>
        <v>0</v>
      </c>
      <c r="E20" s="7">
        <f t="shared" si="1"/>
        <v>0</v>
      </c>
      <c r="G20" s="16">
        <f t="shared" si="0"/>
        <v>0</v>
      </c>
    </row>
    <row r="21" spans="1:7" x14ac:dyDescent="0.2">
      <c r="A21" s="5" t="s">
        <v>28</v>
      </c>
      <c r="B21" s="6" t="s">
        <v>29</v>
      </c>
      <c r="C21" s="7">
        <f>'[7]Team Report'!BA42-250700-28359</f>
        <v>-6139.070000000007</v>
      </c>
      <c r="E21" s="7">
        <f t="shared" si="1"/>
        <v>-8185.4266666666754</v>
      </c>
      <c r="G21" s="16">
        <f t="shared" si="0"/>
        <v>-4.5291196794609145E-3</v>
      </c>
    </row>
    <row r="22" spans="1:7" x14ac:dyDescent="0.2">
      <c r="A22" s="5" t="s">
        <v>30</v>
      </c>
      <c r="B22" s="6" t="s">
        <v>31</v>
      </c>
      <c r="C22" s="7">
        <f>'[7]Team Report'!BA44</f>
        <v>134.17999999999998</v>
      </c>
      <c r="E22" s="7">
        <f t="shared" si="1"/>
        <v>178.90666666666664</v>
      </c>
      <c r="G22" s="16">
        <f t="shared" si="0"/>
        <v>9.8991749335007552E-5</v>
      </c>
    </row>
    <row r="23" spans="1:7" x14ac:dyDescent="0.2">
      <c r="A23" s="8" t="s">
        <v>32</v>
      </c>
      <c r="B23" s="9" t="s">
        <v>33</v>
      </c>
      <c r="C23" s="10">
        <f>SUM(C8:C22)</f>
        <v>1355466.5000000002</v>
      </c>
      <c r="E23" s="10">
        <f>SUM(E8:E22)</f>
        <v>1807288.6666666663</v>
      </c>
      <c r="G23" s="17">
        <f t="shared" si="0"/>
        <v>1</v>
      </c>
    </row>
    <row r="25" spans="1:7" x14ac:dyDescent="0.2">
      <c r="B25" s="9" t="s">
        <v>57</v>
      </c>
      <c r="C25" s="7"/>
      <c r="E25" s="13">
        <v>10</v>
      </c>
    </row>
    <row r="26" spans="1:7" x14ac:dyDescent="0.2">
      <c r="C26" s="7"/>
      <c r="E26" s="7"/>
    </row>
    <row r="27" spans="1:7" x14ac:dyDescent="0.2">
      <c r="B27" s="9" t="s">
        <v>58</v>
      </c>
      <c r="C27" s="7"/>
      <c r="E27" s="13">
        <v>8</v>
      </c>
    </row>
    <row r="29" spans="1:7" x14ac:dyDescent="0.2">
      <c r="B29" s="9" t="s">
        <v>34</v>
      </c>
      <c r="E29" s="13">
        <f>SUM(E25:E28)</f>
        <v>18</v>
      </c>
    </row>
    <row r="31" spans="1:7" x14ac:dyDescent="0.2">
      <c r="A31" s="5" t="s">
        <v>35</v>
      </c>
      <c r="B31" s="6" t="s">
        <v>36</v>
      </c>
      <c r="C31" s="7">
        <f>'[7]Team Report'!BA29</f>
        <v>0</v>
      </c>
      <c r="E31" s="7">
        <f t="shared" ref="E31:E38" si="2">(C31/9)*12</f>
        <v>0</v>
      </c>
    </row>
    <row r="32" spans="1:7" x14ac:dyDescent="0.2">
      <c r="A32" s="5" t="s">
        <v>37</v>
      </c>
      <c r="B32" s="6" t="s">
        <v>38</v>
      </c>
      <c r="C32" s="7">
        <f>'[7]Team Report'!BA30</f>
        <v>0</v>
      </c>
      <c r="E32" s="7">
        <f t="shared" si="2"/>
        <v>0</v>
      </c>
    </row>
    <row r="33" spans="1:5" x14ac:dyDescent="0.2">
      <c r="A33" s="5" t="s">
        <v>39</v>
      </c>
      <c r="B33" s="6" t="s">
        <v>40</v>
      </c>
      <c r="C33" s="7">
        <f>'[7]Team Report'!BA31</f>
        <v>0</v>
      </c>
      <c r="E33" s="7">
        <f t="shared" si="2"/>
        <v>0</v>
      </c>
    </row>
    <row r="34" spans="1:5" x14ac:dyDescent="0.2">
      <c r="A34" s="5" t="s">
        <v>41</v>
      </c>
      <c r="B34" s="6" t="s">
        <v>42</v>
      </c>
      <c r="C34" s="7">
        <f>'[7]Team Report'!BA39</f>
        <v>0</v>
      </c>
      <c r="E34" s="7">
        <f t="shared" si="2"/>
        <v>0</v>
      </c>
    </row>
    <row r="35" spans="1:5" x14ac:dyDescent="0.2">
      <c r="A35" s="5" t="s">
        <v>43</v>
      </c>
      <c r="B35" s="6" t="s">
        <v>44</v>
      </c>
      <c r="C35" s="7">
        <f>'[7]Team Report'!BA40</f>
        <v>10682.17</v>
      </c>
      <c r="E35" s="7">
        <f t="shared" si="2"/>
        <v>14242.893333333333</v>
      </c>
    </row>
    <row r="36" spans="1:5" x14ac:dyDescent="0.2">
      <c r="A36" s="5" t="s">
        <v>45</v>
      </c>
      <c r="B36" s="6" t="s">
        <v>46</v>
      </c>
      <c r="C36" s="7">
        <f>'[7]Team Report'!BA41</f>
        <v>61903.02</v>
      </c>
      <c r="E36" s="7">
        <f t="shared" si="2"/>
        <v>82537.359999999986</v>
      </c>
    </row>
    <row r="37" spans="1:5" x14ac:dyDescent="0.2">
      <c r="A37" s="5" t="s">
        <v>47</v>
      </c>
      <c r="B37" s="6" t="s">
        <v>48</v>
      </c>
      <c r="C37" s="7">
        <f>'[7]Team Report'!BA43</f>
        <v>0</v>
      </c>
      <c r="E37" s="7">
        <f t="shared" si="2"/>
        <v>0</v>
      </c>
    </row>
    <row r="38" spans="1:5" x14ac:dyDescent="0.2">
      <c r="A38" s="5" t="s">
        <v>49</v>
      </c>
      <c r="B38" s="6" t="s">
        <v>50</v>
      </c>
      <c r="C38" s="7">
        <f>'[7]Team Report'!BA45</f>
        <v>0</v>
      </c>
      <c r="E38" s="7">
        <f t="shared" si="2"/>
        <v>0</v>
      </c>
    </row>
    <row r="44" spans="1:5" x14ac:dyDescent="0.2">
      <c r="C44" s="11">
        <f>C23+C31+C32+C33+C34+C35+C36+C37+C38</f>
        <v>1428051.6900000002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zoomScaleNormal="100" workbookViewId="0"/>
  </sheetViews>
  <sheetFormatPr defaultRowHeight="12.75" x14ac:dyDescent="0.2"/>
  <cols>
    <col min="2" max="2" width="23.42578125" bestFit="1" customWidth="1"/>
    <col min="3" max="3" width="15.8554687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18" t="str">
        <f>'[8]Team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8" t="str">
        <f>'[8]Pull Sheet'!E9</f>
        <v>Texas Gas Trading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9">
        <f>'[8]Team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1</v>
      </c>
      <c r="E7" s="4" t="s">
        <v>2</v>
      </c>
      <c r="G7" s="4" t="s">
        <v>60</v>
      </c>
    </row>
    <row r="8" spans="1:44" x14ac:dyDescent="0.2">
      <c r="A8" s="5" t="s">
        <v>3</v>
      </c>
      <c r="B8" s="6" t="s">
        <v>4</v>
      </c>
      <c r="C8" s="7">
        <f>'[8]Team Report'!BA25-27500-228500</f>
        <v>775180.66999999993</v>
      </c>
      <c r="E8" s="7">
        <f>(C8/9)*12</f>
        <v>1033574.2266666666</v>
      </c>
      <c r="G8" s="16">
        <f>E8/$E$23</f>
        <v>0.56915860679949737</v>
      </c>
    </row>
    <row r="9" spans="1:44" x14ac:dyDescent="0.2">
      <c r="A9" s="5"/>
      <c r="B9" s="6" t="s">
        <v>5</v>
      </c>
      <c r="C9" s="7">
        <v>228500</v>
      </c>
      <c r="E9" s="7">
        <f>C9</f>
        <v>228500</v>
      </c>
      <c r="G9" s="16">
        <f t="shared" ref="G9:G23" si="0">E9/$E$23</f>
        <v>0.12582815853788495</v>
      </c>
    </row>
    <row r="10" spans="1:44" x14ac:dyDescent="0.2">
      <c r="A10" s="5"/>
      <c r="B10" s="6" t="s">
        <v>6</v>
      </c>
      <c r="C10" s="7">
        <v>161299</v>
      </c>
      <c r="E10" s="7">
        <f>(C10/9)*12</f>
        <v>215065.33333333331</v>
      </c>
      <c r="G10" s="16">
        <f t="shared" si="0"/>
        <v>0.11843008690883911</v>
      </c>
    </row>
    <row r="11" spans="1:44" x14ac:dyDescent="0.2">
      <c r="A11" s="5" t="s">
        <v>7</v>
      </c>
      <c r="B11" s="6" t="s">
        <v>8</v>
      </c>
      <c r="C11" s="7">
        <f>'[8]Team Report'!BA26-5350-2475</f>
        <v>153216.99000000002</v>
      </c>
      <c r="E11" s="7">
        <f t="shared" ref="E11:E22" si="1">(C11/9)*12</f>
        <v>204289.32</v>
      </c>
      <c r="G11" s="16">
        <f t="shared" si="0"/>
        <v>0.11249605665013879</v>
      </c>
    </row>
    <row r="12" spans="1:44" x14ac:dyDescent="0.2">
      <c r="A12" s="5" t="s">
        <v>9</v>
      </c>
      <c r="B12" s="6" t="s">
        <v>10</v>
      </c>
      <c r="C12" s="7">
        <f>'[8]Team Report'!BA27</f>
        <v>70914.559999999998</v>
      </c>
      <c r="E12" s="7">
        <f t="shared" si="1"/>
        <v>94552.746666666659</v>
      </c>
      <c r="G12" s="16">
        <f t="shared" si="0"/>
        <v>5.2067387298756256E-2</v>
      </c>
    </row>
    <row r="13" spans="1:44" x14ac:dyDescent="0.2">
      <c r="A13" s="5" t="s">
        <v>11</v>
      </c>
      <c r="B13" s="6" t="s">
        <v>12</v>
      </c>
      <c r="C13" s="7">
        <f>'[8]Team Report'!BA28</f>
        <v>21515.25</v>
      </c>
      <c r="E13" s="7">
        <f t="shared" si="1"/>
        <v>28687</v>
      </c>
      <c r="G13" s="16">
        <f t="shared" si="0"/>
        <v>1.5797078266854728E-2</v>
      </c>
    </row>
    <row r="14" spans="1:44" x14ac:dyDescent="0.2">
      <c r="A14" s="5" t="s">
        <v>14</v>
      </c>
      <c r="B14" s="6" t="s">
        <v>15</v>
      </c>
      <c r="C14" s="7">
        <f>'[8]Team Report'!BA32</f>
        <v>1599.1900000000023</v>
      </c>
      <c r="E14" s="7">
        <f t="shared" si="1"/>
        <v>2132.2533333333363</v>
      </c>
      <c r="G14" s="16">
        <f t="shared" si="0"/>
        <v>1.1741685359719942E-3</v>
      </c>
    </row>
    <row r="15" spans="1:44" x14ac:dyDescent="0.2">
      <c r="A15" s="5" t="s">
        <v>16</v>
      </c>
      <c r="B15" s="6" t="s">
        <v>17</v>
      </c>
      <c r="C15" s="7">
        <f>'[8]Team Report'!BA33</f>
        <v>4958.8200000000006</v>
      </c>
      <c r="E15" s="7">
        <f t="shared" si="1"/>
        <v>6611.76</v>
      </c>
      <c r="G15" s="16">
        <f t="shared" si="0"/>
        <v>3.6408997176999836E-3</v>
      </c>
    </row>
    <row r="16" spans="1:44" x14ac:dyDescent="0.2">
      <c r="A16" s="5" t="s">
        <v>18</v>
      </c>
      <c r="B16" s="6" t="s">
        <v>19</v>
      </c>
      <c r="C16" s="7">
        <f>'[8]Team Report'!BA34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20</v>
      </c>
      <c r="B17" s="6" t="s">
        <v>21</v>
      </c>
      <c r="C17" s="7">
        <f>'[8]Team Report'!BA35</f>
        <v>0</v>
      </c>
      <c r="E17" s="7">
        <f t="shared" si="1"/>
        <v>0</v>
      </c>
      <c r="G17" s="16">
        <f t="shared" si="0"/>
        <v>0</v>
      </c>
    </row>
    <row r="18" spans="1:7" x14ac:dyDescent="0.2">
      <c r="A18" s="5" t="s">
        <v>22</v>
      </c>
      <c r="B18" s="6" t="s">
        <v>23</v>
      </c>
      <c r="C18" s="7">
        <f>'[8]Team Report'!BA36</f>
        <v>65</v>
      </c>
      <c r="E18" s="7">
        <f t="shared" si="1"/>
        <v>86.666666666666671</v>
      </c>
      <c r="G18" s="16">
        <f t="shared" si="0"/>
        <v>4.7724757432312311E-5</v>
      </c>
    </row>
    <row r="19" spans="1:7" x14ac:dyDescent="0.2">
      <c r="A19" s="5" t="s">
        <v>24</v>
      </c>
      <c r="B19" s="6" t="s">
        <v>25</v>
      </c>
      <c r="C19" s="7">
        <f>'[8]Team Report'!BA37</f>
        <v>470.88999999999942</v>
      </c>
      <c r="E19" s="7">
        <f t="shared" si="1"/>
        <v>627.85333333333256</v>
      </c>
      <c r="G19" s="16">
        <f t="shared" si="0"/>
        <v>3.4574016965079253E-4</v>
      </c>
    </row>
    <row r="20" spans="1:7" x14ac:dyDescent="0.2">
      <c r="A20" s="5" t="s">
        <v>26</v>
      </c>
      <c r="B20" s="6" t="s">
        <v>27</v>
      </c>
      <c r="C20" s="7">
        <f>'[8]Team Report'!BA38</f>
        <v>0</v>
      </c>
      <c r="E20" s="7">
        <f t="shared" si="1"/>
        <v>0</v>
      </c>
      <c r="G20" s="16">
        <f t="shared" si="0"/>
        <v>0</v>
      </c>
    </row>
    <row r="21" spans="1:7" x14ac:dyDescent="0.2">
      <c r="A21" s="5" t="s">
        <v>28</v>
      </c>
      <c r="B21" s="6" t="s">
        <v>29</v>
      </c>
      <c r="C21" s="7">
        <f>'[8]Team Report'!BA42-109600-16374</f>
        <v>1198.3000000000029</v>
      </c>
      <c r="E21" s="7">
        <f t="shared" si="1"/>
        <v>1597.7333333333372</v>
      </c>
      <c r="G21" s="16">
        <f t="shared" si="0"/>
        <v>8.7982425894061501E-4</v>
      </c>
    </row>
    <row r="22" spans="1:7" x14ac:dyDescent="0.2">
      <c r="A22" s="5" t="s">
        <v>30</v>
      </c>
      <c r="B22" s="6" t="s">
        <v>31</v>
      </c>
      <c r="C22" s="7">
        <f>'[8]Team Report'!BA44</f>
        <v>182.87</v>
      </c>
      <c r="E22" s="7">
        <f t="shared" si="1"/>
        <v>243.82666666666665</v>
      </c>
      <c r="G22" s="16">
        <f t="shared" si="0"/>
        <v>1.3426809833303003E-4</v>
      </c>
    </row>
    <row r="23" spans="1:7" x14ac:dyDescent="0.2">
      <c r="A23" s="8" t="s">
        <v>32</v>
      </c>
      <c r="B23" s="9" t="s">
        <v>33</v>
      </c>
      <c r="C23" s="10">
        <f>SUM(C8:C22)</f>
        <v>1419101.54</v>
      </c>
      <c r="E23" s="10">
        <f>SUM(E8:E22)</f>
        <v>1815968.72</v>
      </c>
      <c r="G23" s="17">
        <f t="shared" si="0"/>
        <v>1</v>
      </c>
    </row>
    <row r="25" spans="1:7" x14ac:dyDescent="0.2">
      <c r="B25" s="9" t="s">
        <v>57</v>
      </c>
      <c r="C25" s="7"/>
      <c r="E25" s="13">
        <v>5</v>
      </c>
    </row>
    <row r="26" spans="1:7" x14ac:dyDescent="0.2">
      <c r="C26" s="7"/>
      <c r="E26" s="7"/>
    </row>
    <row r="27" spans="1:7" x14ac:dyDescent="0.2">
      <c r="B27" s="9" t="s">
        <v>58</v>
      </c>
      <c r="C27" s="7"/>
      <c r="E27" s="13">
        <v>3</v>
      </c>
    </row>
    <row r="29" spans="1:7" x14ac:dyDescent="0.2">
      <c r="B29" s="9" t="s">
        <v>34</v>
      </c>
      <c r="E29" s="13">
        <f>SUM(E25:E27)</f>
        <v>8</v>
      </c>
    </row>
    <row r="31" spans="1:7" x14ac:dyDescent="0.2">
      <c r="A31" s="5" t="s">
        <v>35</v>
      </c>
      <c r="B31" s="6" t="s">
        <v>36</v>
      </c>
      <c r="C31" s="7">
        <f>'[8]Team Report'!BA29</f>
        <v>0</v>
      </c>
      <c r="E31" s="7">
        <f t="shared" ref="E31:E38" si="2">(C31/9)*12</f>
        <v>0</v>
      </c>
    </row>
    <row r="32" spans="1:7" x14ac:dyDescent="0.2">
      <c r="A32" s="5" t="s">
        <v>37</v>
      </c>
      <c r="B32" s="6" t="s">
        <v>38</v>
      </c>
      <c r="C32" s="7">
        <f>'[8]Team Report'!BA30</f>
        <v>0</v>
      </c>
      <c r="E32" s="7">
        <f t="shared" si="2"/>
        <v>0</v>
      </c>
    </row>
    <row r="33" spans="1:5" x14ac:dyDescent="0.2">
      <c r="A33" s="5" t="s">
        <v>39</v>
      </c>
      <c r="B33" s="6" t="s">
        <v>40</v>
      </c>
      <c r="C33" s="7">
        <f>'[8]Team Report'!BA31</f>
        <v>0</v>
      </c>
      <c r="E33" s="7">
        <f t="shared" si="2"/>
        <v>0</v>
      </c>
    </row>
    <row r="34" spans="1:5" x14ac:dyDescent="0.2">
      <c r="A34" s="5" t="s">
        <v>41</v>
      </c>
      <c r="B34" s="6" t="s">
        <v>42</v>
      </c>
      <c r="C34" s="7">
        <f>'[8]Team Report'!BA39</f>
        <v>1050935.19</v>
      </c>
      <c r="E34" s="7">
        <f t="shared" si="2"/>
        <v>1401246.92</v>
      </c>
    </row>
    <row r="35" spans="1:5" x14ac:dyDescent="0.2">
      <c r="A35" s="5" t="s">
        <v>43</v>
      </c>
      <c r="B35" s="6" t="s">
        <v>44</v>
      </c>
      <c r="C35" s="7">
        <f>'[8]Team Report'!BA40</f>
        <v>540124.86</v>
      </c>
      <c r="E35" s="7">
        <f t="shared" si="2"/>
        <v>720166.48</v>
      </c>
    </row>
    <row r="36" spans="1:5" x14ac:dyDescent="0.2">
      <c r="A36" s="5" t="s">
        <v>45</v>
      </c>
      <c r="B36" s="6" t="s">
        <v>46</v>
      </c>
      <c r="C36" s="7">
        <f>'[8]Team Report'!BA41</f>
        <v>73187.179999999978</v>
      </c>
      <c r="E36" s="7">
        <f t="shared" si="2"/>
        <v>97582.906666666633</v>
      </c>
    </row>
    <row r="37" spans="1:5" x14ac:dyDescent="0.2">
      <c r="A37" s="5" t="s">
        <v>47</v>
      </c>
      <c r="B37" s="6" t="s">
        <v>48</v>
      </c>
      <c r="C37" s="7">
        <f>'[8]Team Report'!BA43</f>
        <v>0</v>
      </c>
      <c r="E37" s="7">
        <f t="shared" si="2"/>
        <v>0</v>
      </c>
    </row>
    <row r="38" spans="1:5" x14ac:dyDescent="0.2">
      <c r="A38" s="5" t="s">
        <v>49</v>
      </c>
      <c r="B38" s="6" t="s">
        <v>50</v>
      </c>
      <c r="C38" s="7">
        <f>'[8]Team Report'!BA45</f>
        <v>0</v>
      </c>
      <c r="E38" s="7">
        <f t="shared" si="2"/>
        <v>0</v>
      </c>
    </row>
    <row r="44" spans="1:5" x14ac:dyDescent="0.2">
      <c r="C44" s="11">
        <f>C23+C31+C32+C33+C34+C35+C36+C37+C38</f>
        <v>3083348.77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Natural Gas Consolidated</vt:lpstr>
      <vt:lpstr>Central Trading</vt:lpstr>
      <vt:lpstr>Central Origination</vt:lpstr>
      <vt:lpstr>Derivatives</vt:lpstr>
      <vt:lpstr>East Trading</vt:lpstr>
      <vt:lpstr>East Origination</vt:lpstr>
      <vt:lpstr>Financial Gas</vt:lpstr>
      <vt:lpstr>Structuring</vt:lpstr>
      <vt:lpstr>Texas Trading</vt:lpstr>
      <vt:lpstr>Texas Origination</vt:lpstr>
      <vt:lpstr>West Trading</vt:lpstr>
      <vt:lpstr>West Origination</vt:lpstr>
      <vt:lpstr>Fundamentals</vt:lpstr>
      <vt:lpstr>'Central Origination'!Print_Area</vt:lpstr>
      <vt:lpstr>'Central Trading'!Print_Area</vt:lpstr>
      <vt:lpstr>Derivatives!Print_Area</vt:lpstr>
      <vt:lpstr>'East Origination'!Print_Area</vt:lpstr>
      <vt:lpstr>'East Trading'!Print_Area</vt:lpstr>
      <vt:lpstr>'Financial Gas'!Print_Area</vt:lpstr>
      <vt:lpstr>Fundamentals!Print_Area</vt:lpstr>
      <vt:lpstr>'Natural Gas Consolidated'!Print_Area</vt:lpstr>
      <vt:lpstr>Structuring!Print_Area</vt:lpstr>
      <vt:lpstr>'Texas Origination'!Print_Area</vt:lpstr>
      <vt:lpstr>'Texas Trading'!Print_Area</vt:lpstr>
      <vt:lpstr>'West Origination'!Print_Area</vt:lpstr>
      <vt:lpstr>'West Trading'!Print_Area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thardy</dc:creator>
  <cp:lastModifiedBy>Felienne</cp:lastModifiedBy>
  <cp:lastPrinted>2001-12-01T23:02:10Z</cp:lastPrinted>
  <dcterms:created xsi:type="dcterms:W3CDTF">2001-12-01T21:45:18Z</dcterms:created>
  <dcterms:modified xsi:type="dcterms:W3CDTF">2014-09-04T14:21:40Z</dcterms:modified>
</cp:coreProperties>
</file>