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/>
  </bookViews>
  <sheets>
    <sheet name="Consolidated West Power" sheetId="6" r:id="rId1"/>
    <sheet name="Executive Orig" sheetId="7" r:id="rId2"/>
    <sheet name="Origination" sheetId="4" r:id="rId3"/>
    <sheet name="Generaton" sheetId="2" r:id="rId4"/>
    <sheet name="Trading" sheetId="5" r:id="rId5"/>
    <sheet name="Mid Market" sheetId="1" r:id="rId6"/>
    <sheet name="Services" sheetId="3" r:id="rId7"/>
    <sheet name="Fundamental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'Consolidated West Power'!$B$1:$I$29</definedName>
    <definedName name="_xlnm.Print_Area" localSheetId="1">'Executive Orig'!$B$1:$I$39</definedName>
    <definedName name="_xlnm.Print_Area" localSheetId="7">Fundamentals!$B$1:$I$39</definedName>
    <definedName name="_xlnm.Print_Area" localSheetId="3">Generaton!$B$1:$I$41</definedName>
    <definedName name="_xlnm.Print_Area" localSheetId="5">'Mid Market'!$B$1:$I$40</definedName>
    <definedName name="_xlnm.Print_Area" localSheetId="2">Origination!$B$1:$I$41</definedName>
    <definedName name="_xlnm.Print_Area" localSheetId="6">Services!$B$1:$I$40</definedName>
    <definedName name="_xlnm.Print_Area" localSheetId="4">Trading!$B$1:$I$44</definedName>
  </definedNames>
  <calcPr calcId="152511"/>
</workbook>
</file>

<file path=xl/calcChain.xml><?xml version="1.0" encoding="utf-8"?>
<calcChain xmlns="http://schemas.openxmlformats.org/spreadsheetml/2006/main">
  <c r="B1" i="6" l="1"/>
  <c r="B3" i="6"/>
  <c r="C9" i="6"/>
  <c r="E9" i="6"/>
  <c r="C15" i="6"/>
  <c r="E15" i="6" s="1"/>
  <c r="E25" i="6"/>
  <c r="E27" i="6"/>
  <c r="E29" i="6" s="1"/>
  <c r="B1" i="7"/>
  <c r="B2" i="7"/>
  <c r="B3" i="7"/>
  <c r="C8" i="7"/>
  <c r="E8" i="7" s="1"/>
  <c r="E9" i="7"/>
  <c r="E10" i="7"/>
  <c r="C11" i="7"/>
  <c r="E11" i="7" s="1"/>
  <c r="C12" i="7"/>
  <c r="E12" i="7"/>
  <c r="C13" i="7"/>
  <c r="E13" i="7"/>
  <c r="C14" i="7"/>
  <c r="E14" i="7" s="1"/>
  <c r="C15" i="7"/>
  <c r="E15" i="7" s="1"/>
  <c r="C16" i="7"/>
  <c r="C16" i="6" s="1"/>
  <c r="E16" i="6" s="1"/>
  <c r="E16" i="7"/>
  <c r="C17" i="7"/>
  <c r="E17" i="7"/>
  <c r="C18" i="7"/>
  <c r="E18" i="7"/>
  <c r="C19" i="7"/>
  <c r="E19" i="7" s="1"/>
  <c r="C20" i="7"/>
  <c r="E20" i="7"/>
  <c r="C21" i="7"/>
  <c r="C21" i="6" s="1"/>
  <c r="E21" i="6" s="1"/>
  <c r="E21" i="7"/>
  <c r="C22" i="7"/>
  <c r="E22" i="7" s="1"/>
  <c r="E29" i="7"/>
  <c r="C31" i="7"/>
  <c r="E31" i="7" s="1"/>
  <c r="C32" i="7"/>
  <c r="E32" i="7"/>
  <c r="C33" i="7"/>
  <c r="E33" i="7" s="1"/>
  <c r="C34" i="7"/>
  <c r="E34" i="7"/>
  <c r="C35" i="7"/>
  <c r="E35" i="7" s="1"/>
  <c r="C36" i="7"/>
  <c r="E36" i="7"/>
  <c r="C37" i="7"/>
  <c r="E37" i="7" s="1"/>
  <c r="C38" i="7"/>
  <c r="E38" i="7"/>
  <c r="B1" i="8"/>
  <c r="B2" i="8"/>
  <c r="B3" i="8"/>
  <c r="C8" i="8"/>
  <c r="C23" i="8" s="1"/>
  <c r="E8" i="8"/>
  <c r="E9" i="8"/>
  <c r="E10" i="8"/>
  <c r="C11" i="8"/>
  <c r="E11" i="8"/>
  <c r="C12" i="8"/>
  <c r="E12" i="8"/>
  <c r="C13" i="8"/>
  <c r="E13" i="8" s="1"/>
  <c r="C14" i="8"/>
  <c r="E14" i="8"/>
  <c r="C15" i="8"/>
  <c r="E15" i="8"/>
  <c r="C16" i="8"/>
  <c r="E16" i="8" s="1"/>
  <c r="C17" i="8"/>
  <c r="E17" i="8" s="1"/>
  <c r="C18" i="8"/>
  <c r="E18" i="8"/>
  <c r="C19" i="8"/>
  <c r="E19" i="8"/>
  <c r="C20" i="8"/>
  <c r="E20" i="8"/>
  <c r="C21" i="8"/>
  <c r="E21" i="8" s="1"/>
  <c r="C22" i="8"/>
  <c r="E22" i="8"/>
  <c r="E29" i="8"/>
  <c r="C31" i="8"/>
  <c r="E31" i="8"/>
  <c r="C32" i="8"/>
  <c r="E32" i="8" s="1"/>
  <c r="C33" i="8"/>
  <c r="E33" i="8"/>
  <c r="C34" i="8"/>
  <c r="E34" i="8" s="1"/>
  <c r="C35" i="8"/>
  <c r="E35" i="8"/>
  <c r="C36" i="8"/>
  <c r="E36" i="8" s="1"/>
  <c r="C37" i="8"/>
  <c r="E37" i="8"/>
  <c r="C38" i="8"/>
  <c r="E38" i="8" s="1"/>
  <c r="B1" i="2"/>
  <c r="B2" i="2"/>
  <c r="B3" i="2"/>
  <c r="C8" i="2"/>
  <c r="E8" i="2"/>
  <c r="E23" i="2" s="1"/>
  <c r="E9" i="2"/>
  <c r="G9" i="2" s="1"/>
  <c r="C10" i="2"/>
  <c r="E10" i="2"/>
  <c r="C11" i="2"/>
  <c r="E11" i="2"/>
  <c r="C12" i="2"/>
  <c r="E12" i="2" s="1"/>
  <c r="C13" i="2"/>
  <c r="E13" i="2"/>
  <c r="G13" i="2" s="1"/>
  <c r="C14" i="2"/>
  <c r="E14" i="2"/>
  <c r="C15" i="2"/>
  <c r="E15" i="2" s="1"/>
  <c r="C16" i="2"/>
  <c r="E16" i="2" s="1"/>
  <c r="C17" i="2"/>
  <c r="C17" i="6" s="1"/>
  <c r="E17" i="6" s="1"/>
  <c r="E17" i="2"/>
  <c r="C18" i="2"/>
  <c r="E18" i="2"/>
  <c r="C19" i="2"/>
  <c r="E19" i="2"/>
  <c r="C20" i="2"/>
  <c r="E20" i="2" s="1"/>
  <c r="C21" i="2"/>
  <c r="E21" i="2"/>
  <c r="C22" i="2"/>
  <c r="E22" i="2"/>
  <c r="E29" i="2"/>
  <c r="C31" i="2"/>
  <c r="E31" i="2"/>
  <c r="C32" i="2"/>
  <c r="E32" i="2"/>
  <c r="C33" i="2"/>
  <c r="E33" i="2" s="1"/>
  <c r="C34" i="2"/>
  <c r="E34" i="2"/>
  <c r="C35" i="2"/>
  <c r="E35" i="2"/>
  <c r="C36" i="2"/>
  <c r="E36" i="2"/>
  <c r="C37" i="2"/>
  <c r="E37" i="2" s="1"/>
  <c r="C38" i="2"/>
  <c r="E38" i="2"/>
  <c r="C39" i="2"/>
  <c r="E39" i="2"/>
  <c r="B1" i="1"/>
  <c r="B2" i="1"/>
  <c r="B3" i="1"/>
  <c r="C8" i="1"/>
  <c r="E8" i="1"/>
  <c r="E9" i="1"/>
  <c r="C11" i="1"/>
  <c r="E11" i="1" s="1"/>
  <c r="C12" i="1"/>
  <c r="E12" i="1"/>
  <c r="C13" i="1"/>
  <c r="E13" i="1"/>
  <c r="C14" i="1"/>
  <c r="E14" i="1" s="1"/>
  <c r="C15" i="1"/>
  <c r="E15" i="1" s="1"/>
  <c r="C16" i="1"/>
  <c r="E16" i="1"/>
  <c r="C17" i="1"/>
  <c r="E17" i="1"/>
  <c r="C18" i="1"/>
  <c r="E18" i="1"/>
  <c r="C19" i="1"/>
  <c r="E19" i="1" s="1"/>
  <c r="C20" i="1"/>
  <c r="E20" i="1"/>
  <c r="C21" i="1"/>
  <c r="E21" i="1"/>
  <c r="C22" i="1"/>
  <c r="E22" i="1" s="1"/>
  <c r="E29" i="1"/>
  <c r="C31" i="1"/>
  <c r="E31" i="1" s="1"/>
  <c r="C32" i="1"/>
  <c r="E32" i="1"/>
  <c r="C33" i="1"/>
  <c r="E33" i="1" s="1"/>
  <c r="C34" i="1"/>
  <c r="E34" i="1"/>
  <c r="C35" i="1"/>
  <c r="E35" i="1" s="1"/>
  <c r="C36" i="1"/>
  <c r="E36" i="1"/>
  <c r="C37" i="1"/>
  <c r="E37" i="1" s="1"/>
  <c r="C38" i="1"/>
  <c r="E38" i="1"/>
  <c r="B1" i="4"/>
  <c r="B2" i="4"/>
  <c r="B3" i="4"/>
  <c r="C8" i="4"/>
  <c r="E8" i="4"/>
  <c r="E9" i="4"/>
  <c r="C10" i="4"/>
  <c r="E10" i="4" s="1"/>
  <c r="C11" i="4"/>
  <c r="E11" i="4"/>
  <c r="C12" i="4"/>
  <c r="E12" i="4"/>
  <c r="C13" i="4"/>
  <c r="E13" i="4" s="1"/>
  <c r="C14" i="4"/>
  <c r="E14" i="4" s="1"/>
  <c r="C15" i="4"/>
  <c r="E15" i="4"/>
  <c r="C16" i="4"/>
  <c r="E16" i="4"/>
  <c r="C17" i="4"/>
  <c r="E17" i="4"/>
  <c r="C18" i="4"/>
  <c r="E18" i="4" s="1"/>
  <c r="C19" i="4"/>
  <c r="E19" i="4"/>
  <c r="C20" i="4"/>
  <c r="E20" i="4"/>
  <c r="C21" i="4"/>
  <c r="E21" i="4" s="1"/>
  <c r="C22" i="4"/>
  <c r="E22" i="4" s="1"/>
  <c r="E29" i="4"/>
  <c r="C31" i="4"/>
  <c r="E31" i="4"/>
  <c r="C32" i="4"/>
  <c r="E32" i="4"/>
  <c r="C33" i="4"/>
  <c r="E33" i="4"/>
  <c r="C34" i="4"/>
  <c r="E34" i="4" s="1"/>
  <c r="C35" i="4"/>
  <c r="E35" i="4"/>
  <c r="C36" i="4"/>
  <c r="E36" i="4"/>
  <c r="C37" i="4"/>
  <c r="E37" i="4"/>
  <c r="C38" i="4"/>
  <c r="E38" i="4" s="1"/>
  <c r="E39" i="4"/>
  <c r="C40" i="4"/>
  <c r="E40" i="4" s="1"/>
  <c r="B1" i="3"/>
  <c r="B2" i="3"/>
  <c r="B3" i="3"/>
  <c r="C8" i="3"/>
  <c r="E8" i="3" s="1"/>
  <c r="E9" i="3"/>
  <c r="E10" i="3"/>
  <c r="C11" i="3"/>
  <c r="E11" i="3" s="1"/>
  <c r="C12" i="3"/>
  <c r="E12" i="3"/>
  <c r="C13" i="3"/>
  <c r="E13" i="3"/>
  <c r="C14" i="3"/>
  <c r="E14" i="3" s="1"/>
  <c r="C15" i="3"/>
  <c r="E15" i="3" s="1"/>
  <c r="C16" i="3"/>
  <c r="E16" i="3"/>
  <c r="C17" i="3"/>
  <c r="E17" i="3"/>
  <c r="C18" i="3"/>
  <c r="E18" i="3"/>
  <c r="C19" i="3"/>
  <c r="E19" i="3" s="1"/>
  <c r="C20" i="3"/>
  <c r="E20" i="3"/>
  <c r="C21" i="3"/>
  <c r="E21" i="3"/>
  <c r="C22" i="3"/>
  <c r="E22" i="3" s="1"/>
  <c r="E29" i="3"/>
  <c r="C31" i="3"/>
  <c r="E31" i="3" s="1"/>
  <c r="C32" i="3"/>
  <c r="E32" i="3"/>
  <c r="C33" i="3"/>
  <c r="E33" i="3" s="1"/>
  <c r="C34" i="3"/>
  <c r="E34" i="3"/>
  <c r="C35" i="3"/>
  <c r="E35" i="3" s="1"/>
  <c r="C36" i="3"/>
  <c r="E36" i="3"/>
  <c r="C37" i="3"/>
  <c r="E37" i="3" s="1"/>
  <c r="C38" i="3"/>
  <c r="E38" i="3"/>
  <c r="B1" i="5"/>
  <c r="B2" i="5"/>
  <c r="B3" i="5"/>
  <c r="C8" i="5"/>
  <c r="C8" i="6" s="1"/>
  <c r="E8" i="5"/>
  <c r="E9" i="5"/>
  <c r="C10" i="5"/>
  <c r="C10" i="6" s="1"/>
  <c r="E10" i="6" s="1"/>
  <c r="C11" i="5"/>
  <c r="E11" i="5"/>
  <c r="C12" i="5"/>
  <c r="E12" i="5"/>
  <c r="C14" i="5"/>
  <c r="E14" i="5" s="1"/>
  <c r="C15" i="5"/>
  <c r="E15" i="5"/>
  <c r="C16" i="5"/>
  <c r="E16" i="5"/>
  <c r="C17" i="5"/>
  <c r="E17" i="5"/>
  <c r="C18" i="5"/>
  <c r="C18" i="6" s="1"/>
  <c r="E18" i="6" s="1"/>
  <c r="C19" i="5"/>
  <c r="E19" i="5"/>
  <c r="C20" i="5"/>
  <c r="E20" i="5"/>
  <c r="C21" i="5"/>
  <c r="E21" i="5" s="1"/>
  <c r="C22" i="5"/>
  <c r="E22" i="5" s="1"/>
  <c r="E29" i="5"/>
  <c r="C31" i="5"/>
  <c r="E31" i="5"/>
  <c r="C32" i="5"/>
  <c r="E32" i="5"/>
  <c r="C33" i="5"/>
  <c r="E33" i="5"/>
  <c r="C34" i="5"/>
  <c r="E34" i="5" s="1"/>
  <c r="C35" i="5"/>
  <c r="E35" i="5"/>
  <c r="C36" i="5"/>
  <c r="E36" i="5"/>
  <c r="C37" i="5"/>
  <c r="E37" i="5"/>
  <c r="C38" i="5"/>
  <c r="E38" i="5" s="1"/>
  <c r="C39" i="5"/>
  <c r="C13" i="5" s="1"/>
  <c r="E13" i="5" s="1"/>
  <c r="C40" i="5"/>
  <c r="E41" i="5"/>
  <c r="G13" i="4" l="1"/>
  <c r="G9" i="7"/>
  <c r="G14" i="7"/>
  <c r="E23" i="7"/>
  <c r="G22" i="4"/>
  <c r="G11" i="2"/>
  <c r="G22" i="2"/>
  <c r="G8" i="2"/>
  <c r="G19" i="2"/>
  <c r="G14" i="2"/>
  <c r="G10" i="2"/>
  <c r="G18" i="2"/>
  <c r="G11" i="4"/>
  <c r="C13" i="6"/>
  <c r="E13" i="6" s="1"/>
  <c r="G17" i="2"/>
  <c r="G12" i="2"/>
  <c r="G22" i="7"/>
  <c r="E23" i="3"/>
  <c r="G22" i="3"/>
  <c r="G15" i="4"/>
  <c r="E23" i="4"/>
  <c r="E23" i="1"/>
  <c r="G15" i="1" s="1"/>
  <c r="G21" i="2"/>
  <c r="G19" i="4"/>
  <c r="G16" i="2"/>
  <c r="G11" i="7"/>
  <c r="E8" i="6"/>
  <c r="G20" i="2"/>
  <c r="G15" i="2"/>
  <c r="G20" i="7"/>
  <c r="C23" i="4"/>
  <c r="E23" i="8"/>
  <c r="G10" i="8" s="1"/>
  <c r="C20" i="6"/>
  <c r="E20" i="6" s="1"/>
  <c r="C12" i="6"/>
  <c r="E12" i="6" s="1"/>
  <c r="C22" i="6"/>
  <c r="E22" i="6" s="1"/>
  <c r="C14" i="6"/>
  <c r="E14" i="6" s="1"/>
  <c r="C23" i="5"/>
  <c r="C23" i="3"/>
  <c r="C23" i="1"/>
  <c r="C23" i="7"/>
  <c r="C19" i="6"/>
  <c r="E19" i="6" s="1"/>
  <c r="C11" i="6"/>
  <c r="E11" i="6" s="1"/>
  <c r="E18" i="5"/>
  <c r="E10" i="5"/>
  <c r="C23" i="2"/>
  <c r="E23" i="6" l="1"/>
  <c r="G8" i="6"/>
  <c r="G14" i="1"/>
  <c r="G16" i="1"/>
  <c r="G22" i="1"/>
  <c r="G14" i="6"/>
  <c r="G19" i="1"/>
  <c r="G17" i="3"/>
  <c r="G13" i="3"/>
  <c r="G21" i="3"/>
  <c r="G18" i="3"/>
  <c r="G10" i="3"/>
  <c r="G9" i="3"/>
  <c r="G23" i="2"/>
  <c r="G22" i="6"/>
  <c r="G9" i="4"/>
  <c r="G17" i="4"/>
  <c r="G12" i="4"/>
  <c r="G16" i="4"/>
  <c r="G20" i="4"/>
  <c r="G8" i="3"/>
  <c r="G15" i="3"/>
  <c r="G21" i="4"/>
  <c r="G10" i="7"/>
  <c r="G17" i="7"/>
  <c r="G13" i="7"/>
  <c r="G21" i="7"/>
  <c r="G18" i="7"/>
  <c r="G15" i="7"/>
  <c r="G11" i="6"/>
  <c r="G12" i="6"/>
  <c r="G16" i="7"/>
  <c r="G10" i="4"/>
  <c r="G12" i="7"/>
  <c r="G20" i="3"/>
  <c r="G8" i="7"/>
  <c r="G21" i="1"/>
  <c r="G8" i="1"/>
  <c r="G17" i="1"/>
  <c r="G10" i="1"/>
  <c r="G18" i="1"/>
  <c r="G9" i="1"/>
  <c r="G13" i="1"/>
  <c r="G20" i="1"/>
  <c r="G10" i="5"/>
  <c r="E23" i="5"/>
  <c r="G19" i="6"/>
  <c r="G20" i="6"/>
  <c r="G13" i="6"/>
  <c r="G15" i="8"/>
  <c r="G20" i="8"/>
  <c r="G11" i="8"/>
  <c r="G19" i="8"/>
  <c r="G9" i="8"/>
  <c r="G12" i="8"/>
  <c r="G8" i="4"/>
  <c r="G16" i="8"/>
  <c r="G17" i="8"/>
  <c r="G14" i="3"/>
  <c r="G22" i="8"/>
  <c r="G13" i="8"/>
  <c r="G11" i="3"/>
  <c r="G19" i="7"/>
  <c r="G18" i="4"/>
  <c r="G14" i="4"/>
  <c r="G21" i="8"/>
  <c r="G19" i="3"/>
  <c r="G18" i="8"/>
  <c r="G16" i="3"/>
  <c r="G14" i="8"/>
  <c r="G12" i="3"/>
  <c r="G8" i="8"/>
  <c r="C23" i="6"/>
  <c r="G11" i="1"/>
  <c r="G12" i="1"/>
  <c r="G12" i="5" l="1"/>
  <c r="G20" i="5"/>
  <c r="G17" i="5"/>
  <c r="G16" i="5"/>
  <c r="G9" i="5"/>
  <c r="G11" i="5"/>
  <c r="G15" i="5"/>
  <c r="G21" i="5"/>
  <c r="G19" i="5"/>
  <c r="G22" i="5"/>
  <c r="G8" i="5"/>
  <c r="G13" i="5"/>
  <c r="G14" i="5"/>
  <c r="G23" i="1"/>
  <c r="G18" i="5"/>
  <c r="G23" i="3"/>
  <c r="G23" i="7"/>
  <c r="G23" i="8"/>
  <c r="G23" i="4"/>
  <c r="G9" i="6"/>
  <c r="G18" i="6"/>
  <c r="G17" i="6"/>
  <c r="G21" i="6"/>
  <c r="G15" i="6"/>
  <c r="G10" i="6"/>
  <c r="G23" i="6" s="1"/>
  <c r="G16" i="6"/>
  <c r="G23" i="5" l="1"/>
</calcChain>
</file>

<file path=xl/sharedStrings.xml><?xml version="1.0" encoding="utf-8"?>
<sst xmlns="http://schemas.openxmlformats.org/spreadsheetml/2006/main" count="417" uniqueCount="62">
  <si>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</si>
  <si>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</si>
  <si>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</si>
  <si>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</si>
  <si>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</si>
  <si>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</si>
  <si>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</si>
  <si>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</si>
  <si>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</si>
  <si>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</si>
  <si>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</si>
  <si>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</si>
  <si>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</si>
  <si>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</si>
  <si>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</si>
  <si>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</si>
  <si>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</si>
  <si>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</si>
  <si>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</si>
  <si>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</si>
  <si>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</si>
  <si>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</si>
  <si>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</si>
  <si>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</si>
  <si>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</si>
  <si>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</si>
  <si>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</si>
  <si>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</si>
  <si>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</si>
  <si>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</si>
  <si>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</si>
  <si>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</si>
  <si>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</si>
  <si>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</si>
  <si>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</si>
  <si>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</si>
  <si>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</si>
  <si>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</si>
  <si>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</si>
  <si>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</si>
  <si>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</si>
  <si>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</si>
  <si>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</si>
  <si>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</si>
  <si>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</si>
  <si>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</si>
  <si>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</si>
  <si>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</si>
  <si>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Associates</t>
  </si>
  <si>
    <t>Customer Ski Trip</t>
  </si>
  <si>
    <t>Relocation</t>
  </si>
  <si>
    <t>Letter of Credit Fees</t>
  </si>
  <si>
    <t>Corporate Jet</t>
  </si>
  <si>
    <t>Remodeling</t>
  </si>
  <si>
    <t>Relocation Exp</t>
  </si>
  <si>
    <t>Project costs</t>
  </si>
  <si>
    <t>Write-offs of dead projects</t>
  </si>
  <si>
    <t xml:space="preserve">West Power </t>
  </si>
  <si>
    <t>Headcount</t>
  </si>
  <si>
    <t>Analyst &amp; Associate Headcount</t>
  </si>
  <si>
    <t xml:space="preserve">% of </t>
  </si>
  <si>
    <t>Total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</si>
</sst>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5" fontId="6" fillId="0" borderId="1" xfId="3" applyNumberFormat="1" applyFont="1" applyBorder="1" applyProtection="1"/>
    <xf numFmtId="166" fontId="0" fillId="0" borderId="0" xfId="0" applyNumberFormat="1"/>
    <xf numFmtId="0" fontId="0" fillId="0" borderId="0" xfId="0" applyFill="1" applyBorder="1"/>
    <xf numFmtId="0" fontId="0" fillId="0" borderId="0" xfId="0" applyBorder="1"/>
    <xf numFmtId="165" fontId="6" fillId="0" borderId="0" xfId="3" applyNumberFormat="1" applyFont="1" applyBorder="1" applyProtection="1"/>
    <xf numFmtId="166" fontId="6" fillId="0" borderId="0" xfId="4" applyNumberFormat="1" applyFont="1" applyBorder="1"/>
    <xf numFmtId="9" fontId="6" fillId="0" borderId="0" xfId="5" applyFont="1" applyProtection="1"/>
    <xf numFmtId="9" fontId="6" fillId="0" borderId="1" xfId="5" applyFont="1" applyBorder="1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Executiv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Orig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Mid%20Market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Generation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Service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Fundamental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3523630.4999999995</v>
          </cell>
        </row>
        <row r="26">
          <cell r="BA26">
            <v>589460.41</v>
          </cell>
        </row>
        <row r="27">
          <cell r="BA27">
            <v>503728.11</v>
          </cell>
        </row>
        <row r="28">
          <cell r="BA28">
            <v>298111.99000000005</v>
          </cell>
        </row>
        <row r="29">
          <cell r="BA29">
            <v>6445583.9900000002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182158.55</v>
          </cell>
        </row>
        <row r="33">
          <cell r="BA33">
            <v>95696.91</v>
          </cell>
        </row>
        <row r="34">
          <cell r="BA34">
            <v>0</v>
          </cell>
        </row>
        <row r="35">
          <cell r="BA35">
            <v>1750</v>
          </cell>
        </row>
        <row r="36">
          <cell r="BA36">
            <v>176422.81000000003</v>
          </cell>
        </row>
        <row r="37">
          <cell r="BA37">
            <v>105076.45999999999</v>
          </cell>
        </row>
        <row r="38">
          <cell r="BA38">
            <v>0</v>
          </cell>
        </row>
        <row r="39">
          <cell r="BA39">
            <v>1619999.69</v>
          </cell>
        </row>
        <row r="40">
          <cell r="BA40">
            <v>871920.12999999989</v>
          </cell>
        </row>
        <row r="41">
          <cell r="BA41">
            <v>38341.06</v>
          </cell>
        </row>
        <row r="42">
          <cell r="BA42">
            <v>1934075.9400000002</v>
          </cell>
        </row>
        <row r="43">
          <cell r="BA43">
            <v>0</v>
          </cell>
        </row>
        <row r="44">
          <cell r="BA44">
            <v>45029.469999999958</v>
          </cell>
        </row>
        <row r="45">
          <cell r="BA45">
            <v>263907.25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Executive Originations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279634.01</v>
          </cell>
        </row>
        <row r="26">
          <cell r="BA26">
            <v>39290.629999999997</v>
          </cell>
        </row>
        <row r="27">
          <cell r="BA27">
            <v>17889.27</v>
          </cell>
        </row>
        <row r="28">
          <cell r="BA28">
            <v>43129.5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45237.920000000006</v>
          </cell>
        </row>
        <row r="33">
          <cell r="BA33">
            <v>4511.29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3818.79</v>
          </cell>
        </row>
        <row r="37">
          <cell r="BA37">
            <v>18427.650000000001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15.55</v>
          </cell>
        </row>
        <row r="41">
          <cell r="BA41">
            <v>1439.6100000000001</v>
          </cell>
        </row>
        <row r="42">
          <cell r="BA42">
            <v>40106.050000000003</v>
          </cell>
        </row>
        <row r="43">
          <cell r="BA43">
            <v>0</v>
          </cell>
        </row>
        <row r="44">
          <cell r="BA44">
            <v>1425.29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Originations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1653450.6999999997</v>
          </cell>
        </row>
        <row r="26">
          <cell r="BA26">
            <v>322220.15999999997</v>
          </cell>
        </row>
        <row r="27">
          <cell r="BA27">
            <v>107321.17</v>
          </cell>
        </row>
        <row r="28">
          <cell r="BA28">
            <v>624642.27</v>
          </cell>
        </row>
        <row r="29">
          <cell r="BA29">
            <v>2024256.88</v>
          </cell>
        </row>
        <row r="30">
          <cell r="BA30">
            <v>128</v>
          </cell>
        </row>
        <row r="31">
          <cell r="BA31">
            <v>0</v>
          </cell>
        </row>
        <row r="32">
          <cell r="BA32">
            <v>1095236.8899999999</v>
          </cell>
        </row>
        <row r="33">
          <cell r="BA33">
            <v>11981.99</v>
          </cell>
        </row>
        <row r="34">
          <cell r="BA34">
            <v>0</v>
          </cell>
        </row>
        <row r="35">
          <cell r="BA35">
            <v>7050</v>
          </cell>
        </row>
        <row r="36">
          <cell r="BA36">
            <v>141212.29999999999</v>
          </cell>
        </row>
        <row r="37">
          <cell r="BA37">
            <v>11584.289999999999</v>
          </cell>
        </row>
        <row r="38">
          <cell r="BA38">
            <v>116.15</v>
          </cell>
        </row>
        <row r="39">
          <cell r="BA39">
            <v>0</v>
          </cell>
        </row>
        <row r="40">
          <cell r="BA40">
            <v>30896.479999999996</v>
          </cell>
        </row>
        <row r="41">
          <cell r="BA41">
            <v>19288.080000000002</v>
          </cell>
        </row>
        <row r="42">
          <cell r="BA42">
            <v>317031.01</v>
          </cell>
        </row>
        <row r="43">
          <cell r="BA43">
            <v>0</v>
          </cell>
        </row>
        <row r="44">
          <cell r="BA44">
            <v>11413.48</v>
          </cell>
        </row>
        <row r="45">
          <cell r="BA45">
            <v>58719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Mid-Market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446152.37</v>
          </cell>
        </row>
        <row r="26">
          <cell r="BA26">
            <v>95688.11</v>
          </cell>
        </row>
        <row r="27">
          <cell r="BA27">
            <v>21174.129999999997</v>
          </cell>
        </row>
        <row r="28">
          <cell r="BA28">
            <v>72009.7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40914.379999999997</v>
          </cell>
        </row>
        <row r="33">
          <cell r="BA33">
            <v>12922.06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2288.4500000000003</v>
          </cell>
        </row>
        <row r="37">
          <cell r="BA37">
            <v>5065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4330.8</v>
          </cell>
        </row>
        <row r="41">
          <cell r="BA41">
            <v>2931.97</v>
          </cell>
        </row>
        <row r="42">
          <cell r="BA42">
            <v>3737.8800000000006</v>
          </cell>
        </row>
        <row r="43">
          <cell r="BA43">
            <v>0</v>
          </cell>
        </row>
        <row r="44">
          <cell r="BA44">
            <v>8112.83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Generation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435634.85999999993</v>
          </cell>
        </row>
        <row r="26">
          <cell r="BA26">
            <v>305649.09000000003</v>
          </cell>
        </row>
        <row r="27">
          <cell r="BA27">
            <v>154640.08000000002</v>
          </cell>
        </row>
        <row r="28">
          <cell r="BA28">
            <v>215744.26</v>
          </cell>
        </row>
        <row r="29">
          <cell r="BA29">
            <v>232195.77000000002</v>
          </cell>
        </row>
        <row r="30">
          <cell r="BA30">
            <v>0</v>
          </cell>
        </row>
        <row r="31">
          <cell r="BA31">
            <v>124209</v>
          </cell>
        </row>
        <row r="32">
          <cell r="BA32">
            <v>189840.78</v>
          </cell>
        </row>
        <row r="33">
          <cell r="BA33">
            <v>18188.900000000001</v>
          </cell>
        </row>
        <row r="34">
          <cell r="BA34">
            <v>0</v>
          </cell>
        </row>
        <row r="35">
          <cell r="BA35">
            <v>21292</v>
          </cell>
        </row>
        <row r="36">
          <cell r="BA36">
            <v>408187.77</v>
          </cell>
        </row>
        <row r="37">
          <cell r="BA37">
            <v>13640.33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10824.869999999999</v>
          </cell>
        </row>
        <row r="41">
          <cell r="BA41">
            <v>10947.079999999998</v>
          </cell>
        </row>
        <row r="42">
          <cell r="BA42">
            <v>1334726.6200000001</v>
          </cell>
        </row>
        <row r="43">
          <cell r="BA43">
            <v>0</v>
          </cell>
        </row>
        <row r="44">
          <cell r="BA44">
            <v>3909.7699999999995</v>
          </cell>
        </row>
        <row r="45">
          <cell r="BA45">
            <v>7339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Services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182916.68999999997</v>
          </cell>
        </row>
        <row r="26">
          <cell r="BA26">
            <v>43743.03</v>
          </cell>
        </row>
        <row r="27">
          <cell r="BA27">
            <v>2719.32</v>
          </cell>
        </row>
        <row r="28">
          <cell r="BA28">
            <v>9726.85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27236.059999999998</v>
          </cell>
        </row>
        <row r="33">
          <cell r="BA33">
            <v>673.12000000000012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938.06</v>
          </cell>
        </row>
        <row r="37">
          <cell r="BA37">
            <v>350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0</v>
          </cell>
        </row>
        <row r="41">
          <cell r="BA41">
            <v>1215.25</v>
          </cell>
        </row>
        <row r="42">
          <cell r="BA42">
            <v>492.88</v>
          </cell>
        </row>
        <row r="43">
          <cell r="BA43">
            <v>0</v>
          </cell>
        </row>
        <row r="44">
          <cell r="BA44">
            <v>5418.9499999999989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Power 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392674.72000000003</v>
          </cell>
        </row>
        <row r="26">
          <cell r="BA26">
            <v>66280.87</v>
          </cell>
        </row>
        <row r="27">
          <cell r="BA27">
            <v>16110.68</v>
          </cell>
        </row>
        <row r="28">
          <cell r="BA28">
            <v>15051.49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22922.440000000002</v>
          </cell>
        </row>
        <row r="33">
          <cell r="BA33">
            <v>3104.77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2767.33</v>
          </cell>
        </row>
        <row r="37">
          <cell r="BA37">
            <v>15341.970000000001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4828.6900000000005</v>
          </cell>
        </row>
        <row r="41">
          <cell r="BA41">
            <v>3510.2</v>
          </cell>
        </row>
        <row r="42">
          <cell r="BA42">
            <v>55894.17</v>
          </cell>
        </row>
        <row r="43">
          <cell r="BA43">
            <v>0</v>
          </cell>
        </row>
        <row r="44">
          <cell r="BA44">
            <v>4309.63</v>
          </cell>
        </row>
        <row r="45">
          <cell r="BA45">
            <v>2119.75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tabSelected="1" zoomScaleNormal="100" workbookViewId="0">
      <selection activeCell="B1" sqref="B1:G1"/>
    </sheetView>
  </sheetViews>
  <sheetFormatPr defaultRowHeight="12.75" x14ac:dyDescent="0.2"/>
  <cols>
    <col min="2" max="2" width="24.85546875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5" ht="18" x14ac:dyDescent="0.25">
      <c r="B1" s="19" t="str">
        <f>'[1]Team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9" t="s">
        <v>57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21">
        <f>'[1]Team Report'!B3</f>
        <v>37135</v>
      </c>
      <c r="C3" s="21"/>
      <c r="D3" s="22"/>
      <c r="E3" s="22"/>
      <c r="F3" s="22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6" spans="1:45" x14ac:dyDescent="0.2">
      <c r="C6" s="3">
        <v>37135</v>
      </c>
      <c r="E6" s="3">
        <v>37135</v>
      </c>
      <c r="F6" s="3"/>
      <c r="G6" s="3" t="s">
        <v>60</v>
      </c>
    </row>
    <row r="7" spans="1:45" x14ac:dyDescent="0.2">
      <c r="C7" s="4" t="s">
        <v>0</v>
      </c>
      <c r="E7" s="4" t="s">
        <v>1</v>
      </c>
      <c r="F7" s="4"/>
      <c r="G7" s="4" t="s">
        <v>61</v>
      </c>
    </row>
    <row r="8" spans="1:45" x14ac:dyDescent="0.2">
      <c r="A8" s="5" t="s">
        <v>2</v>
      </c>
      <c r="B8" s="6" t="s">
        <v>3</v>
      </c>
      <c r="C8" s="7">
        <f>'Executive Orig'!C8+Trading!C8+Origination!C8+'Mid Market'!C8+Generaton!C8+Services!C8+Fundamentals!C8</f>
        <v>6231873.8499999996</v>
      </c>
      <c r="E8" s="7">
        <f>(C8/9)*12</f>
        <v>8309165.1333333328</v>
      </c>
      <c r="F8" s="7"/>
      <c r="G8" s="17">
        <f>+E8/$E$23</f>
        <v>0.43781602181889911</v>
      </c>
    </row>
    <row r="9" spans="1:45" x14ac:dyDescent="0.2">
      <c r="A9" s="5"/>
      <c r="B9" s="6" t="s">
        <v>4</v>
      </c>
      <c r="C9" s="7">
        <f>'Executive Orig'!C9+Trading!C9+Origination!C9+'Mid Market'!C9+Generaton!C9+Services!C9+Fundamentals!C9</f>
        <v>1608000</v>
      </c>
      <c r="E9" s="7">
        <f>+C9</f>
        <v>1608000</v>
      </c>
      <c r="F9" s="7"/>
      <c r="G9" s="17">
        <f t="shared" ref="G9:G22" si="0">+E9/$E$23</f>
        <v>8.4726702597420572E-2</v>
      </c>
    </row>
    <row r="10" spans="1:45" x14ac:dyDescent="0.2">
      <c r="B10" s="6" t="s">
        <v>48</v>
      </c>
      <c r="C10" s="7">
        <f>'Executive Orig'!C10+Trading!C10+Origination!C10+'Mid Market'!C10+Generaton!C10+Services!C10+Fundamentals!C10</f>
        <v>1058567</v>
      </c>
      <c r="E10" s="7">
        <f>(C10/9)*12</f>
        <v>1411422.6666666667</v>
      </c>
      <c r="F10" s="7"/>
      <c r="G10" s="17">
        <f t="shared" si="0"/>
        <v>7.4368898332042882E-2</v>
      </c>
    </row>
    <row r="11" spans="1:45" x14ac:dyDescent="0.2">
      <c r="A11" s="5" t="s">
        <v>5</v>
      </c>
      <c r="B11" s="6" t="s">
        <v>6</v>
      </c>
      <c r="C11" s="7">
        <f>'Executive Orig'!C11+Trading!C11+Origination!C11+'Mid Market'!C11+Generaton!C11+Services!C11+Fundamentals!C11</f>
        <v>1384248.2999999998</v>
      </c>
      <c r="E11" s="7">
        <f t="shared" ref="E11:E22" si="1">(C11/9)*12</f>
        <v>1845664.3999999997</v>
      </c>
      <c r="F11" s="7"/>
      <c r="G11" s="17">
        <f t="shared" si="0"/>
        <v>9.7249414622790215E-2</v>
      </c>
    </row>
    <row r="12" spans="1:45" x14ac:dyDescent="0.2">
      <c r="A12" s="5" t="s">
        <v>7</v>
      </c>
      <c r="B12" s="6" t="s">
        <v>8</v>
      </c>
      <c r="C12" s="7">
        <f>'Executive Orig'!C12+Trading!C12+Origination!C12+'Mid Market'!C12+Generaton!C12+Services!C12+Fundamentals!C12</f>
        <v>812757.76</v>
      </c>
      <c r="E12" s="7">
        <f t="shared" si="1"/>
        <v>1083677.0133333334</v>
      </c>
      <c r="F12" s="7"/>
      <c r="G12" s="17">
        <f t="shared" si="0"/>
        <v>5.7099738818628301E-2</v>
      </c>
    </row>
    <row r="13" spans="1:45" x14ac:dyDescent="0.2">
      <c r="A13" s="5" t="s">
        <v>9</v>
      </c>
      <c r="B13" s="6" t="s">
        <v>10</v>
      </c>
      <c r="C13" s="7">
        <f>'Executive Orig'!C13+Trading!C13+Origination!C13+'Mid Market'!C13+Generaton!C13+Services!C13+Fundamentals!C13</f>
        <v>935518.05999999994</v>
      </c>
      <c r="E13" s="7">
        <f t="shared" si="1"/>
        <v>1247357.4133333333</v>
      </c>
      <c r="F13" s="7"/>
      <c r="G13" s="17">
        <f t="shared" si="0"/>
        <v>6.5724179472749472E-2</v>
      </c>
    </row>
    <row r="14" spans="1:45" x14ac:dyDescent="0.2">
      <c r="A14" s="5" t="s">
        <v>11</v>
      </c>
      <c r="B14" s="6" t="s">
        <v>12</v>
      </c>
      <c r="C14" s="7">
        <f>'Executive Orig'!C14+Trading!C14+Origination!C14+'Mid Market'!C14+Generaton!C14+Services!C14+Fundamentals!C14</f>
        <v>867163.01999999979</v>
      </c>
      <c r="E14" s="7">
        <f t="shared" si="1"/>
        <v>1156217.3599999996</v>
      </c>
      <c r="F14" s="7"/>
      <c r="G14" s="17">
        <f t="shared" si="0"/>
        <v>6.0921943034014131E-2</v>
      </c>
    </row>
    <row r="15" spans="1:45" x14ac:dyDescent="0.2">
      <c r="A15" s="5" t="s">
        <v>13</v>
      </c>
      <c r="B15" s="6" t="s">
        <v>14</v>
      </c>
      <c r="C15" s="7">
        <f>'Executive Orig'!C15+Trading!C15+Origination!C15+'Mid Market'!C15+Generaton!C15+Services!C15+Fundamentals!C15</f>
        <v>147079.03999999998</v>
      </c>
      <c r="E15" s="7">
        <f t="shared" si="1"/>
        <v>196105.38666666663</v>
      </c>
      <c r="F15" s="7"/>
      <c r="G15" s="17">
        <f t="shared" si="0"/>
        <v>1.033293704841967E-2</v>
      </c>
    </row>
    <row r="16" spans="1:45" x14ac:dyDescent="0.2">
      <c r="A16" s="5" t="s">
        <v>15</v>
      </c>
      <c r="B16" s="6" t="s">
        <v>16</v>
      </c>
      <c r="C16" s="7">
        <f>'Executive Orig'!C16+Trading!C16+Origination!C16+'Mid Market'!C16+Generaton!C16+Services!C16+Fundamentals!C16</f>
        <v>0</v>
      </c>
      <c r="E16" s="7">
        <f t="shared" si="1"/>
        <v>0</v>
      </c>
      <c r="F16" s="7"/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'Executive Orig'!C17+Trading!C17+Origination!C17+'Mid Market'!C17+Generaton!C17+Services!C17+Fundamentals!C17</f>
        <v>32592</v>
      </c>
      <c r="E17" s="7">
        <f t="shared" si="1"/>
        <v>43456</v>
      </c>
      <c r="F17" s="7"/>
      <c r="G17" s="17">
        <f t="shared" si="0"/>
        <v>2.2897285995482019E-3</v>
      </c>
    </row>
    <row r="18" spans="1:7" x14ac:dyDescent="0.2">
      <c r="A18" s="5" t="s">
        <v>19</v>
      </c>
      <c r="B18" s="6" t="s">
        <v>20</v>
      </c>
      <c r="C18" s="7">
        <f>'Executive Orig'!C18+Trading!C18+Origination!C18+'Mid Market'!C18+Generaton!C18+Services!C18+Fundamentals!C18</f>
        <v>735635.51000000013</v>
      </c>
      <c r="E18" s="7">
        <f t="shared" si="1"/>
        <v>980847.34666666691</v>
      </c>
      <c r="F18" s="7"/>
      <c r="G18" s="17">
        <f t="shared" si="0"/>
        <v>5.1681568056278458E-2</v>
      </c>
    </row>
    <row r="19" spans="1:7" x14ac:dyDescent="0.2">
      <c r="A19" s="5" t="s">
        <v>21</v>
      </c>
      <c r="B19" s="6" t="s">
        <v>22</v>
      </c>
      <c r="C19" s="7">
        <f>'Executive Orig'!C19+Trading!C19+Origination!C19+'Mid Market'!C19+Generaton!C19+Services!C19+Fundamentals!C19</f>
        <v>169485.69999999998</v>
      </c>
      <c r="E19" s="7">
        <f t="shared" si="1"/>
        <v>225980.93333333329</v>
      </c>
      <c r="F19" s="7"/>
      <c r="G19" s="17">
        <f t="shared" si="0"/>
        <v>1.1907101574142322E-2</v>
      </c>
    </row>
    <row r="20" spans="1:7" x14ac:dyDescent="0.2">
      <c r="A20" s="5" t="s">
        <v>23</v>
      </c>
      <c r="B20" s="6" t="s">
        <v>24</v>
      </c>
      <c r="C20" s="7">
        <f>'Executive Orig'!C20+Trading!C20+Origination!C20+'Mid Market'!C20+Generaton!C20+Services!C20+Fundamentals!C20</f>
        <v>116.15</v>
      </c>
      <c r="E20" s="7">
        <f t="shared" si="1"/>
        <v>154.86666666666667</v>
      </c>
      <c r="F20" s="7"/>
      <c r="G20" s="17">
        <f t="shared" si="0"/>
        <v>8.1600385627615264E-6</v>
      </c>
    </row>
    <row r="21" spans="1:7" x14ac:dyDescent="0.2">
      <c r="A21" s="5" t="s">
        <v>25</v>
      </c>
      <c r="B21" s="6" t="s">
        <v>26</v>
      </c>
      <c r="C21" s="7">
        <f>'Executive Orig'!C21+Trading!C21+Origination!C21+'Mid Market'!C21+Generaton!C21+Services!C21+Fundamentals!C21</f>
        <v>573345.55000000028</v>
      </c>
      <c r="E21" s="7">
        <f t="shared" si="1"/>
        <v>764460.73333333374</v>
      </c>
      <c r="F21" s="7"/>
      <c r="G21" s="17">
        <f t="shared" si="0"/>
        <v>4.0279998259041917E-2</v>
      </c>
    </row>
    <row r="22" spans="1:7" x14ac:dyDescent="0.2">
      <c r="A22" s="5" t="s">
        <v>27</v>
      </c>
      <c r="B22" s="6" t="s">
        <v>28</v>
      </c>
      <c r="C22" s="7">
        <f>'Executive Orig'!C22+Trading!C22+Origination!C22+'Mid Market'!C22+Generaton!C22+Services!C22+Fundamentals!C22</f>
        <v>79619.419999999969</v>
      </c>
      <c r="E22" s="7">
        <f t="shared" si="1"/>
        <v>106159.22666666663</v>
      </c>
      <c r="F22" s="7"/>
      <c r="G22" s="17">
        <f t="shared" si="0"/>
        <v>5.593607727461954E-3</v>
      </c>
    </row>
    <row r="23" spans="1:7" x14ac:dyDescent="0.2">
      <c r="A23" s="8" t="s">
        <v>29</v>
      </c>
      <c r="B23" s="9" t="s">
        <v>30</v>
      </c>
      <c r="C23" s="10">
        <f>SUM(C8:C22)</f>
        <v>14636001.359999998</v>
      </c>
      <c r="E23" s="10">
        <f>SUM(E8:E22)</f>
        <v>18978668.48</v>
      </c>
      <c r="F23" s="16"/>
      <c r="G23" s="18">
        <f>SUM(G8:G22)</f>
        <v>0.99999999999999989</v>
      </c>
    </row>
    <row r="25" spans="1:7" x14ac:dyDescent="0.2">
      <c r="B25" s="9" t="s">
        <v>58</v>
      </c>
      <c r="C25" s="7"/>
      <c r="E25" s="11">
        <f>'Executive Orig'!E25+Trading!E25+Origination!E25+'Mid Market'!E25+Generaton!E25+Services!E25+Fundamentals!E25</f>
        <v>88</v>
      </c>
      <c r="F25" s="15"/>
    </row>
    <row r="26" spans="1:7" x14ac:dyDescent="0.2">
      <c r="C26" s="7"/>
      <c r="E26" s="7"/>
      <c r="F26" s="7"/>
    </row>
    <row r="27" spans="1:7" x14ac:dyDescent="0.2">
      <c r="B27" s="9" t="s">
        <v>59</v>
      </c>
      <c r="C27" s="7"/>
      <c r="E27" s="11">
        <f>'Executive Orig'!E27+Trading!E27+Origination!E27+'Mid Market'!E27+Generaton!E27+Services!E27+Fundamentals!E27</f>
        <v>19</v>
      </c>
      <c r="F27" s="15"/>
    </row>
    <row r="29" spans="1:7" x14ac:dyDescent="0.2">
      <c r="B29" s="9" t="s">
        <v>31</v>
      </c>
      <c r="C29" s="7"/>
      <c r="E29" s="11">
        <f>+E27+E25</f>
        <v>107</v>
      </c>
      <c r="F29" s="15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4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'[2]Team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'[2]Pull Sheet'!E9</f>
        <v>West Power Executive Originations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1">
        <f>'[2]Team Report'!B3</f>
        <v>37135</v>
      </c>
      <c r="C3" s="21"/>
      <c r="D3" s="22"/>
      <c r="E3" s="22"/>
      <c r="F3" s="22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'[2]Team Report'!BA25-C9</f>
        <v>239634.01</v>
      </c>
      <c r="E8" s="7">
        <f>(C8/9)*12</f>
        <v>319512.01333333337</v>
      </c>
      <c r="G8" s="17">
        <f>+E8/$E$23</f>
        <v>0.49565394282669639</v>
      </c>
    </row>
    <row r="9" spans="1:44" x14ac:dyDescent="0.2">
      <c r="A9" s="5"/>
      <c r="B9" s="6" t="s">
        <v>4</v>
      </c>
      <c r="C9" s="7">
        <v>40000</v>
      </c>
      <c r="E9" s="7">
        <f>+C9</f>
        <v>40000</v>
      </c>
      <c r="G9" s="17">
        <f t="shared" ref="G9:G22" si="0">+E9/$E$23</f>
        <v>6.2051368604985953E-2</v>
      </c>
    </row>
    <row r="10" spans="1:44" x14ac:dyDescent="0.2">
      <c r="B10" s="6" t="s">
        <v>48</v>
      </c>
      <c r="C10" s="7">
        <v>16800</v>
      </c>
      <c r="E10" s="7">
        <f>(C10/9)*12</f>
        <v>22400</v>
      </c>
      <c r="G10" s="17">
        <f t="shared" si="0"/>
        <v>3.4748766418792133E-2</v>
      </c>
    </row>
    <row r="11" spans="1:44" x14ac:dyDescent="0.2">
      <c r="A11" s="5" t="s">
        <v>5</v>
      </c>
      <c r="B11" s="6" t="s">
        <v>6</v>
      </c>
      <c r="C11" s="7">
        <f>'[2]Team Report'!BA26</f>
        <v>39290.629999999997</v>
      </c>
      <c r="E11" s="7">
        <f t="shared" ref="E11:E22" si="1">(C11/9)*12</f>
        <v>52387.506666666668</v>
      </c>
      <c r="G11" s="17">
        <f t="shared" si="0"/>
        <v>8.1267912161737316E-2</v>
      </c>
    </row>
    <row r="12" spans="1:44" x14ac:dyDescent="0.2">
      <c r="A12" s="5" t="s">
        <v>7</v>
      </c>
      <c r="B12" s="6" t="s">
        <v>8</v>
      </c>
      <c r="C12" s="7">
        <f>'[2]Team Report'!BA27</f>
        <v>17889.27</v>
      </c>
      <c r="E12" s="7">
        <f t="shared" si="1"/>
        <v>23852.36</v>
      </c>
      <c r="G12" s="17">
        <f t="shared" si="0"/>
        <v>3.7001789561470572E-2</v>
      </c>
    </row>
    <row r="13" spans="1:44" x14ac:dyDescent="0.2">
      <c r="A13" s="5" t="s">
        <v>9</v>
      </c>
      <c r="B13" s="6" t="s">
        <v>10</v>
      </c>
      <c r="C13" s="7">
        <f>'[2]Team Report'!BA28</f>
        <v>43129.5</v>
      </c>
      <c r="E13" s="7">
        <f t="shared" si="1"/>
        <v>57506</v>
      </c>
      <c r="G13" s="17">
        <f t="shared" si="0"/>
        <v>8.9208150074958054E-2</v>
      </c>
    </row>
    <row r="14" spans="1:44" x14ac:dyDescent="0.2">
      <c r="A14" s="5" t="s">
        <v>11</v>
      </c>
      <c r="B14" s="6" t="s">
        <v>12</v>
      </c>
      <c r="C14" s="7">
        <f>'[2]Team Report'!BA32</f>
        <v>45237.920000000006</v>
      </c>
      <c r="E14" s="7">
        <f t="shared" si="1"/>
        <v>60317.226666666669</v>
      </c>
      <c r="G14" s="17">
        <f t="shared" si="0"/>
        <v>9.3569161628095546E-2</v>
      </c>
    </row>
    <row r="15" spans="1:44" x14ac:dyDescent="0.2">
      <c r="A15" s="5" t="s">
        <v>13</v>
      </c>
      <c r="B15" s="6" t="s">
        <v>14</v>
      </c>
      <c r="C15" s="7">
        <f>'[2]Team Report'!BA33</f>
        <v>4511.29</v>
      </c>
      <c r="E15" s="7">
        <f t="shared" si="1"/>
        <v>6015.0533333333333</v>
      </c>
      <c r="G15" s="17">
        <f t="shared" si="0"/>
        <v>9.3310572891329036E-3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'[2]Team Report'!BA36</f>
        <v>3818.79</v>
      </c>
      <c r="E18" s="7">
        <f t="shared" si="1"/>
        <v>5091.72</v>
      </c>
      <c r="G18" s="17">
        <f t="shared" si="0"/>
        <v>7.8987048638344774E-3</v>
      </c>
    </row>
    <row r="19" spans="1:7" x14ac:dyDescent="0.2">
      <c r="A19" s="5" t="s">
        <v>21</v>
      </c>
      <c r="B19" s="6" t="s">
        <v>22</v>
      </c>
      <c r="C19" s="7">
        <f>'[2]Team Report'!BA37</f>
        <v>18427.650000000001</v>
      </c>
      <c r="E19" s="7">
        <f t="shared" si="1"/>
        <v>24570.200000000004</v>
      </c>
      <c r="G19" s="17">
        <f t="shared" si="0"/>
        <v>3.8115363422455653E-2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'[2]Team Report'!BA42-C10</f>
        <v>23306.050000000003</v>
      </c>
      <c r="E21" s="7">
        <f t="shared" si="1"/>
        <v>31074.733333333337</v>
      </c>
      <c r="G21" s="17">
        <f t="shared" si="0"/>
        <v>4.8205743309207773E-2</v>
      </c>
    </row>
    <row r="22" spans="1:7" x14ac:dyDescent="0.2">
      <c r="A22" s="5" t="s">
        <v>27</v>
      </c>
      <c r="B22" s="6" t="s">
        <v>28</v>
      </c>
      <c r="C22" s="7">
        <f>'[2]Team Report'!BA44</f>
        <v>1425.29</v>
      </c>
      <c r="E22" s="7">
        <f t="shared" si="1"/>
        <v>1900.3866666666665</v>
      </c>
      <c r="G22" s="17">
        <f t="shared" si="0"/>
        <v>2.9480398386333476E-3</v>
      </c>
    </row>
    <row r="23" spans="1:7" x14ac:dyDescent="0.2">
      <c r="A23" s="8" t="s">
        <v>29</v>
      </c>
      <c r="B23" s="9" t="s">
        <v>30</v>
      </c>
      <c r="C23" s="10">
        <f>SUM(C8:C22)</f>
        <v>493470.39999999997</v>
      </c>
      <c r="E23" s="10">
        <f>SUM(E8:E22)</f>
        <v>644627.19999999995</v>
      </c>
      <c r="G23" s="18">
        <f>SUM(G8:G22)</f>
        <v>1.0000000000000002</v>
      </c>
    </row>
    <row r="25" spans="1:7" x14ac:dyDescent="0.2">
      <c r="B25" s="9" t="s">
        <v>58</v>
      </c>
      <c r="C25" s="13"/>
      <c r="E25" s="11">
        <v>4</v>
      </c>
    </row>
    <row r="26" spans="1:7" x14ac:dyDescent="0.2">
      <c r="C26" s="14"/>
    </row>
    <row r="27" spans="1:7" x14ac:dyDescent="0.2">
      <c r="B27" s="9" t="s">
        <v>59</v>
      </c>
      <c r="C27" s="13"/>
      <c r="E27" s="11">
        <v>2</v>
      </c>
    </row>
    <row r="29" spans="1:7" x14ac:dyDescent="0.2">
      <c r="B29" s="9" t="s">
        <v>31</v>
      </c>
      <c r="C29" s="7"/>
      <c r="E29" s="11">
        <f>+E27+E25</f>
        <v>6</v>
      </c>
    </row>
    <row r="31" spans="1:7" x14ac:dyDescent="0.2">
      <c r="A31" s="5" t="s">
        <v>32</v>
      </c>
      <c r="B31" s="6" t="s">
        <v>33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15.55</v>
      </c>
      <c r="E35" s="7">
        <f t="shared" si="2"/>
        <v>20.733333333333334</v>
      </c>
    </row>
    <row r="36" spans="1:5" x14ac:dyDescent="0.2">
      <c r="A36" s="5" t="s">
        <v>42</v>
      </c>
      <c r="B36" s="6" t="s">
        <v>43</v>
      </c>
      <c r="C36" s="7">
        <f>'[2]Team Report'!BA41</f>
        <v>1439.6100000000001</v>
      </c>
      <c r="E36" s="7">
        <f t="shared" si="2"/>
        <v>1919.48</v>
      </c>
    </row>
    <row r="37" spans="1:5" x14ac:dyDescent="0.2">
      <c r="A37" s="5" t="s">
        <v>44</v>
      </c>
      <c r="B37" s="6" t="s">
        <v>45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'[2]Team Report'!BA45</f>
        <v>0</v>
      </c>
      <c r="E38" s="7">
        <f t="shared" si="2"/>
        <v>0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4.5703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'[3]Team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'[3]Pull Sheet'!E9</f>
        <v>West Power Originations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'[3]Team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'[3]Team Report'!BA25-C9-88500</f>
        <v>1414950.6999999997</v>
      </c>
      <c r="E8" s="7">
        <f>(C8/9)*12</f>
        <v>1886600.9333333331</v>
      </c>
      <c r="G8" s="17">
        <f>+E8/$E$23</f>
        <v>0.45399433172659404</v>
      </c>
    </row>
    <row r="9" spans="1:44" x14ac:dyDescent="0.2">
      <c r="A9" s="5"/>
      <c r="B9" s="6" t="s">
        <v>4</v>
      </c>
      <c r="C9" s="7">
        <v>150000</v>
      </c>
      <c r="E9" s="7">
        <f>+C9</f>
        <v>150000</v>
      </c>
      <c r="G9" s="17">
        <f t="shared" ref="G9:G22" si="0">+E9/$E$23</f>
        <v>3.6096213330430407E-2</v>
      </c>
    </row>
    <row r="10" spans="1:44" x14ac:dyDescent="0.2">
      <c r="B10" s="6" t="s">
        <v>48</v>
      </c>
      <c r="C10" s="7">
        <f>88500+15183+73200+29442+7875</f>
        <v>214200</v>
      </c>
      <c r="E10" s="7">
        <f>(C10/9)*12</f>
        <v>285600</v>
      </c>
      <c r="G10" s="17">
        <f t="shared" si="0"/>
        <v>6.8727190181139486E-2</v>
      </c>
    </row>
    <row r="11" spans="1:44" x14ac:dyDescent="0.2">
      <c r="A11" s="5" t="s">
        <v>5</v>
      </c>
      <c r="B11" s="6" t="s">
        <v>6</v>
      </c>
      <c r="C11" s="7">
        <f>'[3]Team Report'!BA26-15183-7875</f>
        <v>299162.15999999997</v>
      </c>
      <c r="E11" s="7">
        <f t="shared" ref="E11:E22" si="1">(C11/9)*12</f>
        <v>398882.88</v>
      </c>
      <c r="G11" s="17">
        <f t="shared" si="0"/>
        <v>9.5987743535576472E-2</v>
      </c>
    </row>
    <row r="12" spans="1:44" x14ac:dyDescent="0.2">
      <c r="A12" s="5" t="s">
        <v>7</v>
      </c>
      <c r="B12" s="6" t="s">
        <v>8</v>
      </c>
      <c r="C12" s="7">
        <f>'[3]Team Report'!BA27-10825</f>
        <v>96496.17</v>
      </c>
      <c r="E12" s="7">
        <f t="shared" si="1"/>
        <v>128661.56</v>
      </c>
      <c r="G12" s="17">
        <f t="shared" si="0"/>
        <v>3.096130078123981E-2</v>
      </c>
    </row>
    <row r="13" spans="1:44" x14ac:dyDescent="0.2">
      <c r="A13" s="5" t="s">
        <v>9</v>
      </c>
      <c r="B13" s="6" t="s">
        <v>10</v>
      </c>
      <c r="C13" s="7">
        <f>'[3]Team Report'!BA28-243381</f>
        <v>381261.27</v>
      </c>
      <c r="E13" s="7">
        <f t="shared" si="1"/>
        <v>508348.36</v>
      </c>
      <c r="G13" s="17">
        <f t="shared" si="0"/>
        <v>0.12232967232489622</v>
      </c>
    </row>
    <row r="14" spans="1:44" x14ac:dyDescent="0.2">
      <c r="A14" s="5" t="s">
        <v>11</v>
      </c>
      <c r="B14" s="6" t="s">
        <v>12</v>
      </c>
      <c r="C14" s="7">
        <f>'[3]Team Report'!BA32-736384</f>
        <v>358852.8899999999</v>
      </c>
      <c r="E14" s="7">
        <f t="shared" si="1"/>
        <v>478470.51999999984</v>
      </c>
      <c r="G14" s="17">
        <f t="shared" si="0"/>
        <v>0.11513982641494641</v>
      </c>
    </row>
    <row r="15" spans="1:44" x14ac:dyDescent="0.2">
      <c r="A15" s="5" t="s">
        <v>13</v>
      </c>
      <c r="B15" s="6" t="s">
        <v>14</v>
      </c>
      <c r="C15" s="7">
        <f>'[3]Team Report'!BA33</f>
        <v>11981.99</v>
      </c>
      <c r="E15" s="7">
        <f t="shared" si="1"/>
        <v>15975.986666666668</v>
      </c>
      <c r="G15" s="17">
        <f t="shared" si="0"/>
        <v>3.8444841525607453E-3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7050</v>
      </c>
      <c r="E17" s="7">
        <f t="shared" si="1"/>
        <v>9400</v>
      </c>
      <c r="G17" s="17">
        <f t="shared" si="0"/>
        <v>2.2620293687069721E-3</v>
      </c>
    </row>
    <row r="18" spans="1:7" x14ac:dyDescent="0.2">
      <c r="A18" s="5" t="s">
        <v>19</v>
      </c>
      <c r="B18" s="6" t="s">
        <v>20</v>
      </c>
      <c r="C18" s="7">
        <f>'[3]Team Report'!BA36</f>
        <v>141212.29999999999</v>
      </c>
      <c r="E18" s="7">
        <f t="shared" si="1"/>
        <v>188283.06666666665</v>
      </c>
      <c r="G18" s="17">
        <f t="shared" si="0"/>
        <v>4.5308704939384326E-2</v>
      </c>
    </row>
    <row r="19" spans="1:7" x14ac:dyDescent="0.2">
      <c r="A19" s="5" t="s">
        <v>21</v>
      </c>
      <c r="B19" s="6" t="s">
        <v>22</v>
      </c>
      <c r="C19" s="7">
        <f>'[3]Team Report'!BA37</f>
        <v>11584.289999999999</v>
      </c>
      <c r="E19" s="7">
        <f t="shared" si="1"/>
        <v>15445.719999999998</v>
      </c>
      <c r="G19" s="17">
        <f t="shared" si="0"/>
        <v>3.7168800277473028E-3</v>
      </c>
    </row>
    <row r="20" spans="1:7" x14ac:dyDescent="0.2">
      <c r="A20" s="5" t="s">
        <v>23</v>
      </c>
      <c r="B20" s="6" t="s">
        <v>24</v>
      </c>
      <c r="C20" s="7">
        <f>'[3]Team Report'!BA38</f>
        <v>116.15</v>
      </c>
      <c r="E20" s="7">
        <f t="shared" si="1"/>
        <v>154.86666666666667</v>
      </c>
      <c r="G20" s="17">
        <f t="shared" si="0"/>
        <v>3.7267334918484372E-5</v>
      </c>
    </row>
    <row r="21" spans="1:7" x14ac:dyDescent="0.2">
      <c r="A21" s="5" t="s">
        <v>25</v>
      </c>
      <c r="B21" s="6" t="s">
        <v>26</v>
      </c>
      <c r="C21" s="7">
        <f>'[3]Team Report'!BA42-29442-158500-73200</f>
        <v>55889.010000000009</v>
      </c>
      <c r="E21" s="7">
        <f t="shared" si="1"/>
        <v>74518.680000000022</v>
      </c>
      <c r="G21" s="17">
        <f t="shared" si="0"/>
        <v>1.7932281135880523E-2</v>
      </c>
    </row>
    <row r="22" spans="1:7" x14ac:dyDescent="0.2">
      <c r="A22" s="5" t="s">
        <v>27</v>
      </c>
      <c r="B22" s="6" t="s">
        <v>28</v>
      </c>
      <c r="C22" s="7">
        <f>'[3]Team Report'!BA44</f>
        <v>11413.48</v>
      </c>
      <c r="E22" s="7">
        <f t="shared" si="1"/>
        <v>15217.973333333332</v>
      </c>
      <c r="G22" s="17">
        <f t="shared" si="0"/>
        <v>3.6620747459786733E-3</v>
      </c>
    </row>
    <row r="23" spans="1:7" x14ac:dyDescent="0.2">
      <c r="A23" s="8" t="s">
        <v>29</v>
      </c>
      <c r="B23" s="9" t="s">
        <v>30</v>
      </c>
      <c r="C23" s="10">
        <f>SUM(C8:C22)</f>
        <v>3154170.4099999997</v>
      </c>
      <c r="E23" s="10">
        <f>SUM(E8:E22)</f>
        <v>4155560.5466666669</v>
      </c>
      <c r="G23" s="18">
        <f>SUM(G8:G22)</f>
        <v>1</v>
      </c>
    </row>
    <row r="25" spans="1:7" x14ac:dyDescent="0.2">
      <c r="B25" s="9" t="s">
        <v>58</v>
      </c>
      <c r="C25" s="7"/>
      <c r="E25" s="11">
        <v>14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2</v>
      </c>
    </row>
    <row r="29" spans="1:7" x14ac:dyDescent="0.2">
      <c r="B29" s="9" t="s">
        <v>31</v>
      </c>
      <c r="C29" s="7"/>
      <c r="E29" s="11">
        <f>+E27+E25</f>
        <v>16</v>
      </c>
    </row>
    <row r="31" spans="1:7" x14ac:dyDescent="0.2">
      <c r="A31" s="5" t="s">
        <v>32</v>
      </c>
      <c r="B31" s="6" t="s">
        <v>33</v>
      </c>
      <c r="C31" s="7">
        <f>'[3]Team Report'!BA29</f>
        <v>2024256.88</v>
      </c>
      <c r="E31" s="7">
        <f t="shared" ref="E31:E40" si="2">(C31/9)*12</f>
        <v>2699009.1733333333</v>
      </c>
    </row>
    <row r="32" spans="1:7" x14ac:dyDescent="0.2">
      <c r="A32" s="5" t="s">
        <v>34</v>
      </c>
      <c r="B32" s="6" t="s">
        <v>35</v>
      </c>
      <c r="C32" s="7">
        <f>'[3]Team Report'!BA30</f>
        <v>128</v>
      </c>
      <c r="E32" s="7">
        <f t="shared" si="2"/>
        <v>170.66666666666666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'[3]Team Report'!BA40</f>
        <v>30896.479999999996</v>
      </c>
      <c r="E35" s="7">
        <f t="shared" si="2"/>
        <v>41195.306666666664</v>
      </c>
    </row>
    <row r="36" spans="1:5" x14ac:dyDescent="0.2">
      <c r="A36" s="5" t="s">
        <v>42</v>
      </c>
      <c r="B36" s="6" t="s">
        <v>43</v>
      </c>
      <c r="C36" s="7">
        <f>'[3]Team Report'!BA41</f>
        <v>19288.080000000002</v>
      </c>
      <c r="E36" s="7">
        <f t="shared" si="2"/>
        <v>25717.440000000002</v>
      </c>
    </row>
    <row r="37" spans="1:5" x14ac:dyDescent="0.2">
      <c r="A37" s="5" t="s">
        <v>44</v>
      </c>
      <c r="B37" s="6" t="s">
        <v>45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'[3]Team Report'!BA45</f>
        <v>58719</v>
      </c>
      <c r="E38" s="7">
        <f t="shared" si="2"/>
        <v>78292</v>
      </c>
    </row>
    <row r="39" spans="1:5" x14ac:dyDescent="0.2">
      <c r="B39" s="6" t="s">
        <v>54</v>
      </c>
      <c r="C39" s="7">
        <v>243381</v>
      </c>
      <c r="E39" s="7">
        <f t="shared" si="2"/>
        <v>324508</v>
      </c>
    </row>
    <row r="40" spans="1:5" x14ac:dyDescent="0.2">
      <c r="B40" s="6" t="s">
        <v>55</v>
      </c>
      <c r="C40" s="7">
        <f>736384+158500</f>
        <v>894884</v>
      </c>
      <c r="E40" s="7">
        <f t="shared" si="2"/>
        <v>1193178.6666666667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2.5703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'[5]Team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'[5]Pull Sheet'!E9</f>
        <v>West Power Generation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'[5]Team Report'!BA25-C9+1216780-66500</f>
        <v>1441914.8599999999</v>
      </c>
      <c r="E8" s="7">
        <f>(C8/9)*12</f>
        <v>1922553.1466666665</v>
      </c>
      <c r="G8" s="17">
        <f>+E8/$E$23</f>
        <v>0.46155831813915477</v>
      </c>
    </row>
    <row r="9" spans="1:44" x14ac:dyDescent="0.2">
      <c r="A9" s="5"/>
      <c r="B9" s="6" t="s">
        <v>4</v>
      </c>
      <c r="C9" s="7">
        <v>144000</v>
      </c>
      <c r="E9" s="7">
        <f>+C9</f>
        <v>144000</v>
      </c>
      <c r="G9" s="17">
        <f t="shared" ref="G9:G22" si="0">+E9/$E$23</f>
        <v>3.4570902722390086E-2</v>
      </c>
    </row>
    <row r="10" spans="1:44" x14ac:dyDescent="0.2">
      <c r="B10" s="6" t="s">
        <v>48</v>
      </c>
      <c r="C10" s="7">
        <f>66500+11844+150000+20031+5625</f>
        <v>254000</v>
      </c>
      <c r="E10" s="7">
        <f>(C10/9)*12</f>
        <v>338666.66666666669</v>
      </c>
      <c r="G10" s="17">
        <f t="shared" si="0"/>
        <v>8.1305641587843355E-2</v>
      </c>
    </row>
    <row r="11" spans="1:44" x14ac:dyDescent="0.2">
      <c r="A11" s="5" t="s">
        <v>5</v>
      </c>
      <c r="B11" s="6" t="s">
        <v>6</v>
      </c>
      <c r="C11" s="7">
        <f>'[5]Team Report'!BA26-11844-5625</f>
        <v>288180.09000000003</v>
      </c>
      <c r="E11" s="7">
        <f t="shared" ref="E11:E22" si="1">(C11/9)*12</f>
        <v>384240.12</v>
      </c>
      <c r="G11" s="17">
        <f t="shared" si="0"/>
        <v>9.2246720906663138E-2</v>
      </c>
    </row>
    <row r="12" spans="1:44" x14ac:dyDescent="0.2">
      <c r="A12" s="5" t="s">
        <v>7</v>
      </c>
      <c r="B12" s="6" t="s">
        <v>8</v>
      </c>
      <c r="C12" s="7">
        <f>'[5]Team Report'!BA27</f>
        <v>154640.08000000002</v>
      </c>
      <c r="E12" s="7">
        <f t="shared" si="1"/>
        <v>206186.77333333335</v>
      </c>
      <c r="G12" s="17">
        <f t="shared" si="0"/>
        <v>4.9500436691320565E-2</v>
      </c>
    </row>
    <row r="13" spans="1:44" x14ac:dyDescent="0.2">
      <c r="A13" s="5" t="s">
        <v>9</v>
      </c>
      <c r="B13" s="6" t="s">
        <v>10</v>
      </c>
      <c r="C13" s="7">
        <f>'[5]Team Report'!BA28</f>
        <v>215744.26</v>
      </c>
      <c r="E13" s="7">
        <f t="shared" si="1"/>
        <v>287659.01333333331</v>
      </c>
      <c r="G13" s="17">
        <f t="shared" si="0"/>
        <v>6.9059942827537343E-2</v>
      </c>
    </row>
    <row r="14" spans="1:44" x14ac:dyDescent="0.2">
      <c r="A14" s="5" t="s">
        <v>11</v>
      </c>
      <c r="B14" s="6" t="s">
        <v>12</v>
      </c>
      <c r="C14" s="7">
        <f>'[5]Team Report'!BA32</f>
        <v>189840.78</v>
      </c>
      <c r="E14" s="7">
        <f t="shared" si="1"/>
        <v>253121.03999999998</v>
      </c>
      <c r="G14" s="17">
        <f t="shared" si="0"/>
        <v>6.076821424187645E-2</v>
      </c>
    </row>
    <row r="15" spans="1:44" x14ac:dyDescent="0.2">
      <c r="A15" s="5" t="s">
        <v>13</v>
      </c>
      <c r="B15" s="6" t="s">
        <v>14</v>
      </c>
      <c r="C15" s="7">
        <f>'[5]Team Report'!BA33</f>
        <v>18188.900000000001</v>
      </c>
      <c r="E15" s="7">
        <f t="shared" si="1"/>
        <v>24251.866666666669</v>
      </c>
      <c r="G15" s="17">
        <f t="shared" si="0"/>
        <v>5.8222841900674172E-3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21292</v>
      </c>
      <c r="E17" s="7">
        <f t="shared" si="1"/>
        <v>28389.333333333336</v>
      </c>
      <c r="G17" s="17">
        <f t="shared" si="0"/>
        <v>6.8155894515289786E-3</v>
      </c>
    </row>
    <row r="18" spans="1:7" x14ac:dyDescent="0.2">
      <c r="A18" s="5" t="s">
        <v>19</v>
      </c>
      <c r="B18" s="6" t="s">
        <v>20</v>
      </c>
      <c r="C18" s="7">
        <f>'[5]Team Report'!BA36</f>
        <v>408187.77</v>
      </c>
      <c r="E18" s="7">
        <f t="shared" si="1"/>
        <v>544250.3600000001</v>
      </c>
      <c r="G18" s="17">
        <f t="shared" si="0"/>
        <v>0.13066129341795685</v>
      </c>
    </row>
    <row r="19" spans="1:7" x14ac:dyDescent="0.2">
      <c r="A19" s="5" t="s">
        <v>21</v>
      </c>
      <c r="B19" s="6" t="s">
        <v>22</v>
      </c>
      <c r="C19" s="7">
        <f>'[5]Team Report'!BA37</f>
        <v>13640.33</v>
      </c>
      <c r="E19" s="7">
        <f t="shared" si="1"/>
        <v>18187.106666666667</v>
      </c>
      <c r="G19" s="17">
        <f t="shared" si="0"/>
        <v>4.3662826067712886E-3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'[5]Team Report'!BA42-C39-150000-20031</f>
        <v>6475.6200000001118</v>
      </c>
      <c r="E21" s="7">
        <f t="shared" si="1"/>
        <v>8634.160000000149</v>
      </c>
      <c r="G21" s="17">
        <f t="shared" si="0"/>
        <v>2.0728521211774774E-3</v>
      </c>
    </row>
    <row r="22" spans="1:7" x14ac:dyDescent="0.2">
      <c r="A22" s="5" t="s">
        <v>27</v>
      </c>
      <c r="B22" s="6" t="s">
        <v>28</v>
      </c>
      <c r="C22" s="7">
        <f>'[5]Team Report'!BA44</f>
        <v>3909.7699999999995</v>
      </c>
      <c r="E22" s="7">
        <f t="shared" si="1"/>
        <v>5213.0266666666657</v>
      </c>
      <c r="G22" s="17">
        <f t="shared" si="0"/>
        <v>1.2515210957122136E-3</v>
      </c>
    </row>
    <row r="23" spans="1:7" x14ac:dyDescent="0.2">
      <c r="A23" s="8" t="s">
        <v>29</v>
      </c>
      <c r="B23" s="9" t="s">
        <v>30</v>
      </c>
      <c r="C23" s="10">
        <f>SUM(C8:C22)</f>
        <v>3160014.46</v>
      </c>
      <c r="E23" s="10">
        <f>SUM(E8:E22)</f>
        <v>4165352.6133333337</v>
      </c>
      <c r="G23" s="18">
        <f>SUM(G8:G22)</f>
        <v>1</v>
      </c>
    </row>
    <row r="25" spans="1:7" x14ac:dyDescent="0.2">
      <c r="B25" s="9" t="s">
        <v>58</v>
      </c>
      <c r="C25" s="7"/>
      <c r="E25" s="11">
        <v>14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4</v>
      </c>
    </row>
    <row r="29" spans="1:7" x14ac:dyDescent="0.2">
      <c r="B29" s="9" t="s">
        <v>31</v>
      </c>
      <c r="C29" s="7"/>
      <c r="E29" s="11">
        <f>+E27+E25</f>
        <v>18</v>
      </c>
    </row>
    <row r="31" spans="1:7" x14ac:dyDescent="0.2">
      <c r="A31" s="5" t="s">
        <v>32</v>
      </c>
      <c r="B31" s="6" t="s">
        <v>33</v>
      </c>
      <c r="C31" s="7">
        <f>'[5]Team Report'!BA29</f>
        <v>232195.77000000002</v>
      </c>
      <c r="E31" s="7">
        <f t="shared" ref="E31:E39" si="2">(C31/9)*12</f>
        <v>309594.36000000004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124209</v>
      </c>
      <c r="E33" s="7">
        <f t="shared" si="2"/>
        <v>165612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10824.869999999999</v>
      </c>
      <c r="E35" s="7">
        <f t="shared" si="2"/>
        <v>14433.16</v>
      </c>
    </row>
    <row r="36" spans="1:5" x14ac:dyDescent="0.2">
      <c r="A36" s="5" t="s">
        <v>42</v>
      </c>
      <c r="B36" s="6" t="s">
        <v>43</v>
      </c>
      <c r="C36" s="7">
        <f>'[5]Team Report'!BA41</f>
        <v>10947.079999999998</v>
      </c>
      <c r="E36" s="7">
        <f t="shared" si="2"/>
        <v>14596.106666666665</v>
      </c>
    </row>
    <row r="37" spans="1:5" x14ac:dyDescent="0.2">
      <c r="A37" s="5" t="s">
        <v>44</v>
      </c>
      <c r="B37" s="6" t="s">
        <v>45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'[5]Team Report'!BA45</f>
        <v>7339</v>
      </c>
      <c r="E38" s="7">
        <f t="shared" si="2"/>
        <v>9785.3333333333339</v>
      </c>
    </row>
    <row r="39" spans="1:5" x14ac:dyDescent="0.2">
      <c r="B39" s="6" t="s">
        <v>56</v>
      </c>
      <c r="C39" s="7">
        <f>795732+362488</f>
        <v>1158220</v>
      </c>
      <c r="E39" s="7">
        <f t="shared" si="2"/>
        <v>1544293.3333333333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'[1]Team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'[1]Pull Sheet'!E9</f>
        <v>West Power Trading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'[1]Team Report'!BA25-C9-136000</f>
        <v>2252130.4999999995</v>
      </c>
      <c r="E8" s="7">
        <f>(C8/9)*12</f>
        <v>3002840.666666666</v>
      </c>
      <c r="G8" s="17">
        <f>+E8/$E$23</f>
        <v>0.37754274533259441</v>
      </c>
    </row>
    <row r="9" spans="1:44" x14ac:dyDescent="0.2">
      <c r="A9" s="5"/>
      <c r="B9" s="6" t="s">
        <v>4</v>
      </c>
      <c r="C9" s="7">
        <v>1135500</v>
      </c>
      <c r="E9" s="7">
        <f>+C9</f>
        <v>1135500</v>
      </c>
      <c r="G9" s="17">
        <f t="shared" ref="G9:G22" si="0">+E9/$E$23</f>
        <v>0.14276474675595877</v>
      </c>
    </row>
    <row r="10" spans="1:44" x14ac:dyDescent="0.2">
      <c r="B10" s="6" t="s">
        <v>48</v>
      </c>
      <c r="C10" s="7">
        <f>136000+25317+341000+43410+12240</f>
        <v>557967</v>
      </c>
      <c r="E10" s="7">
        <f>(C10/9)*12</f>
        <v>743956</v>
      </c>
      <c r="G10" s="17">
        <f t="shared" si="0"/>
        <v>9.3536494881176629E-2</v>
      </c>
    </row>
    <row r="11" spans="1:44" x14ac:dyDescent="0.2">
      <c r="A11" s="5" t="s">
        <v>5</v>
      </c>
      <c r="B11" s="6" t="s">
        <v>6</v>
      </c>
      <c r="C11" s="7">
        <f>'[1]Team Report'!BA26-25317-12240</f>
        <v>551903.41</v>
      </c>
      <c r="E11" s="7">
        <f t="shared" ref="E11:E22" si="1">(C11/9)*12</f>
        <v>735871.21333333338</v>
      </c>
      <c r="G11" s="17">
        <f t="shared" si="0"/>
        <v>9.2520006531513377E-2</v>
      </c>
    </row>
    <row r="12" spans="1:44" x14ac:dyDescent="0.2">
      <c r="A12" s="5" t="s">
        <v>7</v>
      </c>
      <c r="B12" s="6" t="s">
        <v>8</v>
      </c>
      <c r="C12" s="7">
        <f>'[1]Team Report'!BA27</f>
        <v>503728.11</v>
      </c>
      <c r="E12" s="7">
        <f t="shared" si="1"/>
        <v>671637.48</v>
      </c>
      <c r="G12" s="17">
        <f t="shared" si="0"/>
        <v>8.4443993609872578E-2</v>
      </c>
    </row>
    <row r="13" spans="1:44" x14ac:dyDescent="0.2">
      <c r="A13" s="5" t="s">
        <v>9</v>
      </c>
      <c r="B13" s="6" t="s">
        <v>10</v>
      </c>
      <c r="C13" s="7">
        <f>'[1]Team Report'!BA28-C39-C40</f>
        <v>198594.99000000005</v>
      </c>
      <c r="E13" s="7">
        <f t="shared" si="1"/>
        <v>264793.32000000007</v>
      </c>
      <c r="G13" s="17">
        <f t="shared" si="0"/>
        <v>3.329207509684682E-2</v>
      </c>
    </row>
    <row r="14" spans="1:44" x14ac:dyDescent="0.2">
      <c r="A14" s="5" t="s">
        <v>11</v>
      </c>
      <c r="B14" s="6" t="s">
        <v>12</v>
      </c>
      <c r="C14" s="7">
        <f>'[1]Team Report'!BA32</f>
        <v>182158.55</v>
      </c>
      <c r="E14" s="7">
        <f t="shared" si="1"/>
        <v>242878.06666666665</v>
      </c>
      <c r="G14" s="17">
        <f t="shared" si="0"/>
        <v>3.0536702492508616E-2</v>
      </c>
    </row>
    <row r="15" spans="1:44" x14ac:dyDescent="0.2">
      <c r="A15" s="5" t="s">
        <v>13</v>
      </c>
      <c r="B15" s="6" t="s">
        <v>14</v>
      </c>
      <c r="C15" s="7">
        <f>'[1]Team Report'!BA33</f>
        <v>95696.91</v>
      </c>
      <c r="E15" s="7">
        <f t="shared" si="1"/>
        <v>127595.88</v>
      </c>
      <c r="G15" s="17">
        <f t="shared" si="0"/>
        <v>1.6042442532191725E-2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1750</v>
      </c>
      <c r="E17" s="7">
        <f t="shared" si="1"/>
        <v>2333.3333333333335</v>
      </c>
      <c r="G17" s="17">
        <f t="shared" si="0"/>
        <v>2.933665719335715E-4</v>
      </c>
    </row>
    <row r="18" spans="1:7" x14ac:dyDescent="0.2">
      <c r="A18" s="5" t="s">
        <v>19</v>
      </c>
      <c r="B18" s="6" t="s">
        <v>20</v>
      </c>
      <c r="C18" s="7">
        <f>'[1]Team Report'!BA36</f>
        <v>176422.81000000003</v>
      </c>
      <c r="E18" s="7">
        <f t="shared" si="1"/>
        <v>235230.41333333339</v>
      </c>
      <c r="G18" s="17">
        <f t="shared" si="0"/>
        <v>2.9575174274621616E-2</v>
      </c>
    </row>
    <row r="19" spans="1:7" x14ac:dyDescent="0.2">
      <c r="A19" s="5" t="s">
        <v>21</v>
      </c>
      <c r="B19" s="6" t="s">
        <v>22</v>
      </c>
      <c r="C19" s="7">
        <f>'[1]Team Report'!BA37</f>
        <v>105076.45999999999</v>
      </c>
      <c r="E19" s="7">
        <f t="shared" si="1"/>
        <v>140101.94666666666</v>
      </c>
      <c r="G19" s="17">
        <f t="shared" si="0"/>
        <v>1.7614811920637168E-2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'[1]Team Report'!BA42-341000-43410-C41-C42-C43</f>
        <v>443149.94000000018</v>
      </c>
      <c r="E21" s="7">
        <f t="shared" si="1"/>
        <v>590866.5866666669</v>
      </c>
      <c r="G21" s="17">
        <f t="shared" si="0"/>
        <v>7.4288787857353114E-2</v>
      </c>
    </row>
    <row r="22" spans="1:7" x14ac:dyDescent="0.2">
      <c r="A22" s="5" t="s">
        <v>27</v>
      </c>
      <c r="B22" s="6" t="s">
        <v>28</v>
      </c>
      <c r="C22" s="7">
        <f>'[1]Team Report'!BA44</f>
        <v>45029.469999999958</v>
      </c>
      <c r="E22" s="7">
        <f t="shared" si="1"/>
        <v>60039.293333333277</v>
      </c>
      <c r="G22" s="17">
        <f t="shared" si="0"/>
        <v>7.5486521427917648E-3</v>
      </c>
    </row>
    <row r="23" spans="1:7" x14ac:dyDescent="0.2">
      <c r="A23" s="8" t="s">
        <v>29</v>
      </c>
      <c r="B23" s="9" t="s">
        <v>30</v>
      </c>
      <c r="C23" s="10">
        <f>SUM(C8:C22)</f>
        <v>6249108.1499999994</v>
      </c>
      <c r="E23" s="10">
        <f>SUM(E8:E22)</f>
        <v>7953644.1999999983</v>
      </c>
      <c r="G23" s="18">
        <f>SUM(G8:G22)</f>
        <v>1.0000000000000002</v>
      </c>
    </row>
    <row r="25" spans="1:7" x14ac:dyDescent="0.2">
      <c r="B25" s="9" t="s">
        <v>58</v>
      </c>
      <c r="C25" s="7"/>
      <c r="E25" s="11">
        <v>44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10</v>
      </c>
    </row>
    <row r="29" spans="1:7" x14ac:dyDescent="0.2">
      <c r="B29" s="9" t="s">
        <v>31</v>
      </c>
      <c r="C29" s="7"/>
      <c r="E29" s="11">
        <f>+E27+E25</f>
        <v>54</v>
      </c>
    </row>
    <row r="31" spans="1:7" x14ac:dyDescent="0.2">
      <c r="A31" s="5" t="s">
        <v>32</v>
      </c>
      <c r="B31" s="6" t="s">
        <v>33</v>
      </c>
      <c r="C31" s="7">
        <f>'[1]Team Report'!BA29</f>
        <v>6445583.9900000002</v>
      </c>
      <c r="E31" s="7">
        <f t="shared" ref="E31:E41" si="2">(C31/9)*12</f>
        <v>8594111.9866666663</v>
      </c>
    </row>
    <row r="32" spans="1:7" x14ac:dyDescent="0.2">
      <c r="A32" s="5" t="s">
        <v>34</v>
      </c>
      <c r="B32" s="6" t="s">
        <v>35</v>
      </c>
      <c r="C32" s="7">
        <f>'[1]Team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'[1]Team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'[1]Team Report'!BA39</f>
        <v>1619999.69</v>
      </c>
      <c r="E34" s="7">
        <f t="shared" si="2"/>
        <v>2159999.5866666664</v>
      </c>
    </row>
    <row r="35" spans="1:5" x14ac:dyDescent="0.2">
      <c r="A35" s="5" t="s">
        <v>40</v>
      </c>
      <c r="B35" s="6" t="s">
        <v>41</v>
      </c>
      <c r="C35" s="7">
        <f>'[1]Team Report'!BA40</f>
        <v>871920.12999999989</v>
      </c>
      <c r="E35" s="7">
        <f t="shared" si="2"/>
        <v>1162560.1733333331</v>
      </c>
    </row>
    <row r="36" spans="1:5" x14ac:dyDescent="0.2">
      <c r="A36" s="5" t="s">
        <v>42</v>
      </c>
      <c r="B36" s="6" t="s">
        <v>43</v>
      </c>
      <c r="C36" s="7">
        <f>'[1]Team Report'!BA41</f>
        <v>38341.06</v>
      </c>
      <c r="E36" s="7">
        <f t="shared" si="2"/>
        <v>51121.41333333333</v>
      </c>
    </row>
    <row r="37" spans="1:5" x14ac:dyDescent="0.2">
      <c r="A37" s="5" t="s">
        <v>44</v>
      </c>
      <c r="B37" s="6" t="s">
        <v>45</v>
      </c>
      <c r="C37" s="7">
        <f>'[1]Team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'[1]Team Report'!BA45</f>
        <v>263907.25</v>
      </c>
      <c r="E38" s="7">
        <f t="shared" si="2"/>
        <v>351876.33333333331</v>
      </c>
    </row>
    <row r="39" spans="1:5" x14ac:dyDescent="0.2">
      <c r="B39" s="6" t="s">
        <v>49</v>
      </c>
      <c r="C39" s="7">
        <f>10397+3368+4311+7331</f>
        <v>25407</v>
      </c>
      <c r="E39" s="7">
        <v>25407</v>
      </c>
    </row>
    <row r="40" spans="1:5" x14ac:dyDescent="0.2">
      <c r="B40" s="6" t="s">
        <v>50</v>
      </c>
      <c r="C40" s="7">
        <f>16834+34764+839+2164+3268+16241</f>
        <v>74110</v>
      </c>
      <c r="E40" s="7">
        <v>74110</v>
      </c>
    </row>
    <row r="41" spans="1:5" x14ac:dyDescent="0.2">
      <c r="B41" s="6" t="s">
        <v>51</v>
      </c>
      <c r="C41" s="7">
        <v>1035981</v>
      </c>
      <c r="E41" s="7">
        <f t="shared" si="2"/>
        <v>1381308</v>
      </c>
    </row>
    <row r="42" spans="1:5" x14ac:dyDescent="0.2">
      <c r="B42" s="6" t="s">
        <v>52</v>
      </c>
      <c r="C42" s="7">
        <v>41127</v>
      </c>
      <c r="E42" s="7">
        <v>41127</v>
      </c>
    </row>
    <row r="43" spans="1:5" x14ac:dyDescent="0.2">
      <c r="B43" s="6" t="s">
        <v>53</v>
      </c>
      <c r="C43" s="7">
        <v>29408</v>
      </c>
      <c r="E43" s="7">
        <v>29408</v>
      </c>
    </row>
    <row r="45" spans="1:5" x14ac:dyDescent="0.2">
      <c r="C45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3.425781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'[4]Team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'[4]Pull Sheet'!E9</f>
        <v>West Power Mid-Market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'[4]Team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'[4]Team Report'!BA25-C9</f>
        <v>441152.37</v>
      </c>
      <c r="E8" s="7">
        <f>(C8/9)*12</f>
        <v>588203.16</v>
      </c>
      <c r="G8" s="17">
        <f>+E8/$E$23</f>
        <v>0.62414129039807598</v>
      </c>
    </row>
    <row r="9" spans="1:44" x14ac:dyDescent="0.2">
      <c r="A9" s="5"/>
      <c r="B9" s="6" t="s">
        <v>4</v>
      </c>
      <c r="C9" s="7">
        <v>5000</v>
      </c>
      <c r="E9" s="7">
        <f>+C9</f>
        <v>5000</v>
      </c>
      <c r="G9" s="17">
        <f t="shared" ref="G9:G22" si="0">+E9/$E$23</f>
        <v>5.3054907967348902E-3</v>
      </c>
    </row>
    <row r="10" spans="1:44" x14ac:dyDescent="0.2">
      <c r="B10" s="6" t="s">
        <v>48</v>
      </c>
      <c r="C10" s="7">
        <v>0</v>
      </c>
      <c r="E10" s="7"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'[4]Team Report'!BA26</f>
        <v>95688.11</v>
      </c>
      <c r="E11" s="7">
        <f t="shared" ref="E11:E22" si="1">(C11/9)*12</f>
        <v>127584.14666666667</v>
      </c>
      <c r="G11" s="17">
        <f t="shared" si="0"/>
        <v>0.13537930318985489</v>
      </c>
    </row>
    <row r="12" spans="1:44" x14ac:dyDescent="0.2">
      <c r="A12" s="5" t="s">
        <v>7</v>
      </c>
      <c r="B12" s="6" t="s">
        <v>8</v>
      </c>
      <c r="C12" s="7">
        <f>'[4]Team Report'!BA27</f>
        <v>21174.129999999997</v>
      </c>
      <c r="E12" s="7">
        <f t="shared" si="1"/>
        <v>28232.173333333332</v>
      </c>
      <c r="G12" s="17">
        <f t="shared" si="0"/>
        <v>2.9957107158364835E-2</v>
      </c>
    </row>
    <row r="13" spans="1:44" x14ac:dyDescent="0.2">
      <c r="A13" s="5" t="s">
        <v>9</v>
      </c>
      <c r="B13" s="6" t="s">
        <v>10</v>
      </c>
      <c r="C13" s="7">
        <f>'[4]Team Report'!BA28</f>
        <v>72009.7</v>
      </c>
      <c r="E13" s="7">
        <f t="shared" si="1"/>
        <v>96012.933333333334</v>
      </c>
      <c r="G13" s="17">
        <f t="shared" si="0"/>
        <v>0.1018791468335041</v>
      </c>
    </row>
    <row r="14" spans="1:44" x14ac:dyDescent="0.2">
      <c r="A14" s="5" t="s">
        <v>11</v>
      </c>
      <c r="B14" s="6" t="s">
        <v>12</v>
      </c>
      <c r="C14" s="7">
        <f>'[4]Team Report'!BA32</f>
        <v>40914.379999999997</v>
      </c>
      <c r="E14" s="7">
        <f t="shared" si="1"/>
        <v>54552.506666666668</v>
      </c>
      <c r="G14" s="17">
        <f t="shared" si="0"/>
        <v>5.7885564411763749E-2</v>
      </c>
    </row>
    <row r="15" spans="1:44" x14ac:dyDescent="0.2">
      <c r="A15" s="5" t="s">
        <v>13</v>
      </c>
      <c r="B15" s="6" t="s">
        <v>14</v>
      </c>
      <c r="C15" s="7">
        <f>'[4]Team Report'!BA33</f>
        <v>12922.06</v>
      </c>
      <c r="E15" s="7">
        <f t="shared" si="1"/>
        <v>17229.413333333334</v>
      </c>
      <c r="G15" s="17">
        <f t="shared" si="0"/>
        <v>1.8282098774628282E-2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'[4]Team Report'!BA36</f>
        <v>2288.4500000000003</v>
      </c>
      <c r="E18" s="7">
        <f t="shared" si="1"/>
        <v>3051.2666666666669</v>
      </c>
      <c r="G18" s="17">
        <f t="shared" si="0"/>
        <v>3.2376934436767891E-3</v>
      </c>
    </row>
    <row r="19" spans="1:7" x14ac:dyDescent="0.2">
      <c r="A19" s="5" t="s">
        <v>21</v>
      </c>
      <c r="B19" s="6" t="s">
        <v>22</v>
      </c>
      <c r="C19" s="7">
        <f>'[4]Team Report'!BA37</f>
        <v>5065</v>
      </c>
      <c r="E19" s="7">
        <f t="shared" si="1"/>
        <v>6753.3333333333339</v>
      </c>
      <c r="G19" s="17">
        <f t="shared" si="0"/>
        <v>7.1659495694565917E-3</v>
      </c>
    </row>
    <row r="20" spans="1:7" x14ac:dyDescent="0.2">
      <c r="A20" s="5" t="s">
        <v>23</v>
      </c>
      <c r="B20" s="6" t="s">
        <v>24</v>
      </c>
      <c r="C20" s="7">
        <f>'[4]Team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'[4]Team Report'!BA42</f>
        <v>3737.8800000000006</v>
      </c>
      <c r="E21" s="7">
        <f t="shared" si="1"/>
        <v>4983.84</v>
      </c>
      <c r="G21" s="17">
        <f t="shared" si="0"/>
        <v>5.2883434504798427E-3</v>
      </c>
    </row>
    <row r="22" spans="1:7" x14ac:dyDescent="0.2">
      <c r="A22" s="5" t="s">
        <v>27</v>
      </c>
      <c r="B22" s="6" t="s">
        <v>28</v>
      </c>
      <c r="C22" s="7">
        <f>'[4]Team Report'!BA44</f>
        <v>8112.83</v>
      </c>
      <c r="E22" s="7">
        <f t="shared" si="1"/>
        <v>10817.106666666667</v>
      </c>
      <c r="G22" s="17">
        <f t="shared" si="0"/>
        <v>1.1478011973459925E-2</v>
      </c>
    </row>
    <row r="23" spans="1:7" x14ac:dyDescent="0.2">
      <c r="A23" s="8" t="s">
        <v>29</v>
      </c>
      <c r="B23" s="9" t="s">
        <v>30</v>
      </c>
      <c r="C23" s="10">
        <f>SUM(C8:C22)</f>
        <v>708064.90999999992</v>
      </c>
      <c r="E23" s="10">
        <f>SUM(E8:E22)</f>
        <v>942419.88000000012</v>
      </c>
      <c r="G23" s="18">
        <f>SUM(G8:G22)</f>
        <v>0.99999999999999978</v>
      </c>
    </row>
    <row r="25" spans="1:7" x14ac:dyDescent="0.2">
      <c r="B25" s="9" t="s">
        <v>58</v>
      </c>
      <c r="C25" s="7"/>
      <c r="E25" s="11">
        <v>5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0</v>
      </c>
    </row>
    <row r="29" spans="1:7" x14ac:dyDescent="0.2">
      <c r="B29" s="9" t="s">
        <v>31</v>
      </c>
      <c r="C29" s="7"/>
      <c r="E29" s="11">
        <f>+E27+E25</f>
        <v>5</v>
      </c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'[4]Team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'[4]Team Report'!BA40</f>
        <v>4330.8</v>
      </c>
      <c r="E35" s="7">
        <f t="shared" si="2"/>
        <v>5774.4000000000005</v>
      </c>
    </row>
    <row r="36" spans="1:5" x14ac:dyDescent="0.2">
      <c r="A36" s="5" t="s">
        <v>42</v>
      </c>
      <c r="B36" s="6" t="s">
        <v>43</v>
      </c>
      <c r="C36" s="7">
        <f>'[4]Team Report'!BA41</f>
        <v>2931.97</v>
      </c>
      <c r="E36" s="7">
        <f t="shared" si="2"/>
        <v>3909.2933333333331</v>
      </c>
    </row>
    <row r="37" spans="1:5" x14ac:dyDescent="0.2">
      <c r="A37" s="5" t="s">
        <v>44</v>
      </c>
      <c r="B37" s="6" t="s">
        <v>45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0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9" t="str">
        <f>'[6]Team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'[6]Pull Sheet'!E9</f>
        <v>West Power Services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'[6]Team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'[6]Team Report'!BA25-C9</f>
        <v>166916.68999999997</v>
      </c>
      <c r="E8" s="7">
        <f>(C8/9)*12</f>
        <v>222555.58666666664</v>
      </c>
      <c r="G8" s="17">
        <f>+E8/$E$23</f>
        <v>0.61205549559877459</v>
      </c>
    </row>
    <row r="9" spans="1:44" x14ac:dyDescent="0.2">
      <c r="A9" s="5"/>
      <c r="B9" s="6" t="s">
        <v>4</v>
      </c>
      <c r="C9" s="7">
        <v>16000</v>
      </c>
      <c r="E9" s="7">
        <f>+C9</f>
        <v>16000</v>
      </c>
      <c r="G9" s="17">
        <f t="shared" ref="G9:G22" si="0">+E9/$E$23</f>
        <v>4.400198654301913E-2</v>
      </c>
    </row>
    <row r="10" spans="1:44" x14ac:dyDescent="0.2">
      <c r="B10" s="6" t="s">
        <v>48</v>
      </c>
      <c r="C10" s="7">
        <v>0</v>
      </c>
      <c r="E10" s="7">
        <f>(C10/9)*12</f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'[6]Team Report'!BA26</f>
        <v>43743.03</v>
      </c>
      <c r="E11" s="7">
        <f t="shared" ref="E11:E22" si="1">(C11/9)*12</f>
        <v>58324.039999999994</v>
      </c>
      <c r="G11" s="17">
        <f t="shared" si="0"/>
        <v>0.16039835145090683</v>
      </c>
    </row>
    <row r="12" spans="1:44" x14ac:dyDescent="0.2">
      <c r="A12" s="5" t="s">
        <v>7</v>
      </c>
      <c r="B12" s="6" t="s">
        <v>8</v>
      </c>
      <c r="C12" s="7">
        <f>'[6]Team Report'!BA27</f>
        <v>2719.32</v>
      </c>
      <c r="E12" s="7">
        <f t="shared" si="1"/>
        <v>3625.76</v>
      </c>
      <c r="G12" s="17">
        <f t="shared" si="0"/>
        <v>9.9712901705135658E-3</v>
      </c>
    </row>
    <row r="13" spans="1:44" x14ac:dyDescent="0.2">
      <c r="A13" s="5" t="s">
        <v>9</v>
      </c>
      <c r="B13" s="6" t="s">
        <v>10</v>
      </c>
      <c r="C13" s="7">
        <f>'[6]Team Report'!BA28</f>
        <v>9726.85</v>
      </c>
      <c r="E13" s="7">
        <f t="shared" si="1"/>
        <v>12969.133333333335</v>
      </c>
      <c r="G13" s="17">
        <f t="shared" si="0"/>
        <v>3.5666726900497138E-2</v>
      </c>
    </row>
    <row r="14" spans="1:44" x14ac:dyDescent="0.2">
      <c r="A14" s="5" t="s">
        <v>11</v>
      </c>
      <c r="B14" s="6" t="s">
        <v>12</v>
      </c>
      <c r="C14" s="7">
        <f>'[6]Team Report'!BA32</f>
        <v>27236.059999999998</v>
      </c>
      <c r="E14" s="7">
        <f t="shared" si="1"/>
        <v>36314.746666666666</v>
      </c>
      <c r="G14" s="17">
        <f t="shared" si="0"/>
        <v>9.987006213373846E-2</v>
      </c>
    </row>
    <row r="15" spans="1:44" x14ac:dyDescent="0.2">
      <c r="A15" s="5" t="s">
        <v>13</v>
      </c>
      <c r="B15" s="6" t="s">
        <v>14</v>
      </c>
      <c r="C15" s="7">
        <f>'[6]Team Report'!BA33</f>
        <v>673.12000000000012</v>
      </c>
      <c r="E15" s="7">
        <f t="shared" si="1"/>
        <v>897.49333333333345</v>
      </c>
      <c r="G15" s="17">
        <f t="shared" si="0"/>
        <v>2.4682180984864199E-3</v>
      </c>
    </row>
    <row r="16" spans="1:44" x14ac:dyDescent="0.2">
      <c r="A16" s="5" t="s">
        <v>15</v>
      </c>
      <c r="B16" s="6" t="s">
        <v>16</v>
      </c>
      <c r="C16" s="7">
        <f>'[6]Team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'[6]Team Report'!BA35</f>
        <v>2500</v>
      </c>
      <c r="E17" s="7">
        <f t="shared" si="1"/>
        <v>3333.333333333333</v>
      </c>
      <c r="G17" s="17">
        <f t="shared" si="0"/>
        <v>9.1670805297956511E-3</v>
      </c>
    </row>
    <row r="18" spans="1:7" x14ac:dyDescent="0.2">
      <c r="A18" s="5" t="s">
        <v>19</v>
      </c>
      <c r="B18" s="6" t="s">
        <v>20</v>
      </c>
      <c r="C18" s="7">
        <f>'[6]Team Report'!BA36</f>
        <v>938.06</v>
      </c>
      <c r="E18" s="7">
        <f t="shared" si="1"/>
        <v>1250.7466666666667</v>
      </c>
      <c r="G18" s="17">
        <f t="shared" si="0"/>
        <v>3.4397086247120439E-3</v>
      </c>
    </row>
    <row r="19" spans="1:7" x14ac:dyDescent="0.2">
      <c r="A19" s="5" t="s">
        <v>21</v>
      </c>
      <c r="B19" s="6" t="s">
        <v>22</v>
      </c>
      <c r="C19" s="7">
        <f>'[6]Team Report'!BA37</f>
        <v>350</v>
      </c>
      <c r="E19" s="7">
        <f t="shared" si="1"/>
        <v>466.66666666666663</v>
      </c>
      <c r="G19" s="17">
        <f t="shared" si="0"/>
        <v>1.2833912741713911E-3</v>
      </c>
    </row>
    <row r="20" spans="1:7" x14ac:dyDescent="0.2">
      <c r="A20" s="5" t="s">
        <v>23</v>
      </c>
      <c r="B20" s="6" t="s">
        <v>24</v>
      </c>
      <c r="C20" s="7">
        <f>'[6]Team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'[6]Team Report'!BA42</f>
        <v>492.88</v>
      </c>
      <c r="E21" s="7">
        <f t="shared" si="1"/>
        <v>657.17333333333329</v>
      </c>
      <c r="G21" s="17">
        <f t="shared" si="0"/>
        <v>1.8073082606102724E-3</v>
      </c>
    </row>
    <row r="22" spans="1:7" x14ac:dyDescent="0.2">
      <c r="A22" s="5" t="s">
        <v>27</v>
      </c>
      <c r="B22" s="6" t="s">
        <v>28</v>
      </c>
      <c r="C22" s="7">
        <f>'[6]Team Report'!BA44</f>
        <v>5418.9499999999989</v>
      </c>
      <c r="E22" s="7">
        <f t="shared" si="1"/>
        <v>7225.2666666666646</v>
      </c>
      <c r="G22" s="17">
        <f t="shared" si="0"/>
        <v>1.9870380414774454E-2</v>
      </c>
    </row>
    <row r="23" spans="1:7" x14ac:dyDescent="0.2">
      <c r="A23" s="8" t="s">
        <v>29</v>
      </c>
      <c r="B23" s="9" t="s">
        <v>30</v>
      </c>
      <c r="C23" s="10">
        <f>SUM(C8:C22)</f>
        <v>276714.95999999996</v>
      </c>
      <c r="E23" s="10">
        <f>SUM(E8:E22)</f>
        <v>363619.94666666666</v>
      </c>
      <c r="G23" s="18">
        <f>SUM(G8:G22)</f>
        <v>0.99999999999999989</v>
      </c>
    </row>
    <row r="25" spans="1:7" x14ac:dyDescent="0.2">
      <c r="B25" s="9" t="s">
        <v>58</v>
      </c>
      <c r="C25" s="7"/>
      <c r="E25" s="11">
        <v>2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0</v>
      </c>
    </row>
    <row r="29" spans="1:7" x14ac:dyDescent="0.2">
      <c r="B29" s="9" t="s">
        <v>31</v>
      </c>
      <c r="C29" s="7"/>
      <c r="E29" s="11">
        <f>+E27+E25</f>
        <v>2</v>
      </c>
    </row>
    <row r="30" spans="1:7" x14ac:dyDescent="0.2">
      <c r="B30" s="9"/>
      <c r="C30" s="7"/>
      <c r="E30" s="15"/>
    </row>
    <row r="31" spans="1:7" x14ac:dyDescent="0.2">
      <c r="A31" s="5" t="s">
        <v>32</v>
      </c>
      <c r="B31" s="6" t="s">
        <v>33</v>
      </c>
      <c r="C31" s="7">
        <f>'[6]Team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'[6]Team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'[6]Team Report'!BA40</f>
        <v>0</v>
      </c>
      <c r="E35" s="7">
        <f t="shared" si="2"/>
        <v>0</v>
      </c>
    </row>
    <row r="36" spans="1:5" x14ac:dyDescent="0.2">
      <c r="A36" s="5" t="s">
        <v>42</v>
      </c>
      <c r="B36" s="6" t="s">
        <v>43</v>
      </c>
      <c r="C36" s="7">
        <f>'[6]Team Report'!BA41</f>
        <v>1215.25</v>
      </c>
      <c r="E36" s="7">
        <f t="shared" si="2"/>
        <v>1620.3333333333333</v>
      </c>
    </row>
    <row r="37" spans="1:5" x14ac:dyDescent="0.2">
      <c r="A37" s="5" t="s">
        <v>44</v>
      </c>
      <c r="B37" s="6" t="s">
        <v>45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'[6]Team Report'!BA45</f>
        <v>0</v>
      </c>
      <c r="E38" s="7">
        <f t="shared" si="2"/>
        <v>0</v>
      </c>
    </row>
    <row r="44" spans="1:5" x14ac:dyDescent="0.2">
      <c r="C44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zoomScaleNormal="100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25.71093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9" t="str">
        <f>'[7]Team Report'!B1</f>
        <v>Enron North America</v>
      </c>
      <c r="C1" s="19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9" t="str">
        <f>'[7]Pull Sheet'!E9</f>
        <v>West Power Fundamentals</v>
      </c>
      <c r="C2" s="19"/>
      <c r="D2" s="20"/>
      <c r="E2" s="20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'[7]Team Report'!B3</f>
        <v>37135</v>
      </c>
      <c r="C3" s="23"/>
      <c r="D3" s="20"/>
      <c r="E3" s="20"/>
      <c r="F3" s="20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60</v>
      </c>
    </row>
    <row r="7" spans="1:44" x14ac:dyDescent="0.2">
      <c r="C7" s="4" t="s">
        <v>0</v>
      </c>
      <c r="E7" s="4" t="s">
        <v>1</v>
      </c>
      <c r="G7" s="4" t="s">
        <v>61</v>
      </c>
    </row>
    <row r="8" spans="1:44" x14ac:dyDescent="0.2">
      <c r="A8" s="5" t="s">
        <v>2</v>
      </c>
      <c r="B8" s="6" t="s">
        <v>3</v>
      </c>
      <c r="C8" s="7">
        <f>'[7]Team Report'!BA25-C9</f>
        <v>275174.72000000003</v>
      </c>
      <c r="E8" s="7">
        <f>(C8/9)*12</f>
        <v>366899.62666666671</v>
      </c>
      <c r="G8" s="17">
        <f>+E8/$E$23</f>
        <v>0.48696330612063826</v>
      </c>
    </row>
    <row r="9" spans="1:44" x14ac:dyDescent="0.2">
      <c r="A9" s="5"/>
      <c r="B9" s="6" t="s">
        <v>4</v>
      </c>
      <c r="C9" s="7">
        <v>117500</v>
      </c>
      <c r="E9" s="7">
        <f>+C9</f>
        <v>117500</v>
      </c>
      <c r="G9" s="17">
        <f t="shared" ref="G9:G22" si="0">+E9/$E$23</f>
        <v>0.15595052246035263</v>
      </c>
    </row>
    <row r="10" spans="1:44" x14ac:dyDescent="0.2">
      <c r="B10" s="6" t="s">
        <v>48</v>
      </c>
      <c r="C10" s="7">
        <v>15600</v>
      </c>
      <c r="E10" s="7">
        <f>(C10/9)*12</f>
        <v>20800</v>
      </c>
      <c r="G10" s="17">
        <f t="shared" si="0"/>
        <v>2.7606560571704974E-2</v>
      </c>
    </row>
    <row r="11" spans="1:44" x14ac:dyDescent="0.2">
      <c r="A11" s="5" t="s">
        <v>5</v>
      </c>
      <c r="B11" s="6" t="s">
        <v>6</v>
      </c>
      <c r="C11" s="7">
        <f>'[7]Team Report'!BA26</f>
        <v>66280.87</v>
      </c>
      <c r="E11" s="7">
        <f t="shared" ref="E11:E22" si="1">(C11/9)*12</f>
        <v>88374.493333333332</v>
      </c>
      <c r="G11" s="17">
        <f t="shared" si="0"/>
        <v>0.11729402900001942</v>
      </c>
    </row>
    <row r="12" spans="1:44" x14ac:dyDescent="0.2">
      <c r="A12" s="5" t="s">
        <v>7</v>
      </c>
      <c r="B12" s="6" t="s">
        <v>8</v>
      </c>
      <c r="C12" s="7">
        <f>'[7]Team Report'!BA27</f>
        <v>16110.68</v>
      </c>
      <c r="E12" s="7">
        <f t="shared" si="1"/>
        <v>21480.906666666669</v>
      </c>
      <c r="G12" s="17">
        <f t="shared" si="0"/>
        <v>2.85102861071382E-2</v>
      </c>
    </row>
    <row r="13" spans="1:44" x14ac:dyDescent="0.2">
      <c r="A13" s="5" t="s">
        <v>9</v>
      </c>
      <c r="B13" s="6" t="s">
        <v>10</v>
      </c>
      <c r="C13" s="7">
        <f>'[7]Team Report'!BA28</f>
        <v>15051.49</v>
      </c>
      <c r="E13" s="7">
        <f t="shared" si="1"/>
        <v>20068.653333333332</v>
      </c>
      <c r="G13" s="17">
        <f t="shared" si="0"/>
        <v>2.6635889126885363E-2</v>
      </c>
    </row>
    <row r="14" spans="1:44" x14ac:dyDescent="0.2">
      <c r="A14" s="5" t="s">
        <v>11</v>
      </c>
      <c r="B14" s="6" t="s">
        <v>12</v>
      </c>
      <c r="C14" s="7">
        <f>'[7]Team Report'!BA32</f>
        <v>22922.440000000002</v>
      </c>
      <c r="E14" s="7">
        <f t="shared" si="1"/>
        <v>30563.253333333338</v>
      </c>
      <c r="G14" s="17">
        <f t="shared" si="0"/>
        <v>4.0564726173799553E-2</v>
      </c>
    </row>
    <row r="15" spans="1:44" x14ac:dyDescent="0.2">
      <c r="A15" s="5" t="s">
        <v>13</v>
      </c>
      <c r="B15" s="6" t="s">
        <v>14</v>
      </c>
      <c r="C15" s="7">
        <f>'[7]Team Report'!BA33</f>
        <v>3104.77</v>
      </c>
      <c r="E15" s="7">
        <f t="shared" si="1"/>
        <v>4139.6933333333327</v>
      </c>
      <c r="G15" s="17">
        <f t="shared" si="0"/>
        <v>5.4943603247572075E-3</v>
      </c>
    </row>
    <row r="16" spans="1:44" x14ac:dyDescent="0.2">
      <c r="A16" s="5" t="s">
        <v>15</v>
      </c>
      <c r="B16" s="6" t="s">
        <v>16</v>
      </c>
      <c r="C16" s="7">
        <f>'[7]Team Report'!BA34</f>
        <v>0</v>
      </c>
      <c r="E16" s="7">
        <f t="shared" si="1"/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'[7]Team Report'!BA35</f>
        <v>0</v>
      </c>
      <c r="E17" s="7">
        <f t="shared" si="1"/>
        <v>0</v>
      </c>
      <c r="G17" s="17">
        <f t="shared" si="0"/>
        <v>0</v>
      </c>
    </row>
    <row r="18" spans="1:7" x14ac:dyDescent="0.2">
      <c r="A18" s="5" t="s">
        <v>19</v>
      </c>
      <c r="B18" s="6" t="s">
        <v>20</v>
      </c>
      <c r="C18" s="7">
        <f>'[7]Team Report'!BA36</f>
        <v>2767.33</v>
      </c>
      <c r="E18" s="7">
        <f t="shared" si="1"/>
        <v>3689.7733333333331</v>
      </c>
      <c r="G18" s="17">
        <f t="shared" si="0"/>
        <v>4.8972091837754051E-3</v>
      </c>
    </row>
    <row r="19" spans="1:7" x14ac:dyDescent="0.2">
      <c r="A19" s="5" t="s">
        <v>21</v>
      </c>
      <c r="B19" s="6" t="s">
        <v>22</v>
      </c>
      <c r="C19" s="7">
        <f>'[7]Team Report'!BA37</f>
        <v>15341.970000000001</v>
      </c>
      <c r="E19" s="7">
        <f t="shared" si="1"/>
        <v>20455.96</v>
      </c>
      <c r="G19" s="17">
        <f t="shared" si="0"/>
        <v>2.7149937441941059E-2</v>
      </c>
    </row>
    <row r="20" spans="1:7" x14ac:dyDescent="0.2">
      <c r="A20" s="5" t="s">
        <v>23</v>
      </c>
      <c r="B20" s="6" t="s">
        <v>24</v>
      </c>
      <c r="C20" s="7">
        <f>'[7]Team Report'!BA38</f>
        <v>0</v>
      </c>
      <c r="E20" s="7">
        <f t="shared" si="1"/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'[7]Team Report'!BA42-C10</f>
        <v>40294.17</v>
      </c>
      <c r="E21" s="7">
        <f t="shared" si="1"/>
        <v>53725.56</v>
      </c>
      <c r="G21" s="17">
        <f t="shared" si="0"/>
        <v>7.1306631076383159E-2</v>
      </c>
    </row>
    <row r="22" spans="1:7" x14ac:dyDescent="0.2">
      <c r="A22" s="5" t="s">
        <v>27</v>
      </c>
      <c r="B22" s="6" t="s">
        <v>28</v>
      </c>
      <c r="C22" s="7">
        <f>'[7]Team Report'!BA44</f>
        <v>4309.63</v>
      </c>
      <c r="E22" s="7">
        <f t="shared" si="1"/>
        <v>5746.1733333333332</v>
      </c>
      <c r="G22" s="17">
        <f t="shared" si="0"/>
        <v>7.6265424126049294E-3</v>
      </c>
    </row>
    <row r="23" spans="1:7" x14ac:dyDescent="0.2">
      <c r="A23" s="8" t="s">
        <v>29</v>
      </c>
      <c r="B23" s="9" t="s">
        <v>30</v>
      </c>
      <c r="C23" s="10">
        <f>SUM(C8:C22)</f>
        <v>594458.06999999995</v>
      </c>
      <c r="E23" s="10">
        <f>SUM(E8:E22)</f>
        <v>753444.09333333327</v>
      </c>
      <c r="G23" s="18">
        <f>SUM(G8:G22)</f>
        <v>1.0000000000000002</v>
      </c>
    </row>
    <row r="25" spans="1:7" x14ac:dyDescent="0.2">
      <c r="B25" s="9" t="s">
        <v>58</v>
      </c>
      <c r="C25" s="7"/>
      <c r="E25" s="11">
        <v>5</v>
      </c>
    </row>
    <row r="26" spans="1:7" x14ac:dyDescent="0.2">
      <c r="C26" s="7"/>
      <c r="E26" s="7"/>
    </row>
    <row r="27" spans="1:7" x14ac:dyDescent="0.2">
      <c r="B27" s="9" t="s">
        <v>59</v>
      </c>
      <c r="C27" s="7"/>
      <c r="E27" s="11">
        <v>1</v>
      </c>
    </row>
    <row r="28" spans="1:7" x14ac:dyDescent="0.2">
      <c r="B28" s="9"/>
      <c r="C28" s="7"/>
      <c r="E28" s="15"/>
    </row>
    <row r="29" spans="1:7" x14ac:dyDescent="0.2">
      <c r="B29" s="9" t="s">
        <v>31</v>
      </c>
      <c r="C29" s="7"/>
      <c r="E29" s="11">
        <f>+E27+E25</f>
        <v>6</v>
      </c>
    </row>
    <row r="31" spans="1:7" x14ac:dyDescent="0.2">
      <c r="A31" s="5" t="s">
        <v>32</v>
      </c>
      <c r="B31" s="6" t="s">
        <v>33</v>
      </c>
      <c r="C31" s="7">
        <f>'[7]Team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'[7]Team Report'!BA40</f>
        <v>4828.6900000000005</v>
      </c>
      <c r="E35" s="7">
        <f t="shared" si="2"/>
        <v>6438.253333333334</v>
      </c>
    </row>
    <row r="36" spans="1:5" x14ac:dyDescent="0.2">
      <c r="A36" s="5" t="s">
        <v>42</v>
      </c>
      <c r="B36" s="6" t="s">
        <v>43</v>
      </c>
      <c r="C36" s="7">
        <f>'[7]Team Report'!BA41</f>
        <v>3510.2</v>
      </c>
      <c r="E36" s="7">
        <f t="shared" si="2"/>
        <v>4680.2666666666664</v>
      </c>
    </row>
    <row r="37" spans="1:5" x14ac:dyDescent="0.2">
      <c r="A37" s="5" t="s">
        <v>44</v>
      </c>
      <c r="B37" s="6" t="s">
        <v>45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46</v>
      </c>
      <c r="B38" s="6" t="s">
        <v>47</v>
      </c>
      <c r="C38" s="7">
        <f>'[7]Team Report'!BA45</f>
        <v>2119.75</v>
      </c>
      <c r="E38" s="7">
        <f t="shared" si="2"/>
        <v>2826.333333333333</v>
      </c>
    </row>
    <row r="43" spans="1:5" x14ac:dyDescent="0.2">
      <c r="C43" s="12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Consolidated West Power</vt:lpstr>
      <vt:lpstr>Executive Orig</vt:lpstr>
      <vt:lpstr>Origination</vt:lpstr>
      <vt:lpstr>Generaton</vt:lpstr>
      <vt:lpstr>Trading</vt:lpstr>
      <vt:lpstr>Mid Market</vt:lpstr>
      <vt:lpstr>Services</vt:lpstr>
      <vt:lpstr>Fundamentals</vt:lpstr>
      <vt:lpstr>'Consolidated West Power'!Print_Area</vt:lpstr>
      <vt:lpstr>'Executive Orig'!Print_Area</vt:lpstr>
      <vt:lpstr>Fundamentals!Print_Area</vt:lpstr>
      <vt:lpstr>Generaton!Print_Area</vt:lpstr>
      <vt:lpstr>'Mid Market'!Print_Area</vt:lpstr>
      <vt:lpstr>Origination!Print_Area</vt:lpstr>
      <vt:lpstr>Services!Print_Area</vt:lpstr>
      <vt:lpstr>Trading!Print_Area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2001-12-02T00:09:34Z</cp:lastPrinted>
  <dcterms:created xsi:type="dcterms:W3CDTF">2001-12-01T20:19:23Z</dcterms:created>
  <dcterms:modified xsi:type="dcterms:W3CDTF">2014-09-04T13:55:13Z</dcterms:modified>
</cp:coreProperties>
</file>