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7635" yWindow="-90" windowWidth="7680" windowHeight="9120" tabRatio="777" firstSheet="1" activeTab="1"/>
  </bookViews>
  <sheets>
    <sheet name="todo" sheetId="1" state="hidden" r:id="rId1"/>
    <sheet name="Agreement" sheetId="4" r:id="rId2"/>
    <sheet name="Yr on Yr" sheetId="23" r:id="rId3"/>
    <sheet name="Tax" sheetId="12" r:id="rId4"/>
    <sheet name="Legal" sheetId="24" r:id="rId5"/>
    <sheet name="BAR" sheetId="13" r:id="rId6"/>
    <sheet name="EOps" sheetId="17" r:id="rId7"/>
    <sheet name="EOL" sheetId="19" r:id="rId8"/>
    <sheet name="IT" sheetId="3" r:id="rId9"/>
    <sheet name="IT Detail" sheetId="22" r:id="rId10"/>
    <sheet name="RAC-Ben-OCC-LTCP" sheetId="15" r:id="rId11"/>
    <sheet name="OCC-Public Affairs Detail" sheetId="25" r:id="rId12"/>
    <sheet name="PR" sheetId="7" r:id="rId13"/>
  </sheets>
  <externalReferences>
    <externalReference r:id="rId14"/>
    <externalReference r:id="rId15"/>
  </externalReferences>
  <definedNames>
    <definedName name="ADDRESS">#REF!</definedName>
    <definedName name="BANKS">#REF!</definedName>
    <definedName name="clear">[1]Entry!$C$6,[1]Entry!$E$6,[1]Entry!$G$6,[1]Entry!$J$6,[1]Entry!$K$6,[1]Entry!$M$6,[1]Entry!$O$6,[1]Entry!$C$12,[1]Entry!$C$12:$P$40,[1]Entry!$D$45:$E$47,[1]Entry!$A$46:$C$47,[1]Entry!$C$60:$P$88,[1]Entry!$D$93:$E$95,[1]Entry!$A$94:$C$95,[1]Entry!$C$108:$P$136,[1]Entry!$D$141:$E$143,[1]Entry!$A$142:$C$143,[1]Entry!$C$156:$P$184,[1]Entry!$D$189:$E$191,[1]Entry!$A$190:$C$191</definedName>
    <definedName name="coa">#REF!</definedName>
    <definedName name="_JE1">#REF!</definedName>
    <definedName name="_JE2">#REF!</definedName>
    <definedName name="_xlnm.Print_Area" localSheetId="1">Agreement!$A$1:$O$19</definedName>
    <definedName name="_xlnm.Print_Area" localSheetId="5">BAR!$A$1:$K$43</definedName>
    <definedName name="_xlnm.Print_Area" localSheetId="7">EOL!$A$1:$E$25</definedName>
    <definedName name="_xlnm.Print_Area" localSheetId="6">EOps!$A$1:$Y$127</definedName>
    <definedName name="_xlnm.Print_Area" localSheetId="8">IT!$A$1:$E$9</definedName>
    <definedName name="_xlnm.Print_Area" localSheetId="4">Legal!$A$1:$F$15</definedName>
    <definedName name="_xlnm.Print_Area" localSheetId="11">'OCC-Public Affairs Detail'!$A$1:$AW$19</definedName>
    <definedName name="_xlnm.Print_Area" localSheetId="12">PR!$A$1:$H$25</definedName>
    <definedName name="_xlnm.Print_Area" localSheetId="10">'RAC-Ben-OCC-LTCP'!$A$1:$P$79</definedName>
    <definedName name="_xlnm.Print_Area" localSheetId="3">Tax!$A$1:$I$46</definedName>
    <definedName name="_xlnm.Print_Titles" localSheetId="6">EOps!$1:$4</definedName>
    <definedName name="REMIT">#REF!</definedName>
    <definedName name="SAPFuncF4Help" localSheetId="4">Main.SAPF4Help()</definedName>
    <definedName name="SAPFuncF4Help">Main.SAPF4Help()</definedName>
    <definedName name="wrn.Total._.Enron._.Labor." localSheetId="4" hidden="1">{#N/A,#N/A,FALSE,"2. Budget per Service"}</definedName>
    <definedName name="wrn.Total._.Enron._.Labor." hidden="1">{#N/A,#N/A,FALSE,"2. Budget per Service"}</definedName>
  </definedNames>
  <calcPr calcId="152511" fullCalcOnLoad="1"/>
</workbook>
</file>

<file path=xl/calcChain.xml><?xml version="1.0" encoding="utf-8"?>
<calcChain xmlns="http://schemas.openxmlformats.org/spreadsheetml/2006/main">
  <c r="B8" i="4" l="1"/>
  <c r="C8" i="4"/>
  <c r="D8" i="4"/>
  <c r="E8" i="4"/>
  <c r="F8" i="4"/>
  <c r="G8" i="4"/>
  <c r="H8" i="4"/>
  <c r="I8" i="4"/>
  <c r="J8" i="4"/>
  <c r="K8" i="4"/>
  <c r="L8" i="4"/>
  <c r="M8" i="4"/>
  <c r="J9" i="4"/>
  <c r="L9" i="4"/>
  <c r="B12" i="4"/>
  <c r="O12" i="4" s="1"/>
  <c r="C12" i="4"/>
  <c r="D12" i="4"/>
  <c r="E12" i="4"/>
  <c r="F12" i="4"/>
  <c r="G12" i="4"/>
  <c r="H12" i="4"/>
  <c r="I12" i="4"/>
  <c r="J12" i="4"/>
  <c r="K12" i="4"/>
  <c r="L12" i="4"/>
  <c r="M12" i="4"/>
  <c r="H16" i="4"/>
  <c r="E9" i="13"/>
  <c r="E14" i="13"/>
  <c r="G8" i="13" s="1"/>
  <c r="E8" i="13" s="1"/>
  <c r="E11" i="13" s="1"/>
  <c r="E18" i="13"/>
  <c r="G10" i="13" s="1"/>
  <c r="E10" i="13" s="1"/>
  <c r="C26" i="13"/>
  <c r="C27" i="13"/>
  <c r="C28" i="13"/>
  <c r="C29" i="13"/>
  <c r="C30" i="13"/>
  <c r="C31" i="13"/>
  <c r="C32" i="13"/>
  <c r="C33" i="13"/>
  <c r="C34" i="13"/>
  <c r="C35" i="13"/>
  <c r="C36" i="13"/>
  <c r="C37" i="13"/>
  <c r="C38" i="13"/>
  <c r="C39" i="13"/>
  <c r="C40" i="13"/>
  <c r="C41" i="13"/>
  <c r="D25" i="19"/>
  <c r="D26" i="19" s="1"/>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8" i="17"/>
  <c r="U49" i="17"/>
  <c r="U50" i="17"/>
  <c r="U51" i="17"/>
  <c r="U52" i="17"/>
  <c r="U53" i="17"/>
  <c r="U54" i="17"/>
  <c r="U55" i="17"/>
  <c r="U56" i="17"/>
  <c r="E62" i="17"/>
  <c r="F62" i="17"/>
  <c r="G62" i="17"/>
  <c r="H62" i="17"/>
  <c r="I62" i="17"/>
  <c r="J62" i="17"/>
  <c r="K62" i="17"/>
  <c r="L62" i="17"/>
  <c r="M62" i="17"/>
  <c r="N62" i="17"/>
  <c r="O62" i="17"/>
  <c r="P62" i="17"/>
  <c r="Q62" i="17"/>
  <c r="R62" i="17"/>
  <c r="S62" i="17"/>
  <c r="T62" i="17"/>
  <c r="U62" i="17"/>
  <c r="E63" i="17"/>
  <c r="F63" i="17"/>
  <c r="G63" i="17"/>
  <c r="H63" i="17"/>
  <c r="I63" i="17"/>
  <c r="J63" i="17"/>
  <c r="K63" i="17"/>
  <c r="L63" i="17"/>
  <c r="U63" i="17" s="1"/>
  <c r="M63" i="17"/>
  <c r="N63" i="17"/>
  <c r="O63" i="17"/>
  <c r="P63" i="17"/>
  <c r="Q63" i="17"/>
  <c r="R63" i="17"/>
  <c r="S63" i="17"/>
  <c r="T63" i="17"/>
  <c r="E64" i="17"/>
  <c r="F64" i="17"/>
  <c r="G64" i="17"/>
  <c r="H64" i="17"/>
  <c r="I64" i="17"/>
  <c r="J64" i="17"/>
  <c r="K64" i="17"/>
  <c r="K122" i="17" s="1"/>
  <c r="L64" i="17"/>
  <c r="M64" i="17"/>
  <c r="N64" i="17"/>
  <c r="O64" i="17"/>
  <c r="P64" i="17"/>
  <c r="Q64" i="17"/>
  <c r="R64" i="17"/>
  <c r="S64" i="17"/>
  <c r="S122" i="17" s="1"/>
  <c r="T64" i="17"/>
  <c r="E65" i="17"/>
  <c r="F65" i="17"/>
  <c r="G65" i="17"/>
  <c r="H65" i="17"/>
  <c r="I65" i="17"/>
  <c r="I122" i="17" s="1"/>
  <c r="J65" i="17"/>
  <c r="K65" i="17"/>
  <c r="L65" i="17"/>
  <c r="M65" i="17"/>
  <c r="N65" i="17"/>
  <c r="O65" i="17"/>
  <c r="P65" i="17"/>
  <c r="Q65" i="17"/>
  <c r="R65" i="17"/>
  <c r="S65" i="17"/>
  <c r="T65" i="17"/>
  <c r="E66" i="17"/>
  <c r="F66" i="17"/>
  <c r="G66" i="17"/>
  <c r="H66" i="17"/>
  <c r="I66" i="17"/>
  <c r="J66" i="17"/>
  <c r="K66" i="17"/>
  <c r="L66" i="17"/>
  <c r="M66" i="17"/>
  <c r="N66" i="17"/>
  <c r="O66" i="17"/>
  <c r="P66" i="17"/>
  <c r="Q66" i="17"/>
  <c r="R66" i="17"/>
  <c r="S66" i="17"/>
  <c r="T66" i="17"/>
  <c r="E67" i="17"/>
  <c r="F67" i="17"/>
  <c r="G67" i="17"/>
  <c r="H67" i="17"/>
  <c r="I67" i="17"/>
  <c r="J67" i="17"/>
  <c r="K67" i="17"/>
  <c r="L67" i="17"/>
  <c r="M67" i="17"/>
  <c r="N67" i="17"/>
  <c r="O67" i="17"/>
  <c r="P67" i="17"/>
  <c r="Q67" i="17"/>
  <c r="R67" i="17"/>
  <c r="S67" i="17"/>
  <c r="T67" i="17"/>
  <c r="E68" i="17"/>
  <c r="F68" i="17"/>
  <c r="G68" i="17"/>
  <c r="H68" i="17"/>
  <c r="I68" i="17"/>
  <c r="J68" i="17"/>
  <c r="K68" i="17"/>
  <c r="L68" i="17"/>
  <c r="M68" i="17"/>
  <c r="N68" i="17"/>
  <c r="O68" i="17"/>
  <c r="P68" i="17"/>
  <c r="Q68" i="17"/>
  <c r="R68" i="17"/>
  <c r="S68" i="17"/>
  <c r="T68" i="17"/>
  <c r="E69" i="17"/>
  <c r="F69" i="17"/>
  <c r="U69" i="17" s="1"/>
  <c r="G69" i="17"/>
  <c r="H69" i="17"/>
  <c r="I69" i="17"/>
  <c r="J69" i="17"/>
  <c r="K69" i="17"/>
  <c r="L69" i="17"/>
  <c r="M69" i="17"/>
  <c r="N69" i="17"/>
  <c r="O69" i="17"/>
  <c r="P69" i="17"/>
  <c r="Q69" i="17"/>
  <c r="R69" i="17"/>
  <c r="S69" i="17"/>
  <c r="T69" i="17"/>
  <c r="E70" i="17"/>
  <c r="F70" i="17"/>
  <c r="U70" i="17" s="1"/>
  <c r="G70" i="17"/>
  <c r="H70" i="17"/>
  <c r="I70" i="17"/>
  <c r="J70" i="17"/>
  <c r="K70" i="17"/>
  <c r="L70" i="17"/>
  <c r="M70" i="17"/>
  <c r="N70" i="17"/>
  <c r="O70" i="17"/>
  <c r="P70" i="17"/>
  <c r="Q70" i="17"/>
  <c r="R70" i="17"/>
  <c r="S70" i="17"/>
  <c r="T70" i="17"/>
  <c r="E71" i="17"/>
  <c r="F71" i="17"/>
  <c r="G71" i="17"/>
  <c r="H71" i="17"/>
  <c r="I71" i="17"/>
  <c r="J71" i="17"/>
  <c r="K71" i="17"/>
  <c r="L71" i="17"/>
  <c r="M71" i="17"/>
  <c r="N71" i="17"/>
  <c r="O71" i="17"/>
  <c r="P71" i="17"/>
  <c r="Q71" i="17"/>
  <c r="R71" i="17"/>
  <c r="S71" i="17"/>
  <c r="T71" i="17"/>
  <c r="U71" i="17"/>
  <c r="E72" i="17"/>
  <c r="F72" i="17"/>
  <c r="U72" i="17" s="1"/>
  <c r="G72" i="17"/>
  <c r="H72" i="17"/>
  <c r="I72" i="17"/>
  <c r="J72" i="17"/>
  <c r="K72" i="17"/>
  <c r="L72" i="17"/>
  <c r="M72" i="17"/>
  <c r="N72" i="17"/>
  <c r="O72" i="17"/>
  <c r="P72" i="17"/>
  <c r="Q72" i="17"/>
  <c r="R72" i="17"/>
  <c r="S72" i="17"/>
  <c r="T72" i="17"/>
  <c r="E73" i="17"/>
  <c r="F73" i="17"/>
  <c r="G73" i="17"/>
  <c r="H73" i="17"/>
  <c r="I73" i="17"/>
  <c r="J73" i="17"/>
  <c r="K73" i="17"/>
  <c r="L73" i="17"/>
  <c r="M73" i="17"/>
  <c r="N73" i="17"/>
  <c r="O73" i="17"/>
  <c r="P73" i="17"/>
  <c r="Q73" i="17"/>
  <c r="R73" i="17"/>
  <c r="S73" i="17"/>
  <c r="T73" i="17"/>
  <c r="E74" i="17"/>
  <c r="F74" i="17"/>
  <c r="G74" i="17"/>
  <c r="H74" i="17"/>
  <c r="I74" i="17"/>
  <c r="J74" i="17"/>
  <c r="K74" i="17"/>
  <c r="L74" i="17"/>
  <c r="M74" i="17"/>
  <c r="N74" i="17"/>
  <c r="O74" i="17"/>
  <c r="P74" i="17"/>
  <c r="Q74" i="17"/>
  <c r="R74" i="17"/>
  <c r="S74" i="17"/>
  <c r="T74" i="17"/>
  <c r="E76" i="17"/>
  <c r="F76" i="17"/>
  <c r="G76" i="17"/>
  <c r="H76" i="17"/>
  <c r="I76" i="17"/>
  <c r="J76" i="17"/>
  <c r="K76" i="17"/>
  <c r="L76" i="17"/>
  <c r="M76" i="17"/>
  <c r="N76" i="17"/>
  <c r="O76" i="17"/>
  <c r="P76" i="17"/>
  <c r="Q76" i="17"/>
  <c r="R76" i="17"/>
  <c r="S76" i="17"/>
  <c r="T76" i="17"/>
  <c r="E77" i="17"/>
  <c r="F77" i="17"/>
  <c r="G77" i="17"/>
  <c r="H77" i="17"/>
  <c r="I77" i="17"/>
  <c r="J77" i="17"/>
  <c r="K77" i="17"/>
  <c r="L77" i="17"/>
  <c r="M77" i="17"/>
  <c r="N77" i="17"/>
  <c r="O77" i="17"/>
  <c r="P77" i="17"/>
  <c r="Q77" i="17"/>
  <c r="R77" i="17"/>
  <c r="S77" i="17"/>
  <c r="T77" i="17"/>
  <c r="E78" i="17"/>
  <c r="F78" i="17"/>
  <c r="U78" i="17" s="1"/>
  <c r="G78" i="17"/>
  <c r="H78" i="17"/>
  <c r="I78" i="17"/>
  <c r="J78" i="17"/>
  <c r="K78" i="17"/>
  <c r="L78" i="17"/>
  <c r="M78" i="17"/>
  <c r="N78" i="17"/>
  <c r="O78" i="17"/>
  <c r="P78" i="17"/>
  <c r="Q78" i="17"/>
  <c r="R78" i="17"/>
  <c r="S78" i="17"/>
  <c r="T78" i="17"/>
  <c r="E79" i="17"/>
  <c r="F79" i="17"/>
  <c r="G79" i="17"/>
  <c r="H79" i="17"/>
  <c r="I79" i="17"/>
  <c r="J79" i="17"/>
  <c r="K79" i="17"/>
  <c r="L79" i="17"/>
  <c r="M79" i="17"/>
  <c r="N79" i="17"/>
  <c r="O79" i="17"/>
  <c r="P79" i="17"/>
  <c r="Q79" i="17"/>
  <c r="R79" i="17"/>
  <c r="S79" i="17"/>
  <c r="T79" i="17"/>
  <c r="U79" i="17"/>
  <c r="E80" i="17"/>
  <c r="F80" i="17"/>
  <c r="G80" i="17"/>
  <c r="H80" i="17"/>
  <c r="I80" i="17"/>
  <c r="J80" i="17"/>
  <c r="K80" i="17"/>
  <c r="L80" i="17"/>
  <c r="U80" i="17" s="1"/>
  <c r="M80" i="17"/>
  <c r="N80" i="17"/>
  <c r="O80" i="17"/>
  <c r="P80" i="17"/>
  <c r="Q80" i="17"/>
  <c r="R80" i="17"/>
  <c r="S80" i="17"/>
  <c r="T80" i="17"/>
  <c r="E81" i="17"/>
  <c r="F81" i="17"/>
  <c r="G81" i="17"/>
  <c r="H81" i="17"/>
  <c r="I81" i="17"/>
  <c r="J81" i="17"/>
  <c r="K81" i="17"/>
  <c r="L81" i="17"/>
  <c r="M81" i="17"/>
  <c r="N81" i="17"/>
  <c r="O81" i="17"/>
  <c r="P81" i="17"/>
  <c r="Q81" i="17"/>
  <c r="R81" i="17"/>
  <c r="S81" i="17"/>
  <c r="T81" i="17"/>
  <c r="E82" i="17"/>
  <c r="F82" i="17"/>
  <c r="G82" i="17"/>
  <c r="H82" i="17"/>
  <c r="I82" i="17"/>
  <c r="J82" i="17"/>
  <c r="K82" i="17"/>
  <c r="L82" i="17"/>
  <c r="M82" i="17"/>
  <c r="N82" i="17"/>
  <c r="O82" i="17"/>
  <c r="P82" i="17"/>
  <c r="Q82" i="17"/>
  <c r="R82" i="17"/>
  <c r="S82" i="17"/>
  <c r="T82" i="17"/>
  <c r="E83" i="17"/>
  <c r="F83" i="17"/>
  <c r="G83" i="17"/>
  <c r="H83" i="17"/>
  <c r="I83" i="17"/>
  <c r="J83" i="17"/>
  <c r="K83" i="17"/>
  <c r="L83" i="17"/>
  <c r="M83" i="17"/>
  <c r="N83" i="17"/>
  <c r="O83" i="17"/>
  <c r="P83" i="17"/>
  <c r="Q83" i="17"/>
  <c r="R83" i="17"/>
  <c r="S83" i="17"/>
  <c r="T83" i="17"/>
  <c r="E84" i="17"/>
  <c r="F84" i="17"/>
  <c r="G84" i="17"/>
  <c r="H84" i="17"/>
  <c r="I84" i="17"/>
  <c r="J84" i="17"/>
  <c r="K84" i="17"/>
  <c r="L84" i="17"/>
  <c r="M84" i="17"/>
  <c r="N84" i="17"/>
  <c r="O84" i="17"/>
  <c r="P84" i="17"/>
  <c r="Q84" i="17"/>
  <c r="R84" i="17"/>
  <c r="S84" i="17"/>
  <c r="T84" i="17"/>
  <c r="E85" i="17"/>
  <c r="F85" i="17"/>
  <c r="G85" i="17"/>
  <c r="H85" i="17"/>
  <c r="I85" i="17"/>
  <c r="J85" i="17"/>
  <c r="K85" i="17"/>
  <c r="L85" i="17"/>
  <c r="M85" i="17"/>
  <c r="N85" i="17"/>
  <c r="O85" i="17"/>
  <c r="P85" i="17"/>
  <c r="Q85" i="17"/>
  <c r="R85" i="17"/>
  <c r="S85" i="17"/>
  <c r="T85" i="17"/>
  <c r="E86" i="17"/>
  <c r="F86" i="17"/>
  <c r="G86" i="17"/>
  <c r="H86" i="17"/>
  <c r="I86" i="17"/>
  <c r="J86" i="17"/>
  <c r="K86" i="17"/>
  <c r="L86" i="17"/>
  <c r="M86" i="17"/>
  <c r="N86" i="17"/>
  <c r="O86" i="17"/>
  <c r="P86" i="17"/>
  <c r="Q86" i="17"/>
  <c r="R86" i="17"/>
  <c r="S86" i="17"/>
  <c r="T86" i="17"/>
  <c r="U86" i="17"/>
  <c r="E87" i="17"/>
  <c r="F87" i="17"/>
  <c r="G87" i="17"/>
  <c r="H87" i="17"/>
  <c r="I87" i="17"/>
  <c r="J87" i="17"/>
  <c r="K87" i="17"/>
  <c r="L87" i="17"/>
  <c r="U87" i="17" s="1"/>
  <c r="M87" i="17"/>
  <c r="N87" i="17"/>
  <c r="O87" i="17"/>
  <c r="P87" i="17"/>
  <c r="Q87" i="17"/>
  <c r="R87" i="17"/>
  <c r="S87" i="17"/>
  <c r="T87" i="17"/>
  <c r="E89" i="17"/>
  <c r="F89" i="17"/>
  <c r="G89" i="17"/>
  <c r="H89" i="17"/>
  <c r="I89" i="17"/>
  <c r="J89" i="17"/>
  <c r="K89" i="17"/>
  <c r="U89" i="17" s="1"/>
  <c r="L89" i="17"/>
  <c r="M89" i="17"/>
  <c r="N89" i="17"/>
  <c r="O89" i="17"/>
  <c r="P89" i="17"/>
  <c r="Q89" i="17"/>
  <c r="R89" i="17"/>
  <c r="S89" i="17"/>
  <c r="T89" i="17"/>
  <c r="E90" i="17"/>
  <c r="F90" i="17"/>
  <c r="G90" i="17"/>
  <c r="H90" i="17"/>
  <c r="I90" i="17"/>
  <c r="J90" i="17"/>
  <c r="J122" i="17" s="1"/>
  <c r="K90" i="17"/>
  <c r="L90" i="17"/>
  <c r="M90" i="17"/>
  <c r="N90" i="17"/>
  <c r="O90" i="17"/>
  <c r="P90" i="17"/>
  <c r="Q90" i="17"/>
  <c r="R90" i="17"/>
  <c r="R122" i="17" s="1"/>
  <c r="S90" i="17"/>
  <c r="T90" i="17"/>
  <c r="E91" i="17"/>
  <c r="F91" i="17"/>
  <c r="G91" i="17"/>
  <c r="H91" i="17"/>
  <c r="I91" i="17"/>
  <c r="J91" i="17"/>
  <c r="K91" i="17"/>
  <c r="L91" i="17"/>
  <c r="M91" i="17"/>
  <c r="N91" i="17"/>
  <c r="O91" i="17"/>
  <c r="P91" i="17"/>
  <c r="Q91" i="17"/>
  <c r="R91" i="17"/>
  <c r="S91" i="17"/>
  <c r="T91" i="17"/>
  <c r="E92" i="17"/>
  <c r="F92" i="17"/>
  <c r="G92" i="17"/>
  <c r="H92" i="17"/>
  <c r="I92" i="17"/>
  <c r="J92" i="17"/>
  <c r="K92" i="17"/>
  <c r="L92" i="17"/>
  <c r="M92" i="17"/>
  <c r="N92" i="17"/>
  <c r="O92" i="17"/>
  <c r="P92" i="17"/>
  <c r="Q92" i="17"/>
  <c r="R92" i="17"/>
  <c r="S92" i="17"/>
  <c r="T92" i="17"/>
  <c r="E93" i="17"/>
  <c r="F93" i="17"/>
  <c r="G93" i="17"/>
  <c r="H93" i="17"/>
  <c r="I93" i="17"/>
  <c r="J93" i="17"/>
  <c r="K93" i="17"/>
  <c r="L93" i="17"/>
  <c r="M93" i="17"/>
  <c r="N93" i="17"/>
  <c r="O93" i="17"/>
  <c r="P93" i="17"/>
  <c r="Q93" i="17"/>
  <c r="R93" i="17"/>
  <c r="S93" i="17"/>
  <c r="T93" i="17"/>
  <c r="E94" i="17"/>
  <c r="F94" i="17"/>
  <c r="G94" i="17"/>
  <c r="H94" i="17"/>
  <c r="I94" i="17"/>
  <c r="J94" i="17"/>
  <c r="K94" i="17"/>
  <c r="L94" i="17"/>
  <c r="M94" i="17"/>
  <c r="N94" i="17"/>
  <c r="O94" i="17"/>
  <c r="P94" i="17"/>
  <c r="Q94" i="17"/>
  <c r="R94" i="17"/>
  <c r="S94" i="17"/>
  <c r="T94" i="17"/>
  <c r="E96" i="17"/>
  <c r="F96" i="17"/>
  <c r="U96" i="17" s="1"/>
  <c r="G96" i="17"/>
  <c r="H96" i="17"/>
  <c r="I96" i="17"/>
  <c r="J96" i="17"/>
  <c r="K96" i="17"/>
  <c r="L96" i="17"/>
  <c r="M96" i="17"/>
  <c r="N96" i="17"/>
  <c r="O96" i="17"/>
  <c r="P96" i="17"/>
  <c r="Q96" i="17"/>
  <c r="R96" i="17"/>
  <c r="S96" i="17"/>
  <c r="T96" i="17"/>
  <c r="E97" i="17"/>
  <c r="F97" i="17"/>
  <c r="G97" i="17"/>
  <c r="H97" i="17"/>
  <c r="I97" i="17"/>
  <c r="J97" i="17"/>
  <c r="K97" i="17"/>
  <c r="L97" i="17"/>
  <c r="M97" i="17"/>
  <c r="N97" i="17"/>
  <c r="O97" i="17"/>
  <c r="P97" i="17"/>
  <c r="Q97" i="17"/>
  <c r="R97" i="17"/>
  <c r="S97" i="17"/>
  <c r="T97" i="17"/>
  <c r="U97" i="17"/>
  <c r="E98" i="17"/>
  <c r="F98" i="17"/>
  <c r="G98" i="17"/>
  <c r="H98" i="17"/>
  <c r="I98" i="17"/>
  <c r="J98" i="17"/>
  <c r="K98" i="17"/>
  <c r="U98" i="17" s="1"/>
  <c r="L98" i="17"/>
  <c r="M98" i="17"/>
  <c r="N98" i="17"/>
  <c r="O98" i="17"/>
  <c r="P98" i="17"/>
  <c r="Q98" i="17"/>
  <c r="R98" i="17"/>
  <c r="S98" i="17"/>
  <c r="T98" i="17"/>
  <c r="E99" i="17"/>
  <c r="F99" i="17"/>
  <c r="G99" i="17"/>
  <c r="H99" i="17"/>
  <c r="I99" i="17"/>
  <c r="J99" i="17"/>
  <c r="K99" i="17"/>
  <c r="L99" i="17"/>
  <c r="M99" i="17"/>
  <c r="N99" i="17"/>
  <c r="O99" i="17"/>
  <c r="P99" i="17"/>
  <c r="Q99" i="17"/>
  <c r="R99" i="17"/>
  <c r="S99" i="17"/>
  <c r="T99" i="17"/>
  <c r="E100" i="17"/>
  <c r="F100" i="17"/>
  <c r="G100" i="17"/>
  <c r="U100" i="17" s="1"/>
  <c r="H100" i="17"/>
  <c r="I100" i="17"/>
  <c r="J100" i="17"/>
  <c r="K100" i="17"/>
  <c r="L100" i="17"/>
  <c r="M100" i="17"/>
  <c r="N100" i="17"/>
  <c r="O100" i="17"/>
  <c r="P100" i="17"/>
  <c r="Q100" i="17"/>
  <c r="R100" i="17"/>
  <c r="S100" i="17"/>
  <c r="T100" i="17"/>
  <c r="E101" i="17"/>
  <c r="F101" i="17"/>
  <c r="G101" i="17"/>
  <c r="H101" i="17"/>
  <c r="I101" i="17"/>
  <c r="J101" i="17"/>
  <c r="K101" i="17"/>
  <c r="L101" i="17"/>
  <c r="M101" i="17"/>
  <c r="N101" i="17"/>
  <c r="O101" i="17"/>
  <c r="P101" i="17"/>
  <c r="Q101" i="17"/>
  <c r="R101" i="17"/>
  <c r="S101" i="17"/>
  <c r="T101" i="17"/>
  <c r="E103" i="17"/>
  <c r="F103" i="17"/>
  <c r="G103" i="17"/>
  <c r="H103" i="17"/>
  <c r="I103" i="17"/>
  <c r="J103" i="17"/>
  <c r="K103" i="17"/>
  <c r="L103" i="17"/>
  <c r="M103" i="17"/>
  <c r="N103" i="17"/>
  <c r="O103" i="17"/>
  <c r="P103" i="17"/>
  <c r="Q103" i="17"/>
  <c r="R103" i="17"/>
  <c r="S103" i="17"/>
  <c r="T103" i="17"/>
  <c r="E105" i="17"/>
  <c r="F105" i="17"/>
  <c r="G105" i="17"/>
  <c r="H105" i="17"/>
  <c r="I105" i="17"/>
  <c r="J105" i="17"/>
  <c r="K105" i="17"/>
  <c r="L105" i="17"/>
  <c r="M105" i="17"/>
  <c r="N105" i="17"/>
  <c r="O105" i="17"/>
  <c r="P105" i="17"/>
  <c r="Q105" i="17"/>
  <c r="R105" i="17"/>
  <c r="S105" i="17"/>
  <c r="T105" i="17"/>
  <c r="E106" i="17"/>
  <c r="F106" i="17"/>
  <c r="G106" i="17"/>
  <c r="U106" i="17" s="1"/>
  <c r="H106" i="17"/>
  <c r="I106" i="17"/>
  <c r="J106" i="17"/>
  <c r="K106" i="17"/>
  <c r="L106" i="17"/>
  <c r="M106" i="17"/>
  <c r="N106" i="17"/>
  <c r="O106" i="17"/>
  <c r="P106" i="17"/>
  <c r="Q106" i="17"/>
  <c r="R106" i="17"/>
  <c r="S106" i="17"/>
  <c r="T106" i="17"/>
  <c r="E107" i="17"/>
  <c r="F107" i="17"/>
  <c r="U107" i="17" s="1"/>
  <c r="G107" i="17"/>
  <c r="H107" i="17"/>
  <c r="I107" i="17"/>
  <c r="J107" i="17"/>
  <c r="K107" i="17"/>
  <c r="L107" i="17"/>
  <c r="M107" i="17"/>
  <c r="N107" i="17"/>
  <c r="O107" i="17"/>
  <c r="P107" i="17"/>
  <c r="Q107" i="17"/>
  <c r="R107" i="17"/>
  <c r="S107" i="17"/>
  <c r="T107" i="17"/>
  <c r="E108" i="17"/>
  <c r="F108" i="17"/>
  <c r="G108" i="17"/>
  <c r="H108" i="17"/>
  <c r="I108" i="17"/>
  <c r="J108" i="17"/>
  <c r="K108" i="17"/>
  <c r="L108" i="17"/>
  <c r="M108" i="17"/>
  <c r="N108" i="17"/>
  <c r="O108" i="17"/>
  <c r="P108" i="17"/>
  <c r="Q108" i="17"/>
  <c r="R108" i="17"/>
  <c r="S108" i="17"/>
  <c r="T108" i="17"/>
  <c r="U108" i="17"/>
  <c r="E110" i="17"/>
  <c r="F110" i="17"/>
  <c r="G110" i="17"/>
  <c r="H110" i="17"/>
  <c r="I110" i="17"/>
  <c r="J110" i="17"/>
  <c r="K110" i="17"/>
  <c r="L110" i="17"/>
  <c r="M110" i="17"/>
  <c r="N110" i="17"/>
  <c r="O110" i="17"/>
  <c r="P110" i="17"/>
  <c r="Q110" i="17"/>
  <c r="R110" i="17"/>
  <c r="S110" i="17"/>
  <c r="T110" i="17"/>
  <c r="E111" i="17"/>
  <c r="F111" i="17"/>
  <c r="G111" i="17"/>
  <c r="H111" i="17"/>
  <c r="I111" i="17"/>
  <c r="J111" i="17"/>
  <c r="K111" i="17"/>
  <c r="L111" i="17"/>
  <c r="M111" i="17"/>
  <c r="N111" i="17"/>
  <c r="O111" i="17"/>
  <c r="P111" i="17"/>
  <c r="Q111" i="17"/>
  <c r="R111" i="17"/>
  <c r="S111" i="17"/>
  <c r="T111" i="17"/>
  <c r="E112" i="17"/>
  <c r="F112" i="17"/>
  <c r="G112" i="17"/>
  <c r="H112" i="17"/>
  <c r="I112" i="17"/>
  <c r="J112" i="17"/>
  <c r="K112" i="17"/>
  <c r="L112" i="17"/>
  <c r="M112" i="17"/>
  <c r="N112" i="17"/>
  <c r="O112" i="17"/>
  <c r="P112" i="17"/>
  <c r="Q112" i="17"/>
  <c r="R112" i="17"/>
  <c r="S112" i="17"/>
  <c r="T112" i="17"/>
  <c r="E113" i="17"/>
  <c r="F113" i="17"/>
  <c r="G113" i="17"/>
  <c r="H113" i="17"/>
  <c r="I113" i="17"/>
  <c r="J113" i="17"/>
  <c r="K113" i="17"/>
  <c r="L113" i="17"/>
  <c r="M113" i="17"/>
  <c r="N113" i="17"/>
  <c r="O113" i="17"/>
  <c r="P113" i="17"/>
  <c r="Q113" i="17"/>
  <c r="R113" i="17"/>
  <c r="S113" i="17"/>
  <c r="T113" i="17"/>
  <c r="E115" i="17"/>
  <c r="F115" i="17"/>
  <c r="G115" i="17"/>
  <c r="H115" i="17"/>
  <c r="I115" i="17"/>
  <c r="J115" i="17"/>
  <c r="K115" i="17"/>
  <c r="L115" i="17"/>
  <c r="M115" i="17"/>
  <c r="N115" i="17"/>
  <c r="O115" i="17"/>
  <c r="P115" i="17"/>
  <c r="Q115" i="17"/>
  <c r="R115" i="17"/>
  <c r="S115" i="17"/>
  <c r="T115" i="17"/>
  <c r="E116" i="17"/>
  <c r="F116" i="17"/>
  <c r="G116" i="17"/>
  <c r="U116" i="17" s="1"/>
  <c r="H116" i="17"/>
  <c r="I116" i="17"/>
  <c r="J116" i="17"/>
  <c r="K116" i="17"/>
  <c r="L116" i="17"/>
  <c r="M116" i="17"/>
  <c r="N116" i="17"/>
  <c r="O116" i="17"/>
  <c r="P116" i="17"/>
  <c r="Q116" i="17"/>
  <c r="R116" i="17"/>
  <c r="S116" i="17"/>
  <c r="T116" i="17"/>
  <c r="E118" i="17"/>
  <c r="F118" i="17"/>
  <c r="U118" i="17" s="1"/>
  <c r="G118" i="17"/>
  <c r="H118" i="17"/>
  <c r="I118" i="17"/>
  <c r="J118" i="17"/>
  <c r="K118" i="17"/>
  <c r="L118" i="17"/>
  <c r="M118" i="17"/>
  <c r="N118" i="17"/>
  <c r="O118" i="17"/>
  <c r="P118" i="17"/>
  <c r="Q118" i="17"/>
  <c r="R118" i="17"/>
  <c r="S118" i="17"/>
  <c r="T118" i="17"/>
  <c r="E119" i="17"/>
  <c r="F119" i="17"/>
  <c r="G119" i="17"/>
  <c r="H119" i="17"/>
  <c r="I119" i="17"/>
  <c r="J119" i="17"/>
  <c r="K119" i="17"/>
  <c r="L119" i="17"/>
  <c r="M119" i="17"/>
  <c r="N119" i="17"/>
  <c r="O119" i="17"/>
  <c r="P119" i="17"/>
  <c r="Q119" i="17"/>
  <c r="R119" i="17"/>
  <c r="S119" i="17"/>
  <c r="T119" i="17"/>
  <c r="U119" i="17"/>
  <c r="D122" i="17"/>
  <c r="Q122" i="17"/>
  <c r="D127" i="17"/>
  <c r="G4" i="22"/>
  <c r="G5" i="22"/>
  <c r="G6" i="22"/>
  <c r="E7" i="22"/>
  <c r="G7" i="22" s="1"/>
  <c r="H12" i="22" s="1"/>
  <c r="G8" i="22"/>
  <c r="E9" i="22"/>
  <c r="G9" i="22"/>
  <c r="G10" i="22"/>
  <c r="G11" i="22"/>
  <c r="E13" i="22"/>
  <c r="G13" i="22" s="1"/>
  <c r="E14" i="22"/>
  <c r="G14" i="22" s="1"/>
  <c r="E15" i="22"/>
  <c r="G15" i="22"/>
  <c r="E16" i="22"/>
  <c r="G16" i="22" s="1"/>
  <c r="E17" i="22"/>
  <c r="G17" i="22" s="1"/>
  <c r="G18" i="22"/>
  <c r="E19" i="22"/>
  <c r="G19" i="22"/>
  <c r="E20" i="22"/>
  <c r="G20" i="22"/>
  <c r="E21" i="22"/>
  <c r="G21" i="22" s="1"/>
  <c r="E22" i="22"/>
  <c r="G22" i="22"/>
  <c r="E23" i="22"/>
  <c r="G23" i="22"/>
  <c r="G24" i="22"/>
  <c r="E25" i="22"/>
  <c r="G25" i="22"/>
  <c r="G26" i="22"/>
  <c r="E27" i="22"/>
  <c r="G27" i="22"/>
  <c r="E28" i="22"/>
  <c r="G28" i="22"/>
  <c r="E29" i="22"/>
  <c r="G29" i="22"/>
  <c r="G30" i="22"/>
  <c r="E31" i="22"/>
  <c r="G31" i="22" s="1"/>
  <c r="E32" i="22"/>
  <c r="G32" i="22" s="1"/>
  <c r="E33" i="22"/>
  <c r="G33" i="22"/>
  <c r="E34" i="22"/>
  <c r="G34" i="22"/>
  <c r="G36" i="22"/>
  <c r="E37" i="22"/>
  <c r="G37" i="22" s="1"/>
  <c r="G38" i="22"/>
  <c r="E39" i="22"/>
  <c r="G39" i="22"/>
  <c r="G40" i="22"/>
  <c r="H41" i="22"/>
  <c r="E42" i="22"/>
  <c r="G42" i="22"/>
  <c r="E43" i="22"/>
  <c r="G43" i="22"/>
  <c r="E44" i="22"/>
  <c r="G44" i="22"/>
  <c r="E45" i="22"/>
  <c r="G45" i="22"/>
  <c r="E46" i="22"/>
  <c r="G46" i="22"/>
  <c r="E47" i="22"/>
  <c r="G47" i="22"/>
  <c r="G48" i="22"/>
  <c r="G49" i="22"/>
  <c r="E50" i="22"/>
  <c r="G50" i="22"/>
  <c r="G51" i="22"/>
  <c r="E52" i="22"/>
  <c r="G52" i="22" s="1"/>
  <c r="F54" i="22"/>
  <c r="E15" i="24"/>
  <c r="C9" i="4" s="1"/>
  <c r="AI2" i="25"/>
  <c r="AL2" i="25"/>
  <c r="AM2" i="25"/>
  <c r="AN2" i="25"/>
  <c r="AO2" i="25"/>
  <c r="AP2" i="25"/>
  <c r="AI3" i="25"/>
  <c r="AJ3" i="25" s="1"/>
  <c r="AL3" i="25"/>
  <c r="AM3" i="25"/>
  <c r="AN3" i="25"/>
  <c r="AO3" i="25"/>
  <c r="AP3" i="25"/>
  <c r="AI4" i="25"/>
  <c r="AJ4" i="25"/>
  <c r="AL4" i="25"/>
  <c r="AM4" i="25"/>
  <c r="AN4" i="25"/>
  <c r="AO4" i="25"/>
  <c r="AP4" i="25"/>
  <c r="AY4" i="25"/>
  <c r="AY19" i="25" s="1"/>
  <c r="AZ4" i="25"/>
  <c r="AI5" i="25"/>
  <c r="AJ5" i="25" s="1"/>
  <c r="AL5" i="25"/>
  <c r="AM5" i="25"/>
  <c r="AN5" i="25"/>
  <c r="AO5" i="25"/>
  <c r="AP5" i="25"/>
  <c r="BA5" i="25"/>
  <c r="BA19" i="25" s="1"/>
  <c r="BB5" i="25"/>
  <c r="BB19" i="25" s="1"/>
  <c r="AI6" i="25"/>
  <c r="AJ6" i="25" s="1"/>
  <c r="AL6" i="25"/>
  <c r="AM6" i="25"/>
  <c r="AN6" i="25"/>
  <c r="AO6" i="25"/>
  <c r="AP6" i="25"/>
  <c r="AP19" i="25" s="1"/>
  <c r="AI7" i="25"/>
  <c r="AJ7" i="25"/>
  <c r="AL7" i="25"/>
  <c r="AM7" i="25"/>
  <c r="AN7" i="25"/>
  <c r="AO7" i="25"/>
  <c r="AP7" i="25"/>
  <c r="BC7" i="25"/>
  <c r="BC19" i="25" s="1"/>
  <c r="BD7" i="25"/>
  <c r="BE7" i="25"/>
  <c r="BE19" i="25" s="1"/>
  <c r="AI8" i="25"/>
  <c r="AJ8" i="25"/>
  <c r="AL8" i="25"/>
  <c r="AM8" i="25"/>
  <c r="AN8" i="25"/>
  <c r="AO8" i="25"/>
  <c r="AO19" i="25" s="1"/>
  <c r="AP8" i="25"/>
  <c r="BF8" i="25"/>
  <c r="BF19" i="25" s="1"/>
  <c r="BG8" i="25"/>
  <c r="AI9" i="25"/>
  <c r="AJ9" i="25" s="1"/>
  <c r="AL9" i="25"/>
  <c r="AM9" i="25"/>
  <c r="AN9" i="25"/>
  <c r="AO9" i="25"/>
  <c r="AP9" i="25"/>
  <c r="AI12" i="25"/>
  <c r="AJ12" i="25"/>
  <c r="AL12" i="25"/>
  <c r="AM12" i="25"/>
  <c r="AN12" i="25"/>
  <c r="AO12" i="25"/>
  <c r="AP12" i="25"/>
  <c r="AW12" i="25"/>
  <c r="AX12" i="25"/>
  <c r="AY12" i="25"/>
  <c r="AZ12" i="25"/>
  <c r="BA12" i="25"/>
  <c r="BB12" i="25"/>
  <c r="BC12" i="25"/>
  <c r="BD12" i="25"/>
  <c r="BE12" i="25"/>
  <c r="BF12" i="25"/>
  <c r="BG12" i="25"/>
  <c r="AI13" i="25"/>
  <c r="AJ13" i="25"/>
  <c r="AL13" i="25"/>
  <c r="AM13" i="25"/>
  <c r="AN13" i="25"/>
  <c r="AN19" i="25" s="1"/>
  <c r="AO13" i="25"/>
  <c r="AP13" i="25"/>
  <c r="AW13" i="25"/>
  <c r="AX13" i="25"/>
  <c r="AY13" i="25"/>
  <c r="AZ13" i="25"/>
  <c r="BA13" i="25"/>
  <c r="BB13" i="25"/>
  <c r="BC13" i="25"/>
  <c r="BD13" i="25"/>
  <c r="BE13" i="25"/>
  <c r="BF13" i="25"/>
  <c r="BG13" i="25"/>
  <c r="BG19" i="25" s="1"/>
  <c r="AI14" i="25"/>
  <c r="AJ14" i="25"/>
  <c r="AL14" i="25"/>
  <c r="AM14" i="25"/>
  <c r="AM19" i="25" s="1"/>
  <c r="AN14" i="25"/>
  <c r="AO14" i="25"/>
  <c r="AP14" i="25"/>
  <c r="AW14" i="25"/>
  <c r="AX14" i="25"/>
  <c r="AX19" i="25" s="1"/>
  <c r="AY14" i="25"/>
  <c r="AZ14" i="25"/>
  <c r="BA14" i="25"/>
  <c r="BB14" i="25"/>
  <c r="BC14" i="25"/>
  <c r="BD14" i="25"/>
  <c r="BE14" i="25"/>
  <c r="BF14" i="25"/>
  <c r="BG14" i="25"/>
  <c r="AW15" i="25"/>
  <c r="AX15" i="25"/>
  <c r="AY15" i="25"/>
  <c r="AZ15" i="25"/>
  <c r="BA15" i="25"/>
  <c r="BB15" i="25"/>
  <c r="BC15" i="25"/>
  <c r="BD15" i="25"/>
  <c r="BE15" i="25"/>
  <c r="BF15" i="25"/>
  <c r="BG15" i="25"/>
  <c r="AW16" i="25"/>
  <c r="AX16" i="25"/>
  <c r="AY16" i="25"/>
  <c r="AZ16" i="25"/>
  <c r="BA16" i="25"/>
  <c r="BB16" i="25"/>
  <c r="BC16" i="25"/>
  <c r="BD16" i="25"/>
  <c r="BE16" i="25"/>
  <c r="BF16" i="25"/>
  <c r="BG16" i="25"/>
  <c r="S17" i="25"/>
  <c r="D19" i="25"/>
  <c r="H19" i="25"/>
  <c r="I19" i="25"/>
  <c r="J19" i="25"/>
  <c r="K19" i="25"/>
  <c r="L19" i="25"/>
  <c r="M19" i="25"/>
  <c r="N19" i="25"/>
  <c r="O19" i="25"/>
  <c r="P19" i="25"/>
  <c r="Q19" i="25"/>
  <c r="R19" i="25"/>
  <c r="S19" i="25"/>
  <c r="T19" i="25"/>
  <c r="U19" i="25"/>
  <c r="V19" i="25"/>
  <c r="W19" i="25"/>
  <c r="X19" i="25"/>
  <c r="Y19" i="25"/>
  <c r="Z19" i="25"/>
  <c r="AA19" i="25"/>
  <c r="AB19" i="25"/>
  <c r="AC19" i="25"/>
  <c r="AD19" i="25"/>
  <c r="AE19" i="25"/>
  <c r="AF19" i="25"/>
  <c r="AG19" i="25"/>
  <c r="AH19" i="25"/>
  <c r="BD19" i="25"/>
  <c r="G9" i="7"/>
  <c r="G12" i="7"/>
  <c r="D12" i="7" s="1"/>
  <c r="D22" i="7"/>
  <c r="B22" i="7" s="1"/>
  <c r="L17" i="4" s="1"/>
  <c r="B10" i="15"/>
  <c r="C10" i="15"/>
  <c r="C17" i="15" s="1"/>
  <c r="E10" i="15"/>
  <c r="E19" i="15" s="1"/>
  <c r="F10" i="15"/>
  <c r="G10" i="15"/>
  <c r="G18" i="15" s="1"/>
  <c r="H10" i="15"/>
  <c r="I10" i="15"/>
  <c r="J10" i="15"/>
  <c r="K10" i="15"/>
  <c r="L10" i="15"/>
  <c r="L18" i="15" s="1"/>
  <c r="M10" i="15"/>
  <c r="M19" i="15" s="1"/>
  <c r="N10" i="15"/>
  <c r="O10" i="15"/>
  <c r="J12" i="15"/>
  <c r="K12" i="15"/>
  <c r="L12" i="15"/>
  <c r="L20" i="15" s="1"/>
  <c r="M12" i="15"/>
  <c r="N12" i="15"/>
  <c r="B14" i="15"/>
  <c r="B16" i="4" s="1"/>
  <c r="C14" i="15"/>
  <c r="D14" i="15"/>
  <c r="E14" i="15"/>
  <c r="G14" i="15"/>
  <c r="L14" i="15"/>
  <c r="M14" i="15"/>
  <c r="N14" i="15"/>
  <c r="O14" i="15"/>
  <c r="B15" i="15"/>
  <c r="C16" i="4" s="1"/>
  <c r="C15" i="15"/>
  <c r="D15" i="15"/>
  <c r="E15" i="15"/>
  <c r="G15" i="15"/>
  <c r="H15" i="15"/>
  <c r="M15" i="15"/>
  <c r="O15" i="15"/>
  <c r="B16" i="15"/>
  <c r="D16" i="4" s="1"/>
  <c r="C16" i="15"/>
  <c r="D16" i="15"/>
  <c r="E16" i="15"/>
  <c r="G16" i="15"/>
  <c r="H16" i="15"/>
  <c r="M16" i="15"/>
  <c r="O16" i="15"/>
  <c r="B17" i="15"/>
  <c r="E16" i="4" s="1"/>
  <c r="D17" i="15"/>
  <c r="E17" i="15"/>
  <c r="G17" i="15"/>
  <c r="H17" i="15"/>
  <c r="I17" i="15"/>
  <c r="M17" i="15"/>
  <c r="O17" i="15"/>
  <c r="B18" i="15"/>
  <c r="F16" i="4" s="1"/>
  <c r="C18" i="15"/>
  <c r="D18" i="15"/>
  <c r="E18" i="15"/>
  <c r="H18" i="15"/>
  <c r="I18" i="15"/>
  <c r="K18" i="15"/>
  <c r="M18" i="15"/>
  <c r="O18" i="15"/>
  <c r="B19" i="15"/>
  <c r="G16" i="4" s="1"/>
  <c r="C19" i="15"/>
  <c r="D19" i="15"/>
  <c r="H19" i="15"/>
  <c r="I19" i="15"/>
  <c r="K19" i="15"/>
  <c r="B20" i="15"/>
  <c r="C20" i="15"/>
  <c r="D20" i="15"/>
  <c r="E20" i="15"/>
  <c r="I20" i="15"/>
  <c r="J20" i="15"/>
  <c r="K20" i="15"/>
  <c r="M20" i="15"/>
  <c r="B21" i="15"/>
  <c r="C21" i="15"/>
  <c r="D21" i="15"/>
  <c r="E21" i="15"/>
  <c r="F21" i="15"/>
  <c r="M21" i="15"/>
  <c r="B22" i="15"/>
  <c r="J16" i="4" s="1"/>
  <c r="C22" i="15"/>
  <c r="D22" i="15"/>
  <c r="E22" i="15"/>
  <c r="G22" i="15"/>
  <c r="K22" i="15"/>
  <c r="M22" i="15"/>
  <c r="O22" i="15"/>
  <c r="B23" i="15"/>
  <c r="K16" i="4" s="1"/>
  <c r="C23" i="15"/>
  <c r="D23" i="15"/>
  <c r="E23" i="15"/>
  <c r="G23" i="15"/>
  <c r="H23" i="15"/>
  <c r="L23" i="15"/>
  <c r="M23" i="15"/>
  <c r="O23" i="15"/>
  <c r="B24" i="15"/>
  <c r="L16" i="4" s="1"/>
  <c r="C24" i="15"/>
  <c r="D24" i="15"/>
  <c r="E24" i="15"/>
  <c r="H24" i="15"/>
  <c r="I24" i="15"/>
  <c r="M24" i="15"/>
  <c r="O24" i="15"/>
  <c r="B25" i="15"/>
  <c r="M16" i="4" s="1"/>
  <c r="D25" i="15"/>
  <c r="E25" i="15"/>
  <c r="G25" i="15"/>
  <c r="H25" i="15"/>
  <c r="I25" i="15"/>
  <c r="J25" i="15"/>
  <c r="M25" i="15"/>
  <c r="O25" i="15"/>
  <c r="D38" i="15"/>
  <c r="D41" i="15" s="1"/>
  <c r="E6" i="12"/>
  <c r="E6" i="23"/>
  <c r="E7" i="23"/>
  <c r="E8" i="23"/>
  <c r="E9" i="23"/>
  <c r="E16" i="23" s="1"/>
  <c r="E10" i="23"/>
  <c r="E11" i="23"/>
  <c r="E12" i="23"/>
  <c r="E13" i="23"/>
  <c r="E14" i="23"/>
  <c r="E15" i="23"/>
  <c r="C16" i="23"/>
  <c r="D16" i="23"/>
  <c r="B12" i="7" l="1"/>
  <c r="H35" i="22"/>
  <c r="H10" i="4"/>
  <c r="I10" i="4"/>
  <c r="B10" i="4"/>
  <c r="J10" i="4"/>
  <c r="C10" i="4"/>
  <c r="K10" i="4"/>
  <c r="D10" i="4"/>
  <c r="L10" i="4"/>
  <c r="E10" i="4"/>
  <c r="F10" i="4"/>
  <c r="G10" i="4"/>
  <c r="M10" i="4"/>
  <c r="H54" i="22"/>
  <c r="B7" i="3" s="1"/>
  <c r="P17" i="15"/>
  <c r="F20" i="15"/>
  <c r="F19" i="15"/>
  <c r="F18" i="15"/>
  <c r="F15" i="4" s="1"/>
  <c r="F25" i="15"/>
  <c r="U93" i="17"/>
  <c r="F14" i="15"/>
  <c r="D18" i="7"/>
  <c r="B18" i="7" s="1"/>
  <c r="H17" i="4" s="1"/>
  <c r="U111" i="17"/>
  <c r="U68" i="17"/>
  <c r="U67" i="17"/>
  <c r="U66" i="17"/>
  <c r="U64" i="17"/>
  <c r="U122" i="17" s="1"/>
  <c r="G11" i="13"/>
  <c r="D9" i="4"/>
  <c r="N20" i="15"/>
  <c r="N19" i="15"/>
  <c r="N18" i="15"/>
  <c r="N24" i="15"/>
  <c r="F15" i="15"/>
  <c r="P15" i="15" s="1"/>
  <c r="J16" i="15"/>
  <c r="J24" i="15"/>
  <c r="J15" i="15"/>
  <c r="J23" i="15"/>
  <c r="J14" i="15"/>
  <c r="J22" i="15"/>
  <c r="J14" i="4" s="1"/>
  <c r="D13" i="7"/>
  <c r="B13" i="7" s="1"/>
  <c r="C17" i="4" s="1"/>
  <c r="D17" i="7"/>
  <c r="B17" i="7" s="1"/>
  <c r="G17" i="4" s="1"/>
  <c r="D21" i="7"/>
  <c r="B21" i="7" s="1"/>
  <c r="K17" i="4" s="1"/>
  <c r="D14" i="7"/>
  <c r="B14" i="7" s="1"/>
  <c r="D17" i="4" s="1"/>
  <c r="U92" i="17"/>
  <c r="O122" i="17"/>
  <c r="U65" i="17"/>
  <c r="L21" i="15"/>
  <c r="N17" i="15"/>
  <c r="N15" i="15"/>
  <c r="N27" i="15" s="1"/>
  <c r="K17" i="15"/>
  <c r="K25" i="15"/>
  <c r="K16" i="15"/>
  <c r="K23" i="15"/>
  <c r="K24" i="15"/>
  <c r="K15" i="15"/>
  <c r="I15" i="15"/>
  <c r="C15" i="4" s="1"/>
  <c r="I23" i="15"/>
  <c r="I14" i="15"/>
  <c r="I22" i="15"/>
  <c r="P22" i="15" s="1"/>
  <c r="I21" i="15"/>
  <c r="N25" i="15"/>
  <c r="G24" i="15"/>
  <c r="N23" i="15"/>
  <c r="F22" i="15"/>
  <c r="K21" i="15"/>
  <c r="P19" i="15"/>
  <c r="F16" i="15"/>
  <c r="D15" i="4" s="1"/>
  <c r="E27" i="15"/>
  <c r="H14" i="15"/>
  <c r="B15" i="4" s="1"/>
  <c r="H22" i="15"/>
  <c r="H21" i="15"/>
  <c r="H20" i="15"/>
  <c r="D23" i="7"/>
  <c r="B23" i="7" s="1"/>
  <c r="M17" i="4" s="1"/>
  <c r="G16" i="7"/>
  <c r="AJ2" i="25"/>
  <c r="AJ19" i="25" s="1"/>
  <c r="AI19" i="25"/>
  <c r="U115" i="17"/>
  <c r="U113" i="17"/>
  <c r="U112" i="17"/>
  <c r="U110" i="17"/>
  <c r="U82" i="17"/>
  <c r="O8" i="4"/>
  <c r="L17" i="15"/>
  <c r="L25" i="15"/>
  <c r="L24" i="15"/>
  <c r="L16" i="15"/>
  <c r="U94" i="17"/>
  <c r="U90" i="17"/>
  <c r="G122" i="17"/>
  <c r="F24" i="15"/>
  <c r="P24" i="15" s="1"/>
  <c r="J21" i="15"/>
  <c r="L19" i="15"/>
  <c r="J17" i="15"/>
  <c r="E14" i="4" s="1"/>
  <c r="L15" i="15"/>
  <c r="L27" i="15" s="1"/>
  <c r="D27" i="15"/>
  <c r="O21" i="15"/>
  <c r="O20" i="15"/>
  <c r="H14" i="4" s="1"/>
  <c r="O19" i="15"/>
  <c r="O27" i="15" s="1"/>
  <c r="G21" i="15"/>
  <c r="P21" i="15" s="1"/>
  <c r="G20" i="15"/>
  <c r="H15" i="4" s="1"/>
  <c r="G19" i="15"/>
  <c r="G15" i="4" s="1"/>
  <c r="D16" i="7"/>
  <c r="B16" i="7" s="1"/>
  <c r="F17" i="4" s="1"/>
  <c r="AL19" i="25"/>
  <c r="E9" i="4"/>
  <c r="M9" i="4"/>
  <c r="F9" i="4"/>
  <c r="G9" i="4"/>
  <c r="H9" i="4"/>
  <c r="I9" i="4"/>
  <c r="G54" i="22"/>
  <c r="U85" i="17"/>
  <c r="U84" i="17"/>
  <c r="U83" i="17"/>
  <c r="U81" i="17"/>
  <c r="N122" i="17"/>
  <c r="F122" i="17"/>
  <c r="B9" i="4"/>
  <c r="O9" i="4" s="1"/>
  <c r="M14" i="4"/>
  <c r="M122" i="17"/>
  <c r="E122" i="17"/>
  <c r="N22" i="15"/>
  <c r="J19" i="15"/>
  <c r="N16" i="15"/>
  <c r="M27" i="15"/>
  <c r="D20" i="7"/>
  <c r="B20" i="7" s="1"/>
  <c r="J17" i="4" s="1"/>
  <c r="D15" i="7"/>
  <c r="B15" i="7" s="1"/>
  <c r="E17" i="4" s="1"/>
  <c r="AW19" i="25"/>
  <c r="AZ19" i="25"/>
  <c r="U105" i="17"/>
  <c r="U103" i="17"/>
  <c r="U101" i="17"/>
  <c r="U99" i="17"/>
  <c r="U73" i="17"/>
  <c r="T122" i="17"/>
  <c r="L122" i="17"/>
  <c r="C43" i="13"/>
  <c r="U77" i="17"/>
  <c r="U76" i="17"/>
  <c r="U74" i="17"/>
  <c r="E15" i="4"/>
  <c r="B27" i="15"/>
  <c r="F23" i="15"/>
  <c r="P23" i="15" s="1"/>
  <c r="L22" i="15"/>
  <c r="N21" i="15"/>
  <c r="I15" i="4"/>
  <c r="J18" i="15"/>
  <c r="F17" i="15"/>
  <c r="I16" i="15"/>
  <c r="K14" i="15"/>
  <c r="D19" i="7"/>
  <c r="B19" i="7" s="1"/>
  <c r="I17" i="4" s="1"/>
  <c r="U91" i="17"/>
  <c r="P122" i="17"/>
  <c r="H122" i="17"/>
  <c r="I16" i="4"/>
  <c r="O16" i="4" s="1"/>
  <c r="K9" i="4"/>
  <c r="C25" i="15"/>
  <c r="X122" i="17" l="1"/>
  <c r="R57" i="17"/>
  <c r="K57" i="17"/>
  <c r="J57" i="17"/>
  <c r="I57" i="17"/>
  <c r="Q57" i="17"/>
  <c r="S57" i="17"/>
  <c r="I27" i="15"/>
  <c r="B14" i="4"/>
  <c r="J27" i="15"/>
  <c r="G14" i="4"/>
  <c r="F57" i="17"/>
  <c r="P18" i="15"/>
  <c r="O57" i="17"/>
  <c r="K14" i="4"/>
  <c r="P57" i="17"/>
  <c r="G27" i="15"/>
  <c r="L57" i="17"/>
  <c r="I14" i="4"/>
  <c r="L14" i="4"/>
  <c r="L15" i="4"/>
  <c r="J15" i="4"/>
  <c r="O15" i="4" s="1"/>
  <c r="I13" i="4"/>
  <c r="B13" i="4"/>
  <c r="J13" i="4"/>
  <c r="C13" i="4"/>
  <c r="K13" i="4"/>
  <c r="D13" i="4"/>
  <c r="L13" i="4"/>
  <c r="B9" i="3"/>
  <c r="E13" i="4"/>
  <c r="M13" i="4"/>
  <c r="G13" i="4"/>
  <c r="H13" i="4"/>
  <c r="F13" i="4"/>
  <c r="K27" i="15"/>
  <c r="E57" i="17"/>
  <c r="H27" i="15"/>
  <c r="D14" i="4"/>
  <c r="H57" i="17"/>
  <c r="P14" i="15"/>
  <c r="P27" i="15" s="1"/>
  <c r="K15" i="4"/>
  <c r="C14" i="4"/>
  <c r="M15" i="4"/>
  <c r="P25" i="15"/>
  <c r="T57" i="17"/>
  <c r="M57" i="17"/>
  <c r="G57" i="17"/>
  <c r="C27" i="15"/>
  <c r="P20" i="15"/>
  <c r="D25" i="7"/>
  <c r="O10" i="4"/>
  <c r="N57" i="17"/>
  <c r="F14" i="4"/>
  <c r="P16" i="15"/>
  <c r="F27" i="15"/>
  <c r="B17" i="4"/>
  <c r="O17" i="4" s="1"/>
  <c r="B25" i="7"/>
  <c r="M124" i="17" l="1"/>
  <c r="M125" i="17"/>
  <c r="I125" i="17"/>
  <c r="I124" i="17"/>
  <c r="I127" i="17" s="1"/>
  <c r="H125" i="17"/>
  <c r="H124" i="17"/>
  <c r="H127" i="17" s="1"/>
  <c r="J124" i="17"/>
  <c r="J127" i="17" s="1"/>
  <c r="J125" i="17"/>
  <c r="P125" i="17"/>
  <c r="P124" i="17"/>
  <c r="P127" i="17" s="1"/>
  <c r="O124" i="17"/>
  <c r="O125" i="17"/>
  <c r="O13" i="4"/>
  <c r="R124" i="17"/>
  <c r="R125" i="17"/>
  <c r="L124" i="17"/>
  <c r="L127" i="17" s="1"/>
  <c r="L125" i="17"/>
  <c r="Q125" i="17"/>
  <c r="Q124" i="17"/>
  <c r="Q127" i="17" s="1"/>
  <c r="K124" i="17"/>
  <c r="K125" i="17"/>
  <c r="N124" i="17"/>
  <c r="N125" i="17"/>
  <c r="G124" i="17"/>
  <c r="G127" i="17" s="1"/>
  <c r="G125" i="17"/>
  <c r="E124" i="17"/>
  <c r="U57" i="17"/>
  <c r="E125" i="17"/>
  <c r="F124" i="17"/>
  <c r="F125" i="17"/>
  <c r="T124" i="17"/>
  <c r="T127" i="17" s="1"/>
  <c r="T125" i="17"/>
  <c r="O14" i="4"/>
  <c r="S124" i="17"/>
  <c r="S125" i="17"/>
  <c r="F127" i="17" l="1"/>
  <c r="N127" i="17"/>
  <c r="K127" i="17"/>
  <c r="O127" i="17"/>
  <c r="R127" i="17"/>
  <c r="U125" i="17"/>
  <c r="X125" i="17" s="1"/>
  <c r="S127" i="17"/>
  <c r="U124" i="17"/>
  <c r="E127" i="17"/>
  <c r="M127" i="17"/>
  <c r="C11" i="4"/>
  <c r="C19" i="4" s="1"/>
  <c r="K11" i="4"/>
  <c r="K19" i="4" s="1"/>
  <c r="D11" i="4"/>
  <c r="D19" i="4" s="1"/>
  <c r="L11" i="4"/>
  <c r="L19" i="4" s="1"/>
  <c r="E11" i="4"/>
  <c r="E19" i="4" s="1"/>
  <c r="M11" i="4"/>
  <c r="M19" i="4" s="1"/>
  <c r="F11" i="4"/>
  <c r="F19" i="4" s="1"/>
  <c r="G11" i="4"/>
  <c r="G19" i="4" s="1"/>
  <c r="H11" i="4"/>
  <c r="H19" i="4" s="1"/>
  <c r="I11" i="4"/>
  <c r="I19" i="4" s="1"/>
  <c r="J11" i="4"/>
  <c r="J19" i="4" s="1"/>
  <c r="B11" i="4"/>
  <c r="X124" i="17" l="1"/>
  <c r="U127" i="17"/>
  <c r="X127" i="17" s="1"/>
  <c r="O11" i="4"/>
  <c r="O19" i="4" s="1"/>
  <c r="B19" i="4"/>
</calcChain>
</file>

<file path=xl/comments1.xml><?xml version="1.0" encoding="utf-8"?>
<comments xmlns="http://schemas.openxmlformats.org/spreadsheetml/2006/main">
  <authors>
    <author>L Guilliams</author>
  </authors>
  <commentList>
    <comment ref="C14" authorId="0" shapeId="0">
      <text>
        <r>
          <rPr>
            <b/>
            <sz val="8"/>
            <color indexed="81"/>
            <rFont val="Tahoma"/>
          </rPr>
          <t>L Guilliams:</t>
        </r>
        <r>
          <rPr>
            <sz val="8"/>
            <color indexed="81"/>
            <rFont val="Tahoma"/>
          </rPr>
          <t xml:space="preserve">
5% of total plan per Faith
</t>
        </r>
      </text>
    </comment>
  </commentList>
</comments>
</file>

<file path=xl/comments2.xml><?xml version="1.0" encoding="utf-8"?>
<comments xmlns="http://schemas.openxmlformats.org/spreadsheetml/2006/main">
  <authors>
    <author>L Guilliams</author>
  </authors>
  <commentList>
    <comment ref="B10" authorId="0" shapeId="0">
      <text>
        <r>
          <rPr>
            <b/>
            <sz val="8"/>
            <color indexed="81"/>
            <rFont val="Tahoma"/>
          </rPr>
          <t>L Guilliams:</t>
        </r>
        <r>
          <rPr>
            <sz val="8"/>
            <color indexed="81"/>
            <rFont val="Tahoma"/>
          </rPr>
          <t xml:space="preserve">
see email copy below</t>
        </r>
      </text>
    </comment>
    <comment ref="D10" authorId="0" shapeId="0">
      <text>
        <r>
          <rPr>
            <b/>
            <sz val="8"/>
            <color indexed="81"/>
            <rFont val="Tahoma"/>
          </rPr>
          <t>L Guilliams:</t>
        </r>
        <r>
          <rPr>
            <sz val="8"/>
            <color indexed="81"/>
            <rFont val="Tahoma"/>
          </rPr>
          <t xml:space="preserve">
Per Dawn Derr, the total for Canada is 3k for the year.</t>
        </r>
      </text>
    </comment>
    <comment ref="E10" authorId="0" shapeId="0">
      <text>
        <r>
          <rPr>
            <b/>
            <sz val="8"/>
            <color indexed="81"/>
            <rFont val="Tahoma"/>
          </rPr>
          <t>L Guilliams:</t>
        </r>
        <r>
          <rPr>
            <sz val="8"/>
            <color indexed="81"/>
            <rFont val="Tahoma"/>
          </rPr>
          <t xml:space="preserve">
see email copy below</t>
        </r>
      </text>
    </comment>
    <comment ref="F10" authorId="0" shapeId="0">
      <text>
        <r>
          <rPr>
            <b/>
            <sz val="8"/>
            <color indexed="81"/>
            <rFont val="Tahoma"/>
          </rPr>
          <t>L Guilliams:</t>
        </r>
        <r>
          <rPr>
            <sz val="8"/>
            <color indexed="81"/>
            <rFont val="Tahoma"/>
          </rPr>
          <t xml:space="preserve">
see tab labelled "OCC-Public Affairs Detail"</t>
        </r>
      </text>
    </comment>
    <comment ref="C12" authorId="0" shapeId="0">
      <text>
        <r>
          <rPr>
            <b/>
            <sz val="8"/>
            <color indexed="81"/>
            <rFont val="Tahoma"/>
          </rPr>
          <t>L Guilliams:</t>
        </r>
        <r>
          <rPr>
            <sz val="8"/>
            <color indexed="81"/>
            <rFont val="Tahoma"/>
          </rPr>
          <t xml:space="preserve">
see HC calculation below</t>
        </r>
      </text>
    </comment>
    <comment ref="H12" authorId="0" shapeId="0">
      <text>
        <r>
          <rPr>
            <b/>
            <sz val="8"/>
            <color indexed="81"/>
            <rFont val="Tahoma"/>
          </rPr>
          <t>L Guilliams:</t>
        </r>
        <r>
          <rPr>
            <sz val="8"/>
            <color indexed="81"/>
            <rFont val="Tahoma"/>
          </rPr>
          <t xml:space="preserve">
using last years percentages
</t>
        </r>
      </text>
    </comment>
    <comment ref="I12" authorId="0" shapeId="0">
      <text>
        <r>
          <rPr>
            <b/>
            <sz val="8"/>
            <color indexed="81"/>
            <rFont val="Tahoma"/>
          </rPr>
          <t>L Guilliams:</t>
        </r>
        <r>
          <rPr>
            <sz val="8"/>
            <color indexed="81"/>
            <rFont val="Tahoma"/>
          </rPr>
          <t xml:space="preserve">
see HC calculation below</t>
        </r>
      </text>
    </comment>
    <comment ref="J12" authorId="0" shapeId="0">
      <text>
        <r>
          <rPr>
            <b/>
            <sz val="8"/>
            <color indexed="81"/>
            <rFont val="Tahoma"/>
          </rPr>
          <t>L Guilliams:</t>
        </r>
        <r>
          <rPr>
            <sz val="8"/>
            <color indexed="81"/>
            <rFont val="Tahoma"/>
          </rPr>
          <t xml:space="preserve">
For all of RAC, use same % as last year, per Kevin Jolly.</t>
        </r>
      </text>
    </comment>
  </commentList>
</comments>
</file>

<file path=xl/comments3.xml><?xml version="1.0" encoding="utf-8"?>
<comments xmlns="http://schemas.openxmlformats.org/spreadsheetml/2006/main">
  <authors>
    <author>L Guilliams</author>
  </authors>
  <commentList>
    <comment ref="D11" authorId="0" shapeId="0">
      <text>
        <r>
          <rPr>
            <b/>
            <sz val="8"/>
            <color indexed="81"/>
            <rFont val="Tahoma"/>
          </rPr>
          <t>L Guilliams:</t>
        </r>
        <r>
          <rPr>
            <sz val="8"/>
            <color indexed="81"/>
            <rFont val="Tahoma"/>
          </rPr>
          <t xml:space="preserve">
based on plan number at 10/23/01; to get %, took monthly plan amount and divided it by total plan, then * by % of total HC
</t>
        </r>
      </text>
    </comment>
  </commentList>
</comments>
</file>

<file path=xl/sharedStrings.xml><?xml version="1.0" encoding="utf-8"?>
<sst xmlns="http://schemas.openxmlformats.org/spreadsheetml/2006/main" count="685" uniqueCount="401">
  <si>
    <t>Send e-mail asking everyone to prepare plan allocations to Canada for svc agreement.</t>
  </si>
  <si>
    <t>Put numbers in template by month, send to Jill Louie for monthly journal entry</t>
  </si>
  <si>
    <t>Move 105685,105715 back into group</t>
  </si>
  <si>
    <t>Move profit center 11796 to Canada team hierarchy 1st of 2001</t>
  </si>
  <si>
    <t>done</t>
  </si>
  <si>
    <t>Inform Canada of PC 11796 change</t>
  </si>
  <si>
    <t>waiting on numbers</t>
  </si>
  <si>
    <t>wait till 1st of year</t>
  </si>
  <si>
    <t>CANADA</t>
  </si>
  <si>
    <t>Tax</t>
  </si>
  <si>
    <t>Total</t>
  </si>
  <si>
    <t>Legal-Internal</t>
  </si>
  <si>
    <t>Energy Operations</t>
  </si>
  <si>
    <t>Enron Online</t>
  </si>
  <si>
    <t>Information Technology</t>
  </si>
  <si>
    <t>RAC</t>
  </si>
  <si>
    <t>Benefits &amp; OCC</t>
  </si>
  <si>
    <t>LTCP</t>
  </si>
  <si>
    <t>Public Relations</t>
  </si>
  <si>
    <t>Business Analysis &amp; Reporting</t>
  </si>
  <si>
    <t xml:space="preserve">Cost Center </t>
  </si>
  <si>
    <t>Monthly</t>
  </si>
  <si>
    <t>Year</t>
  </si>
  <si>
    <t>Canada</t>
  </si>
  <si>
    <t>February</t>
  </si>
  <si>
    <t>March</t>
  </si>
  <si>
    <t>April</t>
  </si>
  <si>
    <t>May</t>
  </si>
  <si>
    <t>June</t>
  </si>
  <si>
    <t>July</t>
  </si>
  <si>
    <t>August</t>
  </si>
  <si>
    <t>September</t>
  </si>
  <si>
    <t>October</t>
  </si>
  <si>
    <t>November</t>
  </si>
  <si>
    <t>December</t>
  </si>
  <si>
    <t>Cost Center</t>
  </si>
  <si>
    <t>Cost Center Name</t>
  </si>
  <si>
    <t>%</t>
  </si>
  <si>
    <t>$</t>
  </si>
  <si>
    <t>105572 - ENA Tax</t>
  </si>
  <si>
    <t>105573 - ENA Public Relations</t>
  </si>
  <si>
    <t xml:space="preserve">January </t>
  </si>
  <si>
    <t>Legal - Internal</t>
  </si>
  <si>
    <t>Monthly Total</t>
  </si>
  <si>
    <t>ENRON NORTH AMERICA</t>
  </si>
  <si>
    <t>CANADA SERVICE AGREEMENT</t>
  </si>
  <si>
    <t>LT Comp</t>
  </si>
  <si>
    <t>OCC-SAP</t>
  </si>
  <si>
    <t>Total budget</t>
  </si>
  <si>
    <t>Direct</t>
  </si>
  <si>
    <t>Headcount</t>
  </si>
  <si>
    <t>*** No charges from ECM, HR and Research</t>
  </si>
  <si>
    <t>Business Analysis &amp; Rptg</t>
  </si>
  <si>
    <t>Executive - Haedicke</t>
  </si>
  <si>
    <t>Litigation - Sanders</t>
  </si>
  <si>
    <t>Physical &amp; Financial Trading - Taylor</t>
  </si>
  <si>
    <t>Finance Orig. - M&amp;A - Schuler</t>
  </si>
  <si>
    <t>Labor/Employment Law - Cash</t>
  </si>
  <si>
    <t>Canada Service Agreement - 2002</t>
  </si>
  <si>
    <t>-----Original Message-----</t>
  </si>
  <si>
    <t xml:space="preserve">From: </t>
  </si>
  <si>
    <t xml:space="preserve">Aulds, Sharon  </t>
  </si>
  <si>
    <t>Sent:</t>
  </si>
  <si>
    <t>Wednesday, October 24, 2001 2:23 PM</t>
  </si>
  <si>
    <t>To:</t>
  </si>
  <si>
    <t>Guilliams, Lisa</t>
  </si>
  <si>
    <t>Subject:</t>
  </si>
  <si>
    <t>Importance:</t>
  </si>
  <si>
    <t>High</t>
  </si>
  <si>
    <t>Lisa,</t>
  </si>
  <si>
    <t>The amount attributable to Canada (co. 444) is $1,040,643.84.  This amount is based on actual outstanding restricted stock grants and projections of grants to be awarded in 2002 based on those awarded in 2001.  If you have any questions, please let me know.</t>
  </si>
  <si>
    <t>Sharon</t>
  </si>
  <si>
    <t>3-7769</t>
  </si>
  <si>
    <t>Canada Commericial</t>
  </si>
  <si>
    <t>ENA Total HC</t>
  </si>
  <si>
    <t>% of Total HC</t>
  </si>
  <si>
    <t>Canada Non-Comm</t>
  </si>
  <si>
    <t>As of 10/23/01</t>
  </si>
  <si>
    <t>#</t>
  </si>
  <si>
    <t>Net to ENA</t>
  </si>
  <si>
    <t>Monthly %</t>
  </si>
  <si>
    <t>Canada portion</t>
  </si>
  <si>
    <t>Methodology - Headcount (11.68%)</t>
  </si>
  <si>
    <t>Canada Total HC</t>
  </si>
  <si>
    <t>(includes Canada)</t>
  </si>
  <si>
    <t>RAC - Credit Risk Mgmt</t>
  </si>
  <si>
    <t>RAC - Assurance Service</t>
  </si>
  <si>
    <t>RAC - Domestic Compliance</t>
  </si>
  <si>
    <t>RAC -   Market Risk Mgmt</t>
  </si>
  <si>
    <t>RAC -      Portfolio</t>
  </si>
  <si>
    <t xml:space="preserve">SAP ISC:  Contacted Chris Schlaudraff (5-6162).  She said that it will be reasonable to allocate over headcount, that they do not break it down to the company level, only the business level.  </t>
  </si>
  <si>
    <t>Last year we took only 5% of the total, which was significantly lower (244,950/yr vs. 785,130/yr).</t>
  </si>
  <si>
    <t>Strategic Sourcing:  Left message with Judy Knepshield (5-6276) Wed. morning.  No response.  Last year we did not allocate anything in the agreement, and I believe that Canada has there own A/P department, therefore, we did not allocate anything in 2002.</t>
  </si>
  <si>
    <t>ENRON NETWORKS - ENERGY OPERATIONS</t>
  </si>
  <si>
    <t>2002 PLAN ALLOCATIONS TO ENRON AMERICAS</t>
  </si>
  <si>
    <t>BASED ON 10-19-01 INVOICE</t>
  </si>
  <si>
    <t>Asset Trading</t>
  </si>
  <si>
    <t>Canada Finance</t>
  </si>
  <si>
    <t>Canada Trading</t>
  </si>
  <si>
    <t>Central Gas</t>
  </si>
  <si>
    <t>Chicago Gas Trading</t>
  </si>
  <si>
    <t>East Gas</t>
  </si>
  <si>
    <t>East Power Trading</t>
  </si>
  <si>
    <t>Energy Capital Resources</t>
  </si>
  <si>
    <t>Financial Gas</t>
  </si>
  <si>
    <t>Generation Investments</t>
  </si>
  <si>
    <t>Risk Management Houston</t>
  </si>
  <si>
    <t>Upstream Originations</t>
  </si>
  <si>
    <t>West Gas</t>
  </si>
  <si>
    <t>West Power Trading</t>
  </si>
  <si>
    <t>South America Trading</t>
  </si>
  <si>
    <t>Lavarato - Cross Commodity</t>
  </si>
  <si>
    <t>ENA Total</t>
  </si>
  <si>
    <t>rm</t>
  </si>
  <si>
    <t>West Gas Economics</t>
  </si>
  <si>
    <t>Central Gas Team</t>
  </si>
  <si>
    <t>East Gas Team</t>
  </si>
  <si>
    <t>sc</t>
  </si>
  <si>
    <t>Client Services</t>
  </si>
  <si>
    <t>Financial Gas Support</t>
  </si>
  <si>
    <t>Gas Operations Mgmt</t>
  </si>
  <si>
    <t>log</t>
  </si>
  <si>
    <t>Volume Mgmt</t>
  </si>
  <si>
    <t>pwr</t>
  </si>
  <si>
    <t>Power Risk Mgmt East</t>
  </si>
  <si>
    <t>Power Risk Mgmt West</t>
  </si>
  <si>
    <t>Physical Power Confirmations</t>
  </si>
  <si>
    <t>East Power Volume Mgmt</t>
  </si>
  <si>
    <t>Power Settlements</t>
  </si>
  <si>
    <t>Texas Logistics</t>
  </si>
  <si>
    <t>Texas Risk Management</t>
  </si>
  <si>
    <t>Gas Assets Ops Mgmt</t>
  </si>
  <si>
    <t>Closed</t>
  </si>
  <si>
    <t>rmc</t>
  </si>
  <si>
    <t>Controls &amp; Risk</t>
  </si>
  <si>
    <t>krm</t>
  </si>
  <si>
    <t>GDM Ensourcing</t>
  </si>
  <si>
    <t>Transport Rates</t>
  </si>
  <si>
    <t>Bench &amp; NGP&amp;L</t>
  </si>
  <si>
    <t>Operational Analysis</t>
  </si>
  <si>
    <t>Emerging Confirmations</t>
  </si>
  <si>
    <t>Information &amp; Records Mgmt</t>
  </si>
  <si>
    <t>Sitara Production Support</t>
  </si>
  <si>
    <t>Global Facilities</t>
  </si>
  <si>
    <t>Global Contracts</t>
  </si>
  <si>
    <t>gbl</t>
  </si>
  <si>
    <t>Global Counterparty</t>
  </si>
  <si>
    <t>Global Rate Services</t>
  </si>
  <si>
    <t>Logistics Mgmt</t>
  </si>
  <si>
    <t>Gas Logistics SE</t>
  </si>
  <si>
    <t>Gas Logistics NE</t>
  </si>
  <si>
    <t>Gas Logistics Central</t>
  </si>
  <si>
    <t>Gas Logistics West</t>
  </si>
  <si>
    <t>Ecommerce / Reg Support</t>
  </si>
  <si>
    <t>Project Aruba</t>
  </si>
  <si>
    <t>Merchant Asset Portfolio</t>
  </si>
  <si>
    <t>Financial Confirmations</t>
  </si>
  <si>
    <t>Financial Settlements</t>
  </si>
  <si>
    <t>Wellhead Desk</t>
  </si>
  <si>
    <t>Risk IT Support</t>
  </si>
  <si>
    <t>Chicago Gas Team</t>
  </si>
  <si>
    <t>Southern Cone Risk Mgmt</t>
  </si>
  <si>
    <t>mgmt</t>
  </si>
  <si>
    <t>Management</t>
  </si>
  <si>
    <t>Depreciation</t>
  </si>
  <si>
    <t>grm</t>
  </si>
  <si>
    <t>Global Services Mgmt</t>
  </si>
  <si>
    <t>Risk Analytics</t>
  </si>
  <si>
    <t>Operational Risk</t>
  </si>
  <si>
    <t>Gbl</t>
  </si>
  <si>
    <t>Global Data Mgmt</t>
  </si>
  <si>
    <t>Operations Pricing Desk</t>
  </si>
  <si>
    <t>Indirects &amp; Other Comp</t>
  </si>
  <si>
    <t>2002 Plan</t>
  </si>
  <si>
    <t>South America Merchant Trading Activity</t>
  </si>
  <si>
    <t>Logistics / Volume Management</t>
  </si>
  <si>
    <t>Risk Management</t>
  </si>
  <si>
    <t>Settlements and Confirmations</t>
  </si>
  <si>
    <t>Power</t>
  </si>
  <si>
    <t>Global Risk Management Operations</t>
  </si>
  <si>
    <t>Risk Management and Controls</t>
  </si>
  <si>
    <t>Global CPR</t>
  </si>
  <si>
    <t>Global KRM</t>
  </si>
  <si>
    <t>Total Direct Expenses</t>
  </si>
  <si>
    <t>Indirects</t>
  </si>
  <si>
    <t>Other Compensation</t>
  </si>
  <si>
    <t>Total Allocation</t>
  </si>
  <si>
    <t>2002</t>
  </si>
  <si>
    <t>EOL</t>
  </si>
  <si>
    <t>2002 Budgeted BU Allocation</t>
  </si>
  <si>
    <t>EA</t>
  </si>
  <si>
    <t>e Commerce</t>
  </si>
  <si>
    <t>Development</t>
  </si>
  <si>
    <t>O &amp; M Baseline</t>
  </si>
  <si>
    <t>Total e Commerce Dollars</t>
  </si>
  <si>
    <t>Indirect</t>
  </si>
  <si>
    <t>Total Dollars</t>
  </si>
  <si>
    <t>Other Compensation Expense</t>
  </si>
  <si>
    <t>Gas/Power only</t>
  </si>
  <si>
    <t>105662 - BA&amp;R Executive - Wes</t>
  </si>
  <si>
    <t>OCC - Executive</t>
  </si>
  <si>
    <t>OCC - Legal</t>
  </si>
  <si>
    <t>Canada Restricted Stock 2002 Budget (LTCP)</t>
  </si>
  <si>
    <t xml:space="preserve"> -----Original Message-----</t>
  </si>
  <si>
    <t xml:space="preserve">Obrecht, Paulette  </t>
  </si>
  <si>
    <t>Thursday, October 25, 2001 2:52 PM</t>
  </si>
  <si>
    <t>Cc:</t>
  </si>
  <si>
    <t>Rogers, Rex</t>
  </si>
  <si>
    <t>Allocation to Canada from Corp. Legal</t>
  </si>
  <si>
    <t>The only amount of the ENA allocation that should be directed to Canada from the Corp. Legal cost centers will be 5% of the allocation from cost center 100040 which comes to a total of 55,138.65 for the 2002 Plan. If you have any further questions, please call me.</t>
  </si>
  <si>
    <t>Paulette Obrecht</t>
  </si>
  <si>
    <t xml:space="preserve"> OCC - Public Affairs</t>
  </si>
  <si>
    <t>e-mail from Susan Helton</t>
  </si>
  <si>
    <t>107075 - Trading Accounting &amp; Reporting</t>
  </si>
  <si>
    <t xml:space="preserve">Eggebrecht, Kurt  </t>
  </si>
  <si>
    <t>Friday, October 26, 2001 2:57 PM</t>
  </si>
  <si>
    <t>Leschber, Edie; Nguyen, Vivian</t>
  </si>
  <si>
    <t>Douglas, Stephen H.; Guilliams, Lisa; Clark, Morris</t>
  </si>
  <si>
    <t>RE: Tax Amount for Canada Service Agreeemnt</t>
  </si>
  <si>
    <t>Vivian/Edie-</t>
  </si>
  <si>
    <t>We plan to hold the cross-charge for 2002 equal to 2001 (14,440/mo or 173,280/yr).  Sorry for the delay in getting this information to you.</t>
  </si>
  <si>
    <t>Thanks,</t>
  </si>
  <si>
    <t>Kurt</t>
  </si>
  <si>
    <t>X-33979</t>
  </si>
  <si>
    <t xml:space="preserve">Leschber, Edie  </t>
  </si>
  <si>
    <t>Thursday, October 25, 2001 7:25 AM</t>
  </si>
  <si>
    <t>Eggebrecht, Kurt</t>
  </si>
  <si>
    <t>Douglas, Stephen H.; Nguyen, Vivian; Guilliams, Lisa</t>
  </si>
  <si>
    <t>Tax Amount for Canada Service Agreeemnt</t>
  </si>
  <si>
    <t>Kurt,</t>
  </si>
  <si>
    <t>I believe Vivian Nguyen, who works for me left you a message regarding the Canada Service Agreement yesterday.  I wanted to ensure that you have any additional information that you may need to determine a proposed amount from Tax.</t>
  </si>
  <si>
    <t>If you are not familiar with the Canada Service Agreement, this Agreement includes fixed charges for any services in the Houston office which are provided for support to Canada.  In the 2001 Agreeement, the Tax charge included was $14,400/month or $173, 280 for the year.  We have little support for these numbers, but assume they were based on some percentage of ENA's total net plan.  I would suggest simply evaluating the percentage of time you feel is spent on Canada (Co 0444) matters by the Tax Department which can be applied to the net ENA plan for 2002 of $1,383,998.  This does not include the Corporate Tax charge.</t>
  </si>
  <si>
    <t>As Vivian indicated yesterday, we would appreciate a response by noon today if possible.  Please do not hesitate to contact me should you have any questions.</t>
  </si>
  <si>
    <t>Edie Leschber</t>
  </si>
  <si>
    <t>x30669</t>
  </si>
  <si>
    <t>Flat amount</t>
  </si>
  <si>
    <t>OCC -Insurance</t>
  </si>
  <si>
    <t>RAC -Underwriting</t>
  </si>
  <si>
    <t>Financial</t>
  </si>
  <si>
    <t>MidWest</t>
  </si>
  <si>
    <t>East</t>
  </si>
  <si>
    <t xml:space="preserve">West </t>
  </si>
  <si>
    <t>Texas</t>
  </si>
  <si>
    <t>Chicago</t>
  </si>
  <si>
    <t>RM-Houston</t>
  </si>
  <si>
    <t>RM-NY</t>
  </si>
  <si>
    <t>East Power</t>
  </si>
  <si>
    <t>West Power</t>
  </si>
  <si>
    <t>Financial Trading</t>
  </si>
  <si>
    <t>Drift</t>
  </si>
  <si>
    <t>East Midstream</t>
  </si>
  <si>
    <t>West Midstream</t>
  </si>
  <si>
    <t>Industrial Downstream</t>
  </si>
  <si>
    <t>Midstream IPP</t>
  </si>
  <si>
    <t>(Phyllis Kennedy)</t>
  </si>
  <si>
    <t>(Jennifer Smith &amp; Steven Wolfe)</t>
  </si>
  <si>
    <t>(.5 split evenly between everyone except Chicago)</t>
  </si>
  <si>
    <t>Infrastructure</t>
  </si>
  <si>
    <t>Flat Amount</t>
  </si>
  <si>
    <t>Annual Total</t>
  </si>
  <si>
    <t>Methodology</t>
  </si>
  <si>
    <t>Percentage</t>
  </si>
  <si>
    <t>OCC - Risk Mgmt Insurance</t>
  </si>
  <si>
    <t>OCC -Click@Home Prog</t>
  </si>
  <si>
    <t>2001 Canada to do list</t>
  </si>
  <si>
    <t>Service Category</t>
  </si>
  <si>
    <t>Service</t>
  </si>
  <si>
    <t>Allocation Basis</t>
  </si>
  <si>
    <t>Total EA Driver</t>
  </si>
  <si>
    <t>Canada Driver</t>
  </si>
  <si>
    <t>Total EA Cost</t>
  </si>
  <si>
    <t>Canada Cost</t>
  </si>
  <si>
    <t>Desktop Support</t>
  </si>
  <si>
    <t>Resolution Center</t>
  </si>
  <si>
    <t xml:space="preserve"># of users  </t>
  </si>
  <si>
    <t>Remote Desktop Support</t>
  </si>
  <si>
    <t xml:space="preserve"># of remote users </t>
  </si>
  <si>
    <t>Desktop Hardware Support</t>
  </si>
  <si>
    <t># of users</t>
  </si>
  <si>
    <t>Software - Desktop Maintenance &amp; Support</t>
  </si>
  <si>
    <t>Actual Spend</t>
  </si>
  <si>
    <t>Email Administration</t>
  </si>
  <si>
    <t xml:space="preserve"># of users </t>
  </si>
  <si>
    <t>Disk Space Allocations (E-mail)</t>
  </si>
  <si>
    <t>% of Total Stored Megabytes</t>
  </si>
  <si>
    <t>Messaging Operations (Exchange)</t>
  </si>
  <si>
    <t>User &amp; Data Volume Support</t>
  </si>
  <si>
    <t>Server Infrastructure</t>
  </si>
  <si>
    <t>Production Operations Management</t>
  </si>
  <si>
    <t>% of total users</t>
  </si>
  <si>
    <t>Enterprise Command Center</t>
  </si>
  <si>
    <t>Change &amp; Configuration Management</t>
  </si>
  <si>
    <t>Security Administration</t>
  </si>
  <si>
    <t>Data Center Operations</t>
  </si>
  <si>
    <t>Total Square Feet Occupied</t>
  </si>
  <si>
    <t>IT Security Policy, Monitoring, and Investigation</t>
  </si>
  <si>
    <t>Software - Server Maintenance &amp; Support</t>
  </si>
  <si>
    <t>Application Storage Support</t>
  </si>
  <si>
    <t>% of Total storage costs</t>
  </si>
  <si>
    <t>Remote Infrastructure Operation &amp; Support</t>
  </si>
  <si>
    <t>% of remote infrastructure support costs</t>
  </si>
  <si>
    <t>Remote Trading Management</t>
  </si>
  <si>
    <t>% of remote trading infrastructure support costs</t>
  </si>
  <si>
    <t>UNIX Application Infrastructure</t>
  </si>
  <si>
    <t># of UNIX servers used</t>
  </si>
  <si>
    <t>General UNIX Infrastructure</t>
  </si>
  <si>
    <t>NT Application Infrastructure</t>
  </si>
  <si>
    <t># of NT servers used</t>
  </si>
  <si>
    <t>General NT Infrastructure</t>
  </si>
  <si>
    <t>Remedy</t>
  </si>
  <si>
    <t>Market Data Admin. Support</t>
  </si>
  <si>
    <t>% of Actual Usage</t>
  </si>
  <si>
    <t>Web Operations</t>
  </si>
  <si>
    <t>Terminal Server Operations</t>
  </si>
  <si>
    <t>Distributed Applications Management</t>
  </si>
  <si>
    <t>EDI</t>
  </si>
  <si>
    <t>% of Usage of 1000 characters</t>
  </si>
  <si>
    <t xml:space="preserve">Business Administration Project Management </t>
  </si>
  <si>
    <t xml:space="preserve">Technical Architecture Oversight </t>
  </si>
  <si>
    <t>Communications Support</t>
  </si>
  <si>
    <t>LAN Support</t>
  </si>
  <si>
    <t># of Houston users</t>
  </si>
  <si>
    <t>WAN Support</t>
  </si>
  <si>
    <t>% of WAN Circuit Costs</t>
  </si>
  <si>
    <t>DMZ Security</t>
  </si>
  <si>
    <t>24x7 Support</t>
  </si>
  <si>
    <t>Telephony support</t>
  </si>
  <si>
    <t>Passthrough Expense</t>
  </si>
  <si>
    <t xml:space="preserve">Market Data Feeds </t>
  </si>
  <si>
    <t>Long Distance</t>
  </si>
  <si>
    <t>% of Total Usage</t>
  </si>
  <si>
    <t>800 (Inbound)</t>
  </si>
  <si>
    <t>Calling Card</t>
  </si>
  <si>
    <t>Audio conferencing</t>
  </si>
  <si>
    <t>Video conferencing</t>
  </si>
  <si>
    <t># of video hrs</t>
  </si>
  <si>
    <t>Internet Access</t>
  </si>
  <si>
    <t>Remote Access (dial/VPN)</t>
  </si>
  <si>
    <t>WAN Circuits</t>
  </si>
  <si>
    <t>Usage</t>
  </si>
  <si>
    <t>Voice Circuits</t>
  </si>
  <si>
    <t>Sky Tel Pager</t>
  </si>
  <si>
    <t>Note: Canadian users constitute 10.41% of the EA population (137 of 1316)</t>
  </si>
  <si>
    <t>2002 SERVICE AGREEMENT - Houston Portion only</t>
  </si>
  <si>
    <t>See IT Detail Tab</t>
  </si>
  <si>
    <t>Canada Service Agreement</t>
  </si>
  <si>
    <t>CSA</t>
  </si>
  <si>
    <t>Does not include Passthrough</t>
  </si>
  <si>
    <t>Canada Support IT Costs 2002</t>
  </si>
  <si>
    <t>Year on Year Comparison</t>
  </si>
  <si>
    <t>2001 vs. 2002</t>
  </si>
  <si>
    <t>Increase/(Decrease)</t>
  </si>
  <si>
    <t>Explanation</t>
  </si>
  <si>
    <t>Held Flat to 2001</t>
  </si>
  <si>
    <t>2002 Plan increases for all applicable legal cost centers (internal costs)</t>
  </si>
  <si>
    <t>2002 Plan overall decreases for BA&amp;R</t>
  </si>
  <si>
    <t>2002 Plan overall decreases for Energy Ops</t>
  </si>
  <si>
    <t>Significant increases in Online Trading Transactions</t>
  </si>
  <si>
    <t>Only $29k IT Development costs planned to be billed separately.  Number only includes Infrastructure costs.</t>
  </si>
  <si>
    <t>Fewer assets held for which support is necessary.</t>
  </si>
  <si>
    <t>Benefits &amp; Other Corporate Charges</t>
  </si>
  <si>
    <t>Increase primarily due to billing of Public Affairs Corporate Allocation applicable to Canada.</t>
  </si>
  <si>
    <t>2002 Plan overall decreases for Public Relations</t>
  </si>
  <si>
    <t>2002 Plan @ 10/23/01</t>
  </si>
  <si>
    <t>RAC-Ben-OCC-LTCP Detail</t>
  </si>
  <si>
    <t>Amount provided by Susan Helton which includes support by Richard Orellana, Susan Helton and Georganne Hodges.</t>
  </si>
  <si>
    <t>105669 - Susan Helton/Georganne Hodges</t>
  </si>
  <si>
    <t>Per Faith Killen, use 5% for Wes Colwell, and zero for her CC.</t>
  </si>
  <si>
    <t>Trading Accounting and Reporting (107075)</t>
  </si>
  <si>
    <t>ENA</t>
  </si>
  <si>
    <t>Mexico</t>
  </si>
  <si>
    <t>TX Gas Orig</t>
  </si>
  <si>
    <t>ERCOT Pwr Orig</t>
  </si>
  <si>
    <t>W. Gas Orig</t>
  </si>
  <si>
    <t>W. Pwr Orig</t>
  </si>
  <si>
    <t>NE Pwr Orig</t>
  </si>
  <si>
    <t>SE Pwr Orig</t>
  </si>
  <si>
    <t>E. Gas Orig</t>
  </si>
  <si>
    <t>MW Pwr Orig</t>
  </si>
  <si>
    <t>MW Gas Orig</t>
  </si>
  <si>
    <t>State Government Affairs-Tx/Ok</t>
  </si>
  <si>
    <t>Rick Shapiro</t>
  </si>
  <si>
    <t>Anticipated Usage</t>
  </si>
  <si>
    <t>25%/75% gas/power</t>
  </si>
  <si>
    <t>State Government Affairs-Calif/West</t>
  </si>
  <si>
    <t>State Government Affairs-Canada</t>
  </si>
  <si>
    <t>Canada Teams</t>
  </si>
  <si>
    <t>State Government Affairs-Mid Atlantic</t>
  </si>
  <si>
    <t>State Government Affairs-Midwest</t>
  </si>
  <si>
    <t>Gov't Affairs-Mexico</t>
  </si>
  <si>
    <t>Mexico Team</t>
  </si>
  <si>
    <t>State Gov/Fed Reg Env/Implementation</t>
  </si>
  <si>
    <t>Allocate evenly over all teams receiving regional allocations</t>
  </si>
  <si>
    <t>Reg Risk/Comp Analysis</t>
  </si>
  <si>
    <t>Gov't Affairs-Rates &amp; Regulations</t>
  </si>
  <si>
    <t>Enron Washington Inc</t>
  </si>
  <si>
    <t>Linda Robertson</t>
  </si>
  <si>
    <t>Mng Dir Gov't Affairs</t>
  </si>
  <si>
    <t>TOTAL PUBLIC AFFAIRS &amp; ADMINISTRATION</t>
  </si>
  <si>
    <t>(in 000s)</t>
  </si>
  <si>
    <t>OCC-PUBLIC AFFAIRS &amp; ADMINISTRATION-2002</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</si>
</sst>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mmmm\-yy"/>
    <numFmt numFmtId="165" formatCode="_(* #,##0_);_(* \(#,##0\);_(* &quot;-&quot;??_);_(@_)"/>
    <numFmt numFmtId="166" formatCode="0.00_)"/>
    <numFmt numFmtId="167" formatCode="&quot;$&quot;\ \ \ #,##0.00_);\(&quot;$&quot;\ \ \ #,##0.00\);&quot;$&quot;\ \ \ \ \ \ \ \ \ \ \-"/>
    <numFmt numFmtId="168" formatCode="#,##0.0000_);\(#,##0.0000\);_ \-\ \ "/>
    <numFmt numFmtId="169" formatCode="#,##0.00__\);\(#,##0.00\);__\ \ \-"/>
    <numFmt numFmtId="170" formatCode="#,###_)"/>
    <numFmt numFmtId="171" formatCode="0.0"/>
    <numFmt numFmtId="172" formatCode="0.0%"/>
    <numFmt numFmtId="174" formatCode="0.000"/>
  </numFmts>
  <fonts count="29">
    <font>
      <sz val="10"/>
      <name val="Arial"/>
    </font>
    <font>
      <sz val="10"/>
      <name val="Arial"/>
    </font>
    <font>
      <b/>
      <sz val="10"/>
      <name val="Arial"/>
      <family val="2"/>
    </font>
    <font>
      <sz val="8"/>
      <name val="Arial"/>
    </font>
    <font>
      <b/>
      <sz val="12"/>
      <name val="Arial"/>
      <family val="2"/>
    </font>
    <font>
      <u/>
      <sz val="10"/>
      <name val="Arial"/>
      <family val="2"/>
    </font>
    <font>
      <sz val="11"/>
      <name val="??"/>
      <family val="3"/>
      <charset val="129"/>
    </font>
    <font>
      <sz val="8"/>
      <name val="Arial"/>
      <family val="2"/>
    </font>
    <font>
      <b/>
      <u/>
      <sz val="11"/>
      <color indexed="37"/>
      <name val="Arial"/>
      <family val="2"/>
    </font>
    <font>
      <sz val="10"/>
      <color indexed="12"/>
      <name val="Arial"/>
      <family val="2"/>
    </font>
    <font>
      <sz val="7"/>
      <name val="Small Fonts"/>
    </font>
    <font>
      <b/>
      <i/>
      <sz val="16"/>
      <name val="Helv"/>
    </font>
    <font>
      <sz val="10"/>
      <name val="Times New Roman"/>
      <family val="1"/>
    </font>
    <font>
      <sz val="8"/>
      <color indexed="12"/>
      <name val="Arial"/>
      <family val="2"/>
    </font>
    <font>
      <b/>
      <sz val="10"/>
      <name val="Times New Roman"/>
      <family val="1"/>
    </font>
    <font>
      <b/>
      <sz val="16"/>
      <name val="Times New Roman"/>
      <family val="1"/>
    </font>
    <font>
      <b/>
      <sz val="10"/>
      <name val="Arial"/>
    </font>
    <font>
      <sz val="10"/>
      <name val="Arial"/>
      <family val="2"/>
    </font>
    <font>
      <sz val="8"/>
      <color indexed="81"/>
      <name val="Tahoma"/>
    </font>
    <font>
      <b/>
      <sz val="8"/>
      <color indexed="81"/>
      <name val="Tahoma"/>
    </font>
    <font>
      <b/>
      <u/>
      <sz val="10"/>
      <name val="Arial"/>
      <family val="2"/>
    </font>
    <font>
      <b/>
      <sz val="10"/>
      <color indexed="10"/>
      <name val="Arial"/>
      <family val="2"/>
    </font>
    <font>
      <sz val="16"/>
      <color indexed="10"/>
      <name val="Comic Sans MS"/>
      <family val="4"/>
    </font>
    <font>
      <sz val="10"/>
      <color indexed="14"/>
      <name val="Arial"/>
      <family val="2"/>
    </font>
    <font>
      <sz val="10"/>
      <color indexed="10"/>
      <name val="Arial"/>
      <family val="2"/>
    </font>
    <font>
      <b/>
      <sz val="22"/>
      <name val="Arial"/>
      <family val="2"/>
    </font>
    <font>
      <b/>
      <sz val="10"/>
      <color indexed="9"/>
      <name val="Arial"/>
      <family val="2"/>
    </font>
    <font>
      <b/>
      <i/>
      <sz val="10"/>
      <name val="Arial"/>
      <family val="2"/>
    </font>
    <font>
      <u val="singleAccounting"/>
      <sz val="10"/>
      <name val="Arial"/>
      <family val="2"/>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21"/>
        <bgColor indexed="64"/>
      </patternFill>
    </fill>
    <fill>
      <patternFill patternType="solid">
        <fgColor indexed="9"/>
        <bgColor indexed="64"/>
      </patternFill>
    </fill>
    <fill>
      <patternFill patternType="solid">
        <fgColor indexed="23"/>
        <bgColor indexed="64"/>
      </patternFill>
    </fill>
  </fills>
  <borders count="47">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double">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double">
        <color indexed="64"/>
      </right>
      <top/>
      <bottom style="thin">
        <color indexed="64"/>
      </bottom>
      <diagonal/>
    </border>
    <border>
      <left style="double">
        <color indexed="64"/>
      </left>
      <right style="double">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double">
        <color indexed="64"/>
      </right>
      <top style="thin">
        <color indexed="64"/>
      </top>
      <bottom/>
      <diagonal/>
    </border>
    <border>
      <left style="double">
        <color indexed="64"/>
      </left>
      <right style="double">
        <color indexed="64"/>
      </right>
      <top style="thin">
        <color indexed="64"/>
      </top>
      <bottom/>
      <diagonal/>
    </border>
    <border>
      <left style="medium">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double">
        <color indexed="64"/>
      </bottom>
      <diagonal/>
    </border>
  </borders>
  <cellStyleXfs count="25">
    <xf numFmtId="0" fontId="0" fillId="0" borderId="0"/>
    <xf numFmtId="167" fontId="1" fillId="2" borderId="1">
      <alignment horizontal="center" vertical="center"/>
    </xf>
    <xf numFmtId="169" fontId="1" fillId="0" borderId="0" applyFill="0" applyBorder="0" applyAlignment="0"/>
    <xf numFmtId="43" fontId="1" fillId="0" borderId="0" applyFont="0" applyFill="0" applyBorder="0" applyAlignment="0" applyProtection="0"/>
    <xf numFmtId="44" fontId="1" fillId="0" borderId="0" applyFont="0" applyFill="0" applyBorder="0" applyAlignment="0" applyProtection="0"/>
    <xf numFmtId="6" fontId="6" fillId="0" borderId="0">
      <protection locked="0"/>
    </xf>
    <xf numFmtId="168" fontId="1" fillId="0" borderId="0">
      <protection locked="0"/>
    </xf>
    <xf numFmtId="38" fontId="7" fillId="3" borderId="0" applyNumberFormat="0" applyBorder="0" applyAlignment="0" applyProtection="0"/>
    <xf numFmtId="0" fontId="8" fillId="0" borderId="0" applyNumberFormat="0" applyFill="0" applyBorder="0" applyAlignment="0" applyProtection="0"/>
    <xf numFmtId="0" fontId="4" fillId="0" borderId="2" applyNumberFormat="0" applyAlignment="0" applyProtection="0">
      <alignment horizontal="left" vertical="center"/>
    </xf>
    <xf numFmtId="0" fontId="4" fillId="0" borderId="3">
      <alignment horizontal="left" vertical="center"/>
    </xf>
    <xf numFmtId="170" fontId="1" fillId="0" borderId="0">
      <protection locked="0"/>
    </xf>
    <xf numFmtId="170" fontId="1" fillId="0" borderId="0">
      <protection locked="0"/>
    </xf>
    <xf numFmtId="0" fontId="9" fillId="0" borderId="4" applyNumberFormat="0" applyFill="0" applyAlignment="0" applyProtection="0"/>
    <xf numFmtId="10" fontId="7" fillId="4" borderId="5" applyNumberFormat="0" applyBorder="0" applyAlignment="0" applyProtection="0"/>
    <xf numFmtId="37" fontId="10" fillId="0" borderId="0"/>
    <xf numFmtId="166" fontId="11" fillId="0" borderId="0"/>
    <xf numFmtId="0" fontId="1" fillId="0" borderId="0"/>
    <xf numFmtId="9" fontId="1" fillId="0" borderId="0" applyFont="0" applyFill="0" applyBorder="0" applyAlignment="0" applyProtection="0"/>
    <xf numFmtId="10" fontId="1" fillId="0" borderId="0" applyFont="0" applyFill="0" applyBorder="0" applyAlignment="0" applyProtection="0"/>
    <xf numFmtId="170" fontId="1" fillId="0" borderId="6">
      <protection locked="0"/>
    </xf>
    <xf numFmtId="37" fontId="7" fillId="5" borderId="0" applyNumberFormat="0" applyBorder="0" applyAlignment="0" applyProtection="0"/>
    <xf numFmtId="37" fontId="3" fillId="0" borderId="0"/>
    <xf numFmtId="37" fontId="3" fillId="3" borderId="0" applyNumberFormat="0" applyBorder="0" applyAlignment="0" applyProtection="0"/>
    <xf numFmtId="3" fontId="13" fillId="0" borderId="4" applyProtection="0"/>
  </cellStyleXfs>
  <cellXfs count="251">
    <xf numFmtId="0" fontId="0" fillId="0" borderId="0" xfId="0"/>
    <xf numFmtId="0" fontId="0" fillId="0" borderId="0" xfId="0" applyAlignment="1">
      <alignment horizontal="center"/>
    </xf>
    <xf numFmtId="164" fontId="0" fillId="0" borderId="0" xfId="0" applyNumberFormat="1"/>
    <xf numFmtId="165" fontId="0" fillId="0" borderId="0" xfId="3" applyNumberFormat="1" applyFont="1"/>
    <xf numFmtId="0" fontId="2" fillId="0" borderId="0" xfId="0" applyFont="1" applyAlignment="1">
      <alignment horizontal="center"/>
    </xf>
    <xf numFmtId="165" fontId="1" fillId="0" borderId="0" xfId="3" applyNumberFormat="1"/>
    <xf numFmtId="0" fontId="2" fillId="0" borderId="0" xfId="0" applyFont="1"/>
    <xf numFmtId="0" fontId="5" fillId="0" borderId="0" xfId="0" applyFont="1"/>
    <xf numFmtId="8" fontId="0" fillId="0" borderId="0" xfId="0" applyNumberFormat="1"/>
    <xf numFmtId="8" fontId="0" fillId="0" borderId="0" xfId="0" applyNumberFormat="1" applyBorder="1"/>
    <xf numFmtId="165" fontId="12" fillId="0" borderId="0" xfId="3" applyNumberFormat="1" applyFont="1" applyBorder="1"/>
    <xf numFmtId="165" fontId="12" fillId="0" borderId="0" xfId="3" applyNumberFormat="1" applyFont="1"/>
    <xf numFmtId="171" fontId="0" fillId="0" borderId="0" xfId="0" applyNumberFormat="1" applyAlignment="1">
      <alignment horizontal="center"/>
    </xf>
    <xf numFmtId="43" fontId="0" fillId="0" borderId="0" xfId="3" applyFont="1"/>
    <xf numFmtId="43" fontId="0" fillId="0" borderId="6" xfId="0" applyNumberFormat="1" applyBorder="1"/>
    <xf numFmtId="0" fontId="0" fillId="0" borderId="0" xfId="0" applyBorder="1"/>
    <xf numFmtId="165" fontId="2" fillId="0" borderId="0" xfId="3" applyNumberFormat="1" applyFont="1"/>
    <xf numFmtId="0" fontId="2" fillId="0" borderId="6" xfId="0" applyFont="1" applyBorder="1"/>
    <xf numFmtId="165" fontId="2" fillId="0" borderId="6" xfId="0" applyNumberFormat="1" applyFont="1" applyBorder="1"/>
    <xf numFmtId="165" fontId="16" fillId="0" borderId="0" xfId="3" applyNumberFormat="1" applyFont="1"/>
    <xf numFmtId="165" fontId="16" fillId="0" borderId="6" xfId="3" applyNumberFormat="1" applyFont="1" applyBorder="1"/>
    <xf numFmtId="0" fontId="16" fillId="0" borderId="0" xfId="0" applyFont="1" applyBorder="1"/>
    <xf numFmtId="165" fontId="12" fillId="0" borderId="0" xfId="3" applyNumberFormat="1" applyFont="1" applyFill="1" applyBorder="1"/>
    <xf numFmtId="0" fontId="12" fillId="0" borderId="0" xfId="0" applyFont="1"/>
    <xf numFmtId="0" fontId="12" fillId="0" borderId="0" xfId="0" applyFont="1" applyBorder="1"/>
    <xf numFmtId="165" fontId="12" fillId="0" borderId="7" xfId="3" applyNumberFormat="1" applyFont="1" applyBorder="1"/>
    <xf numFmtId="17" fontId="14" fillId="0" borderId="0" xfId="0" applyNumberFormat="1" applyFont="1" applyBorder="1" applyAlignment="1">
      <alignment horizontal="center"/>
    </xf>
    <xf numFmtId="165" fontId="14" fillId="0" borderId="7" xfId="3" applyNumberFormat="1" applyFont="1" applyBorder="1" applyAlignment="1">
      <alignment horizontal="center"/>
    </xf>
    <xf numFmtId="10" fontId="12" fillId="0" borderId="0" xfId="0" applyNumberFormat="1" applyFont="1" applyBorder="1"/>
    <xf numFmtId="165" fontId="12" fillId="0" borderId="6" xfId="3" applyNumberFormat="1" applyFont="1" applyBorder="1"/>
    <xf numFmtId="0" fontId="12" fillId="0" borderId="8" xfId="0" applyFont="1" applyBorder="1"/>
    <xf numFmtId="165" fontId="12" fillId="0" borderId="9" xfId="3" applyNumberFormat="1" applyFont="1" applyBorder="1"/>
    <xf numFmtId="0" fontId="14" fillId="0" borderId="0" xfId="0" applyFont="1"/>
    <xf numFmtId="0" fontId="4" fillId="0" borderId="0" xfId="0" applyFont="1" applyFill="1"/>
    <xf numFmtId="0" fontId="2" fillId="0" borderId="0" xfId="0" applyFont="1" applyFill="1"/>
    <xf numFmtId="17" fontId="0" fillId="0" borderId="0" xfId="0" quotePrefix="1" applyNumberFormat="1"/>
    <xf numFmtId="165" fontId="1" fillId="0" borderId="0" xfId="3" applyNumberFormat="1" applyFont="1" applyFill="1"/>
    <xf numFmtId="0" fontId="0" fillId="0" borderId="3" xfId="0" applyBorder="1"/>
    <xf numFmtId="10" fontId="0" fillId="0" borderId="0" xfId="18" applyNumberFormat="1" applyFont="1"/>
    <xf numFmtId="0" fontId="20" fillId="0" borderId="0" xfId="0" applyFont="1" applyAlignment="1">
      <alignment horizontal="center"/>
    </xf>
    <xf numFmtId="10" fontId="2" fillId="0" borderId="0" xfId="0" applyNumberFormat="1" applyFont="1"/>
    <xf numFmtId="0" fontId="0" fillId="0" borderId="0" xfId="0" applyFill="1"/>
    <xf numFmtId="10" fontId="2" fillId="0" borderId="0" xfId="18" applyNumberFormat="1" applyFont="1"/>
    <xf numFmtId="0" fontId="12" fillId="0" borderId="10" xfId="0" applyFont="1" applyBorder="1" applyAlignment="1">
      <alignment horizontal="center"/>
    </xf>
    <xf numFmtId="17" fontId="12" fillId="0" borderId="10" xfId="0" applyNumberFormat="1" applyFont="1" applyBorder="1" applyAlignment="1">
      <alignment horizontal="center"/>
    </xf>
    <xf numFmtId="0" fontId="12" fillId="0" borderId="11" xfId="0" applyFont="1" applyBorder="1" applyAlignment="1">
      <alignment horizontal="center"/>
    </xf>
    <xf numFmtId="17" fontId="14" fillId="0" borderId="0" xfId="0" applyNumberFormat="1" applyFont="1" applyFill="1" applyBorder="1" applyAlignment="1">
      <alignment horizontal="center"/>
    </xf>
    <xf numFmtId="0" fontId="12" fillId="0" borderId="12" xfId="0" applyFont="1" applyBorder="1" applyAlignment="1">
      <alignment horizontal="center"/>
    </xf>
    <xf numFmtId="0" fontId="12" fillId="0" borderId="0" xfId="0" applyFont="1" applyAlignment="1">
      <alignment horizontal="center"/>
    </xf>
    <xf numFmtId="0" fontId="12" fillId="0" borderId="0" xfId="0" applyFont="1" applyAlignment="1"/>
    <xf numFmtId="165" fontId="12" fillId="0" borderId="0" xfId="3" applyNumberFormat="1" applyFont="1" applyBorder="1" applyAlignment="1">
      <alignment horizontal="right"/>
    </xf>
    <xf numFmtId="165" fontId="12" fillId="0" borderId="7" xfId="3" applyNumberFormat="1" applyFont="1" applyBorder="1" applyAlignment="1">
      <alignment horizontal="right"/>
    </xf>
    <xf numFmtId="0" fontId="12" fillId="0" borderId="0" xfId="0" applyFont="1" applyAlignment="1">
      <alignment horizontal="right"/>
    </xf>
    <xf numFmtId="0" fontId="12" fillId="0" borderId="13" xfId="0" applyFont="1" applyBorder="1" applyAlignment="1">
      <alignment horizontal="center" wrapText="1"/>
    </xf>
    <xf numFmtId="17" fontId="14" fillId="0" borderId="2" xfId="0" applyNumberFormat="1" applyFont="1" applyFill="1" applyBorder="1" applyAlignment="1">
      <alignment horizontal="center" wrapText="1"/>
    </xf>
    <xf numFmtId="165" fontId="14" fillId="0" borderId="14" xfId="3" applyNumberFormat="1" applyFont="1" applyBorder="1" applyAlignment="1">
      <alignment horizontal="center" wrapText="1"/>
    </xf>
    <xf numFmtId="0" fontId="12" fillId="0" borderId="0" xfId="0" applyFont="1" applyAlignment="1">
      <alignment wrapText="1"/>
    </xf>
    <xf numFmtId="0" fontId="0" fillId="0" borderId="0" xfId="0" applyAlignment="1">
      <alignment horizontal="right"/>
    </xf>
    <xf numFmtId="8" fontId="0" fillId="0" borderId="0" xfId="0" applyNumberFormat="1" applyBorder="1" applyAlignment="1">
      <alignment horizontal="right"/>
    </xf>
    <xf numFmtId="0" fontId="2" fillId="0" borderId="0" xfId="0" applyFont="1" applyAlignment="1">
      <alignment horizontal="right"/>
    </xf>
    <xf numFmtId="165" fontId="1" fillId="0" borderId="0" xfId="3" applyNumberFormat="1" applyFont="1"/>
    <xf numFmtId="165" fontId="17" fillId="0" borderId="0" xfId="3" applyNumberFormat="1" applyFont="1"/>
    <xf numFmtId="165" fontId="1" fillId="0" borderId="0" xfId="3" applyNumberFormat="1" applyFont="1" applyAlignment="1">
      <alignment horizontal="left" indent="2"/>
    </xf>
    <xf numFmtId="165" fontId="1" fillId="0" borderId="0" xfId="3" applyNumberFormat="1" applyFont="1" applyAlignment="1">
      <alignment horizontal="left" indent="4"/>
    </xf>
    <xf numFmtId="0" fontId="12" fillId="0" borderId="0" xfId="0" applyFont="1" applyFill="1" applyBorder="1"/>
    <xf numFmtId="165" fontId="12" fillId="0" borderId="0" xfId="3" applyNumberFormat="1" applyFont="1" applyFill="1" applyBorder="1" applyAlignment="1">
      <alignment horizontal="right"/>
    </xf>
    <xf numFmtId="10" fontId="12" fillId="0" borderId="0" xfId="18" applyNumberFormat="1" applyFont="1" applyFill="1" applyBorder="1"/>
    <xf numFmtId="0" fontId="12" fillId="0" borderId="8" xfId="0" applyFont="1" applyFill="1" applyBorder="1"/>
    <xf numFmtId="0" fontId="12" fillId="0" borderId="0" xfId="0" applyFont="1" applyFill="1"/>
    <xf numFmtId="165" fontId="1" fillId="0" borderId="0" xfId="3" applyNumberFormat="1" applyFill="1"/>
    <xf numFmtId="0" fontId="2" fillId="0" borderId="5" xfId="0" applyFont="1" applyBorder="1"/>
    <xf numFmtId="0" fontId="2" fillId="0" borderId="5" xfId="0" applyFont="1" applyBorder="1" applyAlignment="1">
      <alignment horizontal="center" wrapText="1"/>
    </xf>
    <xf numFmtId="9" fontId="0" fillId="6" borderId="5" xfId="0" applyNumberFormat="1" applyFill="1" applyBorder="1"/>
    <xf numFmtId="0" fontId="2" fillId="0" borderId="5" xfId="0" applyFont="1" applyFill="1" applyBorder="1"/>
    <xf numFmtId="9" fontId="1" fillId="0" borderId="0" xfId="18"/>
    <xf numFmtId="10" fontId="1" fillId="0" borderId="0" xfId="18" applyNumberFormat="1"/>
    <xf numFmtId="9" fontId="1" fillId="0" borderId="0" xfId="18" applyFont="1" applyFill="1" applyBorder="1"/>
    <xf numFmtId="0" fontId="2" fillId="0" borderId="0" xfId="0" applyFont="1" applyBorder="1"/>
    <xf numFmtId="0" fontId="21" fillId="0" borderId="5" xfId="0" applyFont="1" applyBorder="1"/>
    <xf numFmtId="0" fontId="2" fillId="0" borderId="0" xfId="0" applyFont="1" applyBorder="1" applyAlignment="1">
      <alignment horizontal="center" wrapText="1"/>
    </xf>
    <xf numFmtId="165" fontId="0" fillId="0" borderId="0" xfId="0" applyNumberFormat="1"/>
    <xf numFmtId="0" fontId="21" fillId="0" borderId="5" xfId="0" applyFont="1" applyBorder="1" applyAlignment="1">
      <alignment horizontal="left" indent="1"/>
    </xf>
    <xf numFmtId="165" fontId="1" fillId="0" borderId="6" xfId="3" applyNumberFormat="1" applyBorder="1"/>
    <xf numFmtId="165" fontId="0" fillId="0" borderId="6" xfId="0" applyNumberFormat="1" applyBorder="1"/>
    <xf numFmtId="0" fontId="2" fillId="0" borderId="5" xfId="0" applyFont="1" applyFill="1" applyBorder="1" applyAlignment="1">
      <alignment horizontal="center" wrapText="1"/>
    </xf>
    <xf numFmtId="9" fontId="0" fillId="0" borderId="5" xfId="0" applyNumberFormat="1" applyFill="1" applyBorder="1"/>
    <xf numFmtId="9" fontId="1" fillId="0" borderId="0" xfId="18" applyFill="1"/>
    <xf numFmtId="0" fontId="2" fillId="0" borderId="0" xfId="0" applyFont="1" applyFill="1" applyBorder="1" applyAlignment="1">
      <alignment horizontal="center" wrapText="1"/>
    </xf>
    <xf numFmtId="165" fontId="1" fillId="0" borderId="6" xfId="3" applyNumberFormat="1" applyFill="1" applyBorder="1"/>
    <xf numFmtId="165" fontId="0" fillId="0" borderId="6" xfId="0" applyNumberFormat="1" applyFill="1" applyBorder="1"/>
    <xf numFmtId="41" fontId="1" fillId="0" borderId="0" xfId="17" applyNumberFormat="1"/>
    <xf numFmtId="0" fontId="1" fillId="0" borderId="0" xfId="17"/>
    <xf numFmtId="0" fontId="22" fillId="0" borderId="0" xfId="0" applyFont="1"/>
    <xf numFmtId="41" fontId="1" fillId="0" borderId="15" xfId="17" applyNumberFormat="1" applyBorder="1"/>
    <xf numFmtId="41" fontId="2" fillId="0" borderId="16" xfId="17" applyNumberFormat="1" applyFont="1" applyBorder="1" applyAlignment="1">
      <alignment horizontal="center"/>
    </xf>
    <xf numFmtId="0" fontId="2" fillId="0" borderId="0" xfId="17" applyFont="1" applyBorder="1"/>
    <xf numFmtId="0" fontId="1" fillId="0" borderId="0" xfId="17" applyBorder="1"/>
    <xf numFmtId="0" fontId="2" fillId="0" borderId="0" xfId="17" applyFont="1"/>
    <xf numFmtId="41" fontId="1" fillId="0" borderId="0" xfId="17" applyNumberFormat="1" applyFill="1" applyBorder="1"/>
    <xf numFmtId="0" fontId="2" fillId="0" borderId="3" xfId="17" applyFont="1" applyBorder="1"/>
    <xf numFmtId="41" fontId="2" fillId="0" borderId="3" xfId="17" applyNumberFormat="1" applyFont="1" applyBorder="1"/>
    <xf numFmtId="41" fontId="2" fillId="0" borderId="0" xfId="17" applyNumberFormat="1" applyFont="1"/>
    <xf numFmtId="0" fontId="1" fillId="0" borderId="0" xfId="17" applyFont="1"/>
    <xf numFmtId="41" fontId="1" fillId="0" borderId="0" xfId="17" applyNumberFormat="1" applyBorder="1"/>
    <xf numFmtId="172" fontId="2" fillId="0" borderId="0" xfId="18" applyNumberFormat="1" applyFont="1" applyBorder="1"/>
    <xf numFmtId="41" fontId="2" fillId="0" borderId="0" xfId="17" applyNumberFormat="1" applyFont="1" applyBorder="1"/>
    <xf numFmtId="41" fontId="2" fillId="0" borderId="6" xfId="17" applyNumberFormat="1" applyFont="1" applyBorder="1"/>
    <xf numFmtId="0" fontId="2" fillId="0" borderId="17" xfId="0" applyFont="1" applyBorder="1" applyAlignment="1">
      <alignment horizontal="center"/>
    </xf>
    <xf numFmtId="0" fontId="17" fillId="0" borderId="0" xfId="0" applyFont="1"/>
    <xf numFmtId="174" fontId="0" fillId="0" borderId="0" xfId="0" applyNumberFormat="1"/>
    <xf numFmtId="2" fontId="0" fillId="0" borderId="3" xfId="0" applyNumberFormat="1" applyBorder="1"/>
    <xf numFmtId="0" fontId="23" fillId="0" borderId="0" xfId="0" applyFont="1"/>
    <xf numFmtId="0" fontId="24" fillId="0" borderId="0" xfId="0" applyFont="1"/>
    <xf numFmtId="10" fontId="12" fillId="0" borderId="0" xfId="0" applyNumberFormat="1" applyFont="1" applyFill="1" applyBorder="1"/>
    <xf numFmtId="0" fontId="12" fillId="0" borderId="10" xfId="0" applyFont="1" applyFill="1" applyBorder="1" applyAlignment="1">
      <alignment horizontal="center"/>
    </xf>
    <xf numFmtId="165" fontId="17" fillId="0" borderId="0" xfId="3" applyNumberFormat="1" applyFont="1" applyAlignment="1">
      <alignment horizontal="left" indent="2"/>
    </xf>
    <xf numFmtId="14" fontId="0" fillId="0" borderId="0" xfId="0" applyNumberFormat="1"/>
    <xf numFmtId="18" fontId="0" fillId="0" borderId="0" xfId="0" applyNumberFormat="1"/>
    <xf numFmtId="0" fontId="26" fillId="7" borderId="18" xfId="0" applyFont="1" applyFill="1" applyBorder="1"/>
    <xf numFmtId="0" fontId="26" fillId="7" borderId="18" xfId="0" applyFont="1" applyFill="1" applyBorder="1" applyAlignment="1">
      <alignment horizontal="center"/>
    </xf>
    <xf numFmtId="0" fontId="2" fillId="0" borderId="19" xfId="0" applyFont="1" applyBorder="1"/>
    <xf numFmtId="0" fontId="17" fillId="0" borderId="20" xfId="0" applyFont="1" applyBorder="1"/>
    <xf numFmtId="165" fontId="17" fillId="0" borderId="21" xfId="3" applyNumberFormat="1" applyFont="1" applyBorder="1"/>
    <xf numFmtId="0" fontId="2" fillId="0" borderId="22" xfId="0" applyFont="1" applyBorder="1"/>
    <xf numFmtId="44" fontId="1" fillId="0" borderId="22" xfId="4" applyBorder="1"/>
    <xf numFmtId="44" fontId="2" fillId="0" borderId="23" xfId="0" applyNumberFormat="1" applyFont="1" applyBorder="1"/>
    <xf numFmtId="0" fontId="0" fillId="0" borderId="19" xfId="0" applyBorder="1"/>
    <xf numFmtId="0" fontId="17" fillId="0" borderId="24" xfId="0" applyFont="1" applyBorder="1"/>
    <xf numFmtId="0" fontId="17" fillId="0" borderId="25" xfId="0" applyFont="1" applyBorder="1"/>
    <xf numFmtId="0" fontId="2" fillId="0" borderId="26" xfId="0" applyFont="1" applyBorder="1"/>
    <xf numFmtId="44" fontId="1" fillId="0" borderId="26" xfId="4" applyBorder="1"/>
    <xf numFmtId="44" fontId="2" fillId="0" borderId="27" xfId="0" applyNumberFormat="1" applyFont="1" applyBorder="1"/>
    <xf numFmtId="165" fontId="17" fillId="0" borderId="25" xfId="3" applyNumberFormat="1" applyFont="1" applyBorder="1"/>
    <xf numFmtId="0" fontId="17" fillId="0" borderId="24" xfId="0" applyFont="1" applyFill="1" applyBorder="1"/>
    <xf numFmtId="44" fontId="17" fillId="8" borderId="25" xfId="4" applyNumberFormat="1" applyFont="1" applyFill="1" applyBorder="1"/>
    <xf numFmtId="44" fontId="2" fillId="0" borderId="26" xfId="0" applyNumberFormat="1" applyFont="1" applyBorder="1"/>
    <xf numFmtId="9" fontId="17" fillId="8" borderId="25" xfId="18" applyFont="1" applyFill="1" applyBorder="1" applyAlignment="1">
      <alignment horizontal="right"/>
    </xf>
    <xf numFmtId="10" fontId="2" fillId="0" borderId="26" xfId="18" applyNumberFormat="1" applyFont="1" applyBorder="1"/>
    <xf numFmtId="165" fontId="17" fillId="8" borderId="25" xfId="3" applyNumberFormat="1" applyFont="1" applyFill="1" applyBorder="1" applyAlignment="1">
      <alignment horizontal="right"/>
    </xf>
    <xf numFmtId="0" fontId="17" fillId="0" borderId="28" xfId="0" applyFont="1" applyFill="1" applyBorder="1"/>
    <xf numFmtId="165" fontId="17" fillId="0" borderId="29" xfId="3" applyNumberFormat="1" applyFont="1" applyBorder="1"/>
    <xf numFmtId="0" fontId="2" fillId="0" borderId="30" xfId="0" applyFont="1" applyBorder="1"/>
    <xf numFmtId="44" fontId="1" fillId="0" borderId="30" xfId="4" applyBorder="1"/>
    <xf numFmtId="44" fontId="2" fillId="0" borderId="31" xfId="0" applyNumberFormat="1" applyFont="1" applyBorder="1"/>
    <xf numFmtId="0" fontId="0" fillId="9" borderId="13" xfId="0" applyFill="1" applyBorder="1"/>
    <xf numFmtId="0" fontId="0" fillId="9" borderId="2" xfId="0" applyFill="1" applyBorder="1"/>
    <xf numFmtId="0" fontId="17" fillId="9" borderId="2" xfId="0" applyFont="1" applyFill="1" applyBorder="1"/>
    <xf numFmtId="44" fontId="1" fillId="9" borderId="2" xfId="4" applyFill="1" applyBorder="1"/>
    <xf numFmtId="0" fontId="0" fillId="9" borderId="14" xfId="0" applyFill="1" applyBorder="1"/>
    <xf numFmtId="0" fontId="2" fillId="0" borderId="15" xfId="0" applyFont="1" applyBorder="1"/>
    <xf numFmtId="10" fontId="17" fillId="8" borderId="21" xfId="18" applyNumberFormat="1" applyFont="1" applyFill="1" applyBorder="1"/>
    <xf numFmtId="10" fontId="2" fillId="0" borderId="22" xfId="18" applyNumberFormat="1" applyFont="1" applyBorder="1"/>
    <xf numFmtId="10" fontId="17" fillId="8" borderId="25" xfId="18" applyNumberFormat="1" applyFont="1" applyFill="1" applyBorder="1"/>
    <xf numFmtId="165" fontId="2" fillId="0" borderId="26" xfId="0" applyNumberFormat="1" applyFont="1" applyBorder="1"/>
    <xf numFmtId="0" fontId="17" fillId="0" borderId="32" xfId="0" applyFont="1" applyFill="1" applyBorder="1"/>
    <xf numFmtId="0" fontId="17" fillId="0" borderId="33" xfId="0" applyFont="1" applyFill="1" applyBorder="1"/>
    <xf numFmtId="3" fontId="17" fillId="8" borderId="25" xfId="0" applyNumberFormat="1" applyFont="1" applyFill="1" applyBorder="1" applyAlignment="1">
      <alignment horizontal="right"/>
    </xf>
    <xf numFmtId="10" fontId="17" fillId="8" borderId="25" xfId="18" applyNumberFormat="1" applyFont="1" applyFill="1" applyBorder="1" applyAlignment="1">
      <alignment horizontal="right"/>
    </xf>
    <xf numFmtId="0" fontId="17" fillId="0" borderId="24" xfId="0" applyFont="1" applyFill="1" applyBorder="1" applyAlignment="1"/>
    <xf numFmtId="9" fontId="17" fillId="8" borderId="25" xfId="18" applyNumberFormat="1" applyFont="1" applyFill="1" applyBorder="1" applyAlignment="1">
      <alignment horizontal="right"/>
    </xf>
    <xf numFmtId="0" fontId="0" fillId="0" borderId="16" xfId="0" applyBorder="1"/>
    <xf numFmtId="10" fontId="17" fillId="8" borderId="29" xfId="18" applyNumberFormat="1" applyFont="1" applyFill="1" applyBorder="1" applyAlignment="1">
      <alignment horizontal="right"/>
    </xf>
    <xf numFmtId="10" fontId="2" fillId="0" borderId="30" xfId="18" applyNumberFormat="1" applyFont="1" applyBorder="1"/>
    <xf numFmtId="0" fontId="2" fillId="9" borderId="14" xfId="0" applyFont="1" applyFill="1" applyBorder="1"/>
    <xf numFmtId="0" fontId="17" fillId="0" borderId="20" xfId="0" applyFont="1" applyBorder="1" applyAlignment="1"/>
    <xf numFmtId="0" fontId="17" fillId="0" borderId="33" xfId="0" applyFont="1" applyBorder="1" applyAlignment="1"/>
    <xf numFmtId="0" fontId="17" fillId="0" borderId="33" xfId="0" applyFont="1" applyBorder="1"/>
    <xf numFmtId="10" fontId="17" fillId="0" borderId="34" xfId="18" applyNumberFormat="1" applyFont="1" applyBorder="1"/>
    <xf numFmtId="44" fontId="1" fillId="0" borderId="35" xfId="4" applyBorder="1"/>
    <xf numFmtId="0" fontId="17" fillId="0" borderId="36" xfId="0" applyFont="1" applyFill="1" applyBorder="1"/>
    <xf numFmtId="0" fontId="17" fillId="0" borderId="36" xfId="0" applyFont="1" applyBorder="1"/>
    <xf numFmtId="10" fontId="17" fillId="0" borderId="37" xfId="18" applyNumberFormat="1" applyFont="1" applyBorder="1"/>
    <xf numFmtId="44" fontId="1" fillId="0" borderId="38" xfId="4" applyBorder="1"/>
    <xf numFmtId="0" fontId="7" fillId="9" borderId="2" xfId="0" applyFont="1" applyFill="1" applyBorder="1"/>
    <xf numFmtId="0" fontId="17" fillId="0" borderId="20" xfId="0" applyFont="1" applyFill="1" applyBorder="1" applyAlignment="1"/>
    <xf numFmtId="0" fontId="17" fillId="0" borderId="20" xfId="0" applyFont="1" applyFill="1" applyBorder="1"/>
    <xf numFmtId="9" fontId="17" fillId="8" borderId="21" xfId="18" applyFont="1" applyFill="1" applyBorder="1" applyAlignment="1">
      <alignment horizontal="right"/>
    </xf>
    <xf numFmtId="9" fontId="17" fillId="8" borderId="25" xfId="18" applyFont="1" applyFill="1" applyBorder="1"/>
    <xf numFmtId="44" fontId="17" fillId="0" borderId="25" xfId="4" applyFont="1" applyBorder="1"/>
    <xf numFmtId="44" fontId="2" fillId="0" borderId="26" xfId="4" applyFont="1" applyBorder="1"/>
    <xf numFmtId="9" fontId="17" fillId="0" borderId="29" xfId="18" applyFont="1" applyFill="1" applyBorder="1"/>
    <xf numFmtId="44" fontId="7" fillId="0" borderId="0" xfId="4" applyFont="1" applyBorder="1"/>
    <xf numFmtId="0" fontId="2" fillId="6" borderId="13" xfId="0" applyFont="1" applyFill="1" applyBorder="1"/>
    <xf numFmtId="0" fontId="2" fillId="6" borderId="2" xfId="0" applyFont="1" applyFill="1" applyBorder="1"/>
    <xf numFmtId="44" fontId="17" fillId="6" borderId="39" xfId="0" applyNumberFormat="1" applyFont="1" applyFill="1" applyBorder="1"/>
    <xf numFmtId="44" fontId="2" fillId="6" borderId="40" xfId="0" applyNumberFormat="1" applyFont="1" applyFill="1" applyBorder="1"/>
    <xf numFmtId="0" fontId="27" fillId="0" borderId="0" xfId="0" applyFont="1"/>
    <xf numFmtId="17" fontId="20" fillId="0" borderId="0" xfId="0" applyNumberFormat="1" applyFont="1"/>
    <xf numFmtId="17" fontId="20" fillId="0" borderId="0" xfId="0" applyNumberFormat="1" applyFont="1" applyAlignment="1">
      <alignment horizontal="center"/>
    </xf>
    <xf numFmtId="44" fontId="0" fillId="0" borderId="0" xfId="0" applyNumberFormat="1"/>
    <xf numFmtId="0" fontId="4" fillId="0" borderId="0" xfId="0" applyFont="1"/>
    <xf numFmtId="0" fontId="2" fillId="0" borderId="17" xfId="0" applyFont="1" applyBorder="1"/>
    <xf numFmtId="41" fontId="0" fillId="0" borderId="0" xfId="0" applyNumberFormat="1"/>
    <xf numFmtId="41" fontId="0" fillId="0" borderId="17" xfId="0" applyNumberFormat="1" applyBorder="1"/>
    <xf numFmtId="0" fontId="4" fillId="0" borderId="41" xfId="0" applyFont="1" applyFill="1" applyBorder="1"/>
    <xf numFmtId="0" fontId="0" fillId="0" borderId="42" xfId="0" applyFill="1" applyBorder="1"/>
    <xf numFmtId="0" fontId="0" fillId="0" borderId="42" xfId="0" applyBorder="1"/>
    <xf numFmtId="0" fontId="0" fillId="0" borderId="43" xfId="0" applyBorder="1"/>
    <xf numFmtId="0" fontId="2" fillId="0" borderId="10" xfId="0" applyFont="1" applyBorder="1"/>
    <xf numFmtId="0" fontId="0" fillId="0" borderId="7" xfId="0" applyBorder="1"/>
    <xf numFmtId="0" fontId="0" fillId="0" borderId="10" xfId="0" applyBorder="1"/>
    <xf numFmtId="0" fontId="5" fillId="0" borderId="10" xfId="0" applyFont="1" applyBorder="1"/>
    <xf numFmtId="0" fontId="0" fillId="0" borderId="0" xfId="0" applyBorder="1" applyAlignment="1">
      <alignment horizontal="center"/>
    </xf>
    <xf numFmtId="0" fontId="0" fillId="0" borderId="7" xfId="0" applyBorder="1" applyAlignment="1">
      <alignment horizontal="center"/>
    </xf>
    <xf numFmtId="0" fontId="0" fillId="0" borderId="12" xfId="0" applyBorder="1"/>
    <xf numFmtId="0" fontId="0" fillId="0" borderId="8" xfId="0" applyBorder="1"/>
    <xf numFmtId="8" fontId="0" fillId="0" borderId="8" xfId="0" applyNumberFormat="1" applyBorder="1"/>
    <xf numFmtId="8" fontId="0" fillId="0" borderId="9" xfId="0" applyNumberFormat="1" applyBorder="1"/>
    <xf numFmtId="0" fontId="20" fillId="0" borderId="10" xfId="0" applyFont="1" applyBorder="1"/>
    <xf numFmtId="0" fontId="20" fillId="0" borderId="0" xfId="0" applyFont="1" applyBorder="1"/>
    <xf numFmtId="0" fontId="20" fillId="0" borderId="0" xfId="0" applyFont="1" applyBorder="1" applyAlignment="1">
      <alignment horizontal="center"/>
    </xf>
    <xf numFmtId="0" fontId="20" fillId="0" borderId="7" xfId="0" applyFont="1" applyBorder="1" applyAlignment="1">
      <alignment horizontal="center"/>
    </xf>
    <xf numFmtId="0" fontId="14" fillId="0" borderId="0" xfId="0" applyFont="1" applyAlignment="1"/>
    <xf numFmtId="43" fontId="1" fillId="0" borderId="0" xfId="3"/>
    <xf numFmtId="14" fontId="0" fillId="0" borderId="43" xfId="0" applyNumberFormat="1" applyBorder="1"/>
    <xf numFmtId="43" fontId="0" fillId="0" borderId="7" xfId="0" applyNumberFormat="1" applyBorder="1"/>
    <xf numFmtId="8" fontId="0" fillId="0" borderId="7" xfId="0" applyNumberFormat="1" applyBorder="1"/>
    <xf numFmtId="8" fontId="0" fillId="0" borderId="44" xfId="0" applyNumberFormat="1" applyBorder="1"/>
    <xf numFmtId="8" fontId="0" fillId="0" borderId="45" xfId="0" applyNumberFormat="1" applyBorder="1"/>
    <xf numFmtId="0" fontId="1" fillId="6" borderId="13" xfId="17" applyFont="1" applyFill="1" applyBorder="1"/>
    <xf numFmtId="41" fontId="1" fillId="6" borderId="14" xfId="17" applyNumberFormat="1" applyFill="1" applyBorder="1"/>
    <xf numFmtId="41" fontId="28" fillId="0" borderId="0" xfId="0" applyNumberFormat="1" applyFont="1" applyAlignment="1">
      <alignment horizontal="center"/>
    </xf>
    <xf numFmtId="41" fontId="0" fillId="0" borderId="0" xfId="0" applyNumberFormat="1" applyFill="1"/>
    <xf numFmtId="0" fontId="5" fillId="0" borderId="0" xfId="0" applyFont="1" applyAlignment="1">
      <alignment horizontal="center"/>
    </xf>
    <xf numFmtId="0" fontId="2" fillId="5" borderId="0" xfId="0" applyFont="1" applyFill="1"/>
    <xf numFmtId="41" fontId="2" fillId="5" borderId="0" xfId="0" applyNumberFormat="1" applyFont="1" applyFill="1"/>
    <xf numFmtId="41" fontId="2" fillId="0" borderId="0" xfId="0" applyNumberFormat="1" applyFont="1" applyFill="1"/>
    <xf numFmtId="41" fontId="2" fillId="0" borderId="0" xfId="0" applyNumberFormat="1" applyFont="1"/>
    <xf numFmtId="0" fontId="20" fillId="6" borderId="15" xfId="0" applyFont="1" applyFill="1" applyBorder="1" applyAlignment="1">
      <alignment horizontal="center"/>
    </xf>
    <xf numFmtId="0" fontId="0" fillId="6" borderId="19" xfId="0" applyFill="1" applyBorder="1"/>
    <xf numFmtId="41" fontId="0" fillId="6" borderId="19" xfId="0" applyNumberFormat="1" applyFill="1" applyBorder="1"/>
    <xf numFmtId="41" fontId="2" fillId="6" borderId="18" xfId="0" applyNumberFormat="1" applyFont="1" applyFill="1" applyBorder="1"/>
    <xf numFmtId="0" fontId="0" fillId="6" borderId="19" xfId="0" applyFill="1" applyBorder="1" applyAlignment="1">
      <alignment horizontal="center"/>
    </xf>
    <xf numFmtId="165" fontId="2" fillId="6" borderId="14" xfId="3" applyNumberFormat="1" applyFont="1" applyFill="1" applyBorder="1"/>
    <xf numFmtId="165" fontId="12" fillId="0" borderId="46" xfId="3" applyNumberFormat="1" applyFont="1" applyFill="1" applyBorder="1"/>
    <xf numFmtId="10" fontId="1" fillId="0" borderId="0" xfId="18" applyNumberFormat="1" applyFont="1" applyFill="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2" fillId="0" borderId="0" xfId="17" applyFont="1" applyAlignment="1">
      <alignment horizontal="center"/>
    </xf>
    <xf numFmtId="0" fontId="25" fillId="0" borderId="13" xfId="0" applyFont="1" applyFill="1" applyBorder="1" applyAlignment="1">
      <alignment horizontal="center" wrapText="1"/>
    </xf>
    <xf numFmtId="0" fontId="0" fillId="0" borderId="14" xfId="0" applyFill="1" applyBorder="1" applyAlignment="1">
      <alignment horizontal="center" wrapText="1"/>
    </xf>
    <xf numFmtId="0" fontId="15" fillId="0" borderId="41" xfId="0" applyFont="1" applyFill="1" applyBorder="1" applyAlignment="1">
      <alignment horizontal="center"/>
    </xf>
    <xf numFmtId="0" fontId="15" fillId="0" borderId="42" xfId="0" applyFont="1" applyFill="1" applyBorder="1" applyAlignment="1">
      <alignment horizontal="center"/>
    </xf>
    <xf numFmtId="0" fontId="15" fillId="0" borderId="43" xfId="0" applyFont="1" applyFill="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7" xfId="0" applyFont="1" applyBorder="1" applyAlignment="1">
      <alignment horizontal="center"/>
    </xf>
    <xf numFmtId="17" fontId="15" fillId="0" borderId="10" xfId="0" quotePrefix="1" applyNumberFormat="1" applyFont="1" applyBorder="1" applyAlignment="1">
      <alignment horizontal="center"/>
    </xf>
    <xf numFmtId="17" fontId="15" fillId="0" borderId="0" xfId="0" applyNumberFormat="1" applyFont="1" applyBorder="1" applyAlignment="1">
      <alignment horizontal="center"/>
    </xf>
    <xf numFmtId="17" fontId="15" fillId="0" borderId="7" xfId="0" applyNumberFormat="1" applyFont="1" applyBorder="1" applyAlignment="1">
      <alignment horizontal="center"/>
    </xf>
  </cellXfs>
  <cellStyles count="25">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EOL BU Allocation" xfId="17"/>
    <cellStyle name="Percent" xfId="18" builtinId="5"/>
    <cellStyle name="Percent [2]" xfId="19"/>
    <cellStyle name="Total" xfId="20" builtinId="25" customBuiltin="1"/>
    <cellStyle name="Unprot" xfId="21"/>
    <cellStyle name="Unprot$" xfId="22"/>
    <cellStyle name="Unprot_CurrencySKorea" xfId="23"/>
    <cellStyle name="Unprotect"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Finrpt/1998/TEAMRPTG/ALLOC/INTERCO/Ico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Finrpt/1998/TEAMRPTG/ALLOC/INTERCO/Invoices/Sept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l"/>
      <sheetName val="Entry"/>
      <sheetName val="ICOct"/>
      <sheetName val="Correction"/>
    </sheetNames>
    <sheetDataSet>
      <sheetData sheetId="0"/>
      <sheetData sheetId="1" refreshError="1">
        <row r="6">
          <cell r="C6">
            <v>413</v>
          </cell>
          <cell r="E6">
            <v>36099</v>
          </cell>
          <cell r="J6" t="str">
            <v>413-025-11</v>
          </cell>
        </row>
        <row r="12">
          <cell r="C12">
            <v>-449053</v>
          </cell>
          <cell r="E12">
            <v>9230</v>
          </cell>
          <cell r="F12">
            <v>999</v>
          </cell>
          <cell r="G12" t="str">
            <v>860</v>
          </cell>
          <cell r="H12" t="str">
            <v>1807</v>
          </cell>
        </row>
        <row r="13">
          <cell r="F13" t="str">
            <v>AA Cost Alloc 10/98</v>
          </cell>
        </row>
        <row r="15">
          <cell r="C15">
            <v>56777</v>
          </cell>
          <cell r="E15">
            <v>1460</v>
          </cell>
          <cell r="G15" t="str">
            <v>969</v>
          </cell>
          <cell r="H15" t="str">
            <v>0000</v>
          </cell>
          <cell r="I15">
            <v>9</v>
          </cell>
        </row>
        <row r="16">
          <cell r="F16" t="str">
            <v>AA Cost Alloc 10/98</v>
          </cell>
        </row>
        <row r="18">
          <cell r="C18">
            <v>2581</v>
          </cell>
          <cell r="E18">
            <v>1460</v>
          </cell>
          <cell r="G18" t="str">
            <v>912</v>
          </cell>
          <cell r="H18" t="str">
            <v>0000</v>
          </cell>
          <cell r="I18">
            <v>9</v>
          </cell>
        </row>
        <row r="19">
          <cell r="F19" t="str">
            <v>AA Cost Alloc 10/98</v>
          </cell>
        </row>
        <row r="21">
          <cell r="C21">
            <v>183234</v>
          </cell>
          <cell r="E21">
            <v>1460</v>
          </cell>
          <cell r="G21" t="str">
            <v>963</v>
          </cell>
          <cell r="H21" t="str">
            <v>0000</v>
          </cell>
          <cell r="I21">
            <v>9</v>
          </cell>
        </row>
        <row r="22">
          <cell r="F22" t="str">
            <v>AA Cost Alloc 10/98</v>
          </cell>
        </row>
        <row r="24">
          <cell r="C24">
            <v>36131</v>
          </cell>
          <cell r="E24">
            <v>1460</v>
          </cell>
          <cell r="G24" t="str">
            <v>011</v>
          </cell>
          <cell r="H24" t="str">
            <v>0000</v>
          </cell>
          <cell r="I24">
            <v>9</v>
          </cell>
        </row>
        <row r="25">
          <cell r="F25" t="str">
            <v>AA Cost Alloc 10/98</v>
          </cell>
        </row>
        <row r="27">
          <cell r="C27">
            <v>95488</v>
          </cell>
          <cell r="D27" t="str">
            <v>985</v>
          </cell>
          <cell r="E27">
            <v>9230</v>
          </cell>
          <cell r="F27">
            <v>999</v>
          </cell>
          <cell r="G27" t="str">
            <v>904</v>
          </cell>
          <cell r="H27" t="str">
            <v>1422</v>
          </cell>
        </row>
        <row r="28">
          <cell r="F28" t="str">
            <v>AA Cost Alloc 10/98</v>
          </cell>
        </row>
        <row r="30">
          <cell r="C30">
            <v>56777</v>
          </cell>
          <cell r="E30">
            <v>1460</v>
          </cell>
          <cell r="G30" t="str">
            <v>34V</v>
          </cell>
          <cell r="H30" t="str">
            <v>0000</v>
          </cell>
          <cell r="I30">
            <v>9</v>
          </cell>
        </row>
        <row r="31">
          <cell r="F31" t="str">
            <v>AA Cost Alloc 10/98</v>
          </cell>
        </row>
        <row r="33">
          <cell r="C33">
            <v>7742</v>
          </cell>
          <cell r="E33">
            <v>1460</v>
          </cell>
          <cell r="F33">
            <v>999</v>
          </cell>
          <cell r="G33" t="str">
            <v>426</v>
          </cell>
          <cell r="H33" t="str">
            <v>0000</v>
          </cell>
          <cell r="I33">
            <v>9</v>
          </cell>
        </row>
        <row r="34">
          <cell r="F34" t="str">
            <v>AA Cost Alloc 10/98</v>
          </cell>
        </row>
        <row r="36">
          <cell r="C36">
            <v>2581</v>
          </cell>
          <cell r="E36">
            <v>1460</v>
          </cell>
          <cell r="G36" t="str">
            <v>359</v>
          </cell>
          <cell r="H36" t="str">
            <v>0000</v>
          </cell>
          <cell r="I36">
            <v>9</v>
          </cell>
        </row>
        <row r="37">
          <cell r="F37" t="str">
            <v>AA Cost Alloc 10/98</v>
          </cell>
        </row>
        <row r="39">
          <cell r="C39">
            <v>7742</v>
          </cell>
          <cell r="E39">
            <v>1460</v>
          </cell>
          <cell r="G39" t="str">
            <v>963</v>
          </cell>
          <cell r="H39" t="str">
            <v>0000</v>
          </cell>
          <cell r="I39">
            <v>9</v>
          </cell>
        </row>
        <row r="40">
          <cell r="F40" t="str">
            <v>AA Cost Alloc 10/98</v>
          </cell>
        </row>
        <row r="45">
          <cell r="D45" t="str">
            <v>To record the Intercompany Billings for the month of October  (Sept Allocations).</v>
          </cell>
        </row>
        <row r="60">
          <cell r="C60">
            <v>-92308</v>
          </cell>
          <cell r="E60">
            <v>9230</v>
          </cell>
          <cell r="F60">
            <v>999</v>
          </cell>
          <cell r="G60" t="str">
            <v>860</v>
          </cell>
          <cell r="H60" t="str">
            <v>1805</v>
          </cell>
          <cell r="I60">
            <v>9</v>
          </cell>
        </row>
        <row r="61">
          <cell r="F61" t="str">
            <v>Energy Ops Alloc 10/98</v>
          </cell>
        </row>
        <row r="63">
          <cell r="C63">
            <v>36848</v>
          </cell>
          <cell r="E63">
            <v>1460</v>
          </cell>
          <cell r="F63">
            <v>999</v>
          </cell>
          <cell r="G63" t="str">
            <v>969</v>
          </cell>
          <cell r="H63" t="str">
            <v>0000</v>
          </cell>
          <cell r="I63">
            <v>9</v>
          </cell>
        </row>
        <row r="64">
          <cell r="F64" t="str">
            <v>Energy Ops Alloc 10/98</v>
          </cell>
        </row>
        <row r="66">
          <cell r="C66">
            <v>17613</v>
          </cell>
          <cell r="E66">
            <v>1460</v>
          </cell>
          <cell r="G66" t="str">
            <v>912</v>
          </cell>
          <cell r="H66" t="str">
            <v>0000</v>
          </cell>
          <cell r="I66">
            <v>9</v>
          </cell>
        </row>
        <row r="67">
          <cell r="F67" t="str">
            <v>Energy Ops Alloc 10/98</v>
          </cell>
        </row>
        <row r="69">
          <cell r="C69">
            <v>1123</v>
          </cell>
          <cell r="E69">
            <v>1460</v>
          </cell>
          <cell r="G69" t="str">
            <v>963</v>
          </cell>
          <cell r="H69" t="str">
            <v>0000</v>
          </cell>
          <cell r="I69">
            <v>9</v>
          </cell>
        </row>
        <row r="70">
          <cell r="F70" t="str">
            <v>Energy Ops Alloc 10/98</v>
          </cell>
        </row>
        <row r="72">
          <cell r="C72">
            <v>36724</v>
          </cell>
          <cell r="E72">
            <v>1460</v>
          </cell>
          <cell r="G72" t="str">
            <v>460</v>
          </cell>
          <cell r="H72" t="str">
            <v>0000</v>
          </cell>
          <cell r="I72">
            <v>9</v>
          </cell>
        </row>
        <row r="73">
          <cell r="F73" t="str">
            <v>Energy Ops Alloc 10/98</v>
          </cell>
        </row>
        <row r="75">
          <cell r="C75">
            <v>-225353</v>
          </cell>
          <cell r="E75">
            <v>9230</v>
          </cell>
          <cell r="F75">
            <v>999</v>
          </cell>
          <cell r="G75" t="str">
            <v>860</v>
          </cell>
          <cell r="H75" t="str">
            <v>1925</v>
          </cell>
          <cell r="I75">
            <v>9</v>
          </cell>
        </row>
        <row r="76">
          <cell r="F76" t="str">
            <v>Human Resources Alloc 10/98</v>
          </cell>
        </row>
        <row r="78">
          <cell r="C78">
            <v>121525</v>
          </cell>
          <cell r="E78">
            <v>1460</v>
          </cell>
          <cell r="G78" t="str">
            <v>912</v>
          </cell>
          <cell r="H78" t="str">
            <v>0000</v>
          </cell>
          <cell r="I78">
            <v>9</v>
          </cell>
        </row>
        <row r="79">
          <cell r="F79" t="str">
            <v>Human Resources Alloc 10/98</v>
          </cell>
        </row>
        <row r="81">
          <cell r="C81">
            <v>103828</v>
          </cell>
          <cell r="E81">
            <v>1460</v>
          </cell>
          <cell r="G81" t="str">
            <v>912</v>
          </cell>
          <cell r="H81" t="str">
            <v>0000</v>
          </cell>
          <cell r="I81">
            <v>9</v>
          </cell>
        </row>
        <row r="82">
          <cell r="F82" t="str">
            <v>Human Resources Alloc 10/98</v>
          </cell>
        </row>
        <row r="84">
          <cell r="C84">
            <v>-313507</v>
          </cell>
          <cell r="E84">
            <v>9230</v>
          </cell>
          <cell r="F84">
            <v>999</v>
          </cell>
          <cell r="G84" t="str">
            <v>860</v>
          </cell>
          <cell r="H84" t="str">
            <v>1898</v>
          </cell>
        </row>
        <row r="85">
          <cell r="F85" t="str">
            <v>Legal Alloc 10/98</v>
          </cell>
        </row>
        <row r="87">
          <cell r="C87">
            <v>144395</v>
          </cell>
          <cell r="E87">
            <v>1460</v>
          </cell>
          <cell r="G87" t="str">
            <v>969</v>
          </cell>
          <cell r="H87" t="str">
            <v>0000</v>
          </cell>
          <cell r="I87">
            <v>9</v>
          </cell>
        </row>
        <row r="88">
          <cell r="F88" t="str">
            <v>Legal Alloc 10/98</v>
          </cell>
        </row>
        <row r="93">
          <cell r="D93" t="str">
            <v>To record the Intercompany Billings for the month of October  (Sept Allocations).</v>
          </cell>
        </row>
        <row r="108">
          <cell r="C108">
            <v>29939</v>
          </cell>
          <cell r="E108">
            <v>1460</v>
          </cell>
          <cell r="G108" t="str">
            <v>912</v>
          </cell>
          <cell r="H108" t="str">
            <v>0000</v>
          </cell>
          <cell r="I108">
            <v>9</v>
          </cell>
        </row>
        <row r="109">
          <cell r="F109" t="str">
            <v>Legal Alloc 10/98</v>
          </cell>
        </row>
        <row r="111">
          <cell r="C111">
            <v>60888</v>
          </cell>
          <cell r="E111">
            <v>1460</v>
          </cell>
          <cell r="F111">
            <v>999</v>
          </cell>
          <cell r="G111" t="str">
            <v>963</v>
          </cell>
          <cell r="H111" t="str">
            <v>0000</v>
          </cell>
          <cell r="I111">
            <v>9</v>
          </cell>
        </row>
        <row r="112">
          <cell r="F112" t="str">
            <v>Legal Alloc 10/98</v>
          </cell>
        </row>
        <row r="114">
          <cell r="C114">
            <v>72072</v>
          </cell>
          <cell r="E114">
            <v>1460</v>
          </cell>
          <cell r="G114" t="str">
            <v>912</v>
          </cell>
          <cell r="H114" t="str">
            <v>0000</v>
          </cell>
          <cell r="I114">
            <v>9</v>
          </cell>
        </row>
        <row r="115">
          <cell r="F115" t="str">
            <v>Legal Alloc 10/98</v>
          </cell>
        </row>
        <row r="117">
          <cell r="C117">
            <v>4971</v>
          </cell>
          <cell r="E117">
            <v>1460</v>
          </cell>
          <cell r="G117" t="str">
            <v>912</v>
          </cell>
          <cell r="H117" t="str">
            <v>0000</v>
          </cell>
          <cell r="I117">
            <v>9</v>
          </cell>
        </row>
        <row r="118">
          <cell r="F118" t="str">
            <v>Legal Alloc 10/98</v>
          </cell>
        </row>
        <row r="120">
          <cell r="C120">
            <v>1242</v>
          </cell>
          <cell r="E120">
            <v>1460</v>
          </cell>
          <cell r="G120" t="str">
            <v>912</v>
          </cell>
          <cell r="H120" t="str">
            <v>0000</v>
          </cell>
          <cell r="I120">
            <v>9</v>
          </cell>
        </row>
        <row r="121">
          <cell r="F121" t="str">
            <v>Legal Alloc 10/98</v>
          </cell>
        </row>
        <row r="123">
          <cell r="C123">
            <v>-118891</v>
          </cell>
          <cell r="D123" t="str">
            <v>985</v>
          </cell>
          <cell r="E123">
            <v>9230</v>
          </cell>
          <cell r="F123">
            <v>999</v>
          </cell>
          <cell r="G123" t="str">
            <v>860</v>
          </cell>
          <cell r="H123" t="str">
            <v>1900</v>
          </cell>
        </row>
        <row r="124">
          <cell r="F124" t="str">
            <v>Structuring Alloc 10/98</v>
          </cell>
        </row>
        <row r="126">
          <cell r="C126">
            <v>118891</v>
          </cell>
          <cell r="E126">
            <v>1460</v>
          </cell>
          <cell r="F126">
            <v>999</v>
          </cell>
          <cell r="G126" t="str">
            <v>963</v>
          </cell>
          <cell r="H126" t="str">
            <v>0000</v>
          </cell>
          <cell r="I126">
            <v>9</v>
          </cell>
        </row>
        <row r="127">
          <cell r="F127" t="str">
            <v>Structuring Alloc 10/98</v>
          </cell>
        </row>
        <row r="129">
          <cell r="C129">
            <v>-152555</v>
          </cell>
          <cell r="E129">
            <v>9230</v>
          </cell>
          <cell r="F129">
            <v>999</v>
          </cell>
          <cell r="G129" t="str">
            <v>860</v>
          </cell>
          <cell r="H129" t="str">
            <v>1901</v>
          </cell>
          <cell r="I129">
            <v>9</v>
          </cell>
        </row>
        <row r="130">
          <cell r="F130" t="str">
            <v>Tax Support Alloc  10/98</v>
          </cell>
        </row>
        <row r="132">
          <cell r="C132">
            <v>36855</v>
          </cell>
          <cell r="E132">
            <v>1460</v>
          </cell>
          <cell r="G132" t="str">
            <v>969</v>
          </cell>
          <cell r="H132" t="str">
            <v>0000</v>
          </cell>
          <cell r="I132">
            <v>9</v>
          </cell>
        </row>
        <row r="133">
          <cell r="F133" t="str">
            <v>Tax Support Alloc 10/98</v>
          </cell>
        </row>
        <row r="135">
          <cell r="C135">
            <v>86731</v>
          </cell>
          <cell r="E135">
            <v>1460</v>
          </cell>
          <cell r="G135" t="str">
            <v>912</v>
          </cell>
          <cell r="H135" t="str">
            <v>0000</v>
          </cell>
          <cell r="I135">
            <v>9</v>
          </cell>
        </row>
        <row r="136">
          <cell r="F136" t="str">
            <v>Tax Support Alloc  10/98</v>
          </cell>
        </row>
        <row r="141">
          <cell r="D141" t="str">
            <v>To record the Intercompany Billings for the month of October  (Sept Allocations).</v>
          </cell>
        </row>
        <row r="156">
          <cell r="C156">
            <v>6856</v>
          </cell>
          <cell r="E156">
            <v>1460</v>
          </cell>
          <cell r="G156" t="str">
            <v>963</v>
          </cell>
          <cell r="H156" t="str">
            <v>0000</v>
          </cell>
          <cell r="I156">
            <v>9</v>
          </cell>
        </row>
        <row r="157">
          <cell r="F157" t="str">
            <v>Tax Support Alloc  10/98</v>
          </cell>
        </row>
        <row r="159">
          <cell r="C159">
            <v>22113</v>
          </cell>
          <cell r="D159" t="str">
            <v>985</v>
          </cell>
          <cell r="E159">
            <v>9230</v>
          </cell>
          <cell r="F159">
            <v>999</v>
          </cell>
          <cell r="G159" t="str">
            <v>904</v>
          </cell>
          <cell r="H159" t="str">
            <v>1422</v>
          </cell>
        </row>
        <row r="160">
          <cell r="F160" t="str">
            <v>Tax Support Alloc 10/98</v>
          </cell>
        </row>
        <row r="162">
          <cell r="C162">
            <v>-675042</v>
          </cell>
          <cell r="E162">
            <v>9230</v>
          </cell>
          <cell r="F162">
            <v>999</v>
          </cell>
          <cell r="G162" t="str">
            <v>860</v>
          </cell>
          <cell r="H162" t="str">
            <v>1806</v>
          </cell>
        </row>
        <row r="163">
          <cell r="F163" t="str">
            <v>IT Alloc 10/98</v>
          </cell>
        </row>
        <row r="165">
          <cell r="C165">
            <v>675042</v>
          </cell>
          <cell r="E165">
            <v>1460</v>
          </cell>
          <cell r="G165" t="str">
            <v>912</v>
          </cell>
          <cell r="H165" t="str">
            <v>0000</v>
          </cell>
          <cell r="I165">
            <v>9</v>
          </cell>
        </row>
        <row r="166">
          <cell r="F166" t="str">
            <v>IT Alloc 10/98</v>
          </cell>
        </row>
        <row r="189">
          <cell r="D189" t="str">
            <v>To record the Intercompany Billings for the month of October  (Sept Allocations).</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sheetName val="YTDEurope"/>
      <sheetName val="ICSept"/>
      <sheetName val="Step1"/>
      <sheetName val="Step2"/>
      <sheetName val="Analysts and Associates"/>
      <sheetName val="A and A for Other Divisions"/>
      <sheetName val="Energy Operations"/>
      <sheetName val="Legal"/>
      <sheetName val="Structuring"/>
      <sheetName val="Tax Suppor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5" sqref="F5"/>
    </sheetView>
  </sheetViews>
  <sheetFormatPr defaultRowHeight="12.75"/>
  <cols>
    <col min="1" max="1" width="17" bestFit="1" customWidth="1"/>
  </cols>
  <sheetData>
    <row r="1" spans="1:9">
      <c r="A1" s="236" t="s">
        <v>264</v>
      </c>
      <c r="B1" s="236"/>
      <c r="C1" s="236"/>
      <c r="D1" s="236"/>
      <c r="E1" s="236"/>
      <c r="F1" s="236"/>
      <c r="G1" s="236"/>
      <c r="H1" s="236"/>
      <c r="I1" s="236"/>
    </row>
    <row r="3" spans="1:9">
      <c r="A3" t="s">
        <v>4</v>
      </c>
      <c r="B3" t="s">
        <v>0</v>
      </c>
    </row>
    <row r="4" spans="1:9">
      <c r="A4" t="s">
        <v>6</v>
      </c>
      <c r="B4" t="s">
        <v>1</v>
      </c>
    </row>
    <row r="5" spans="1:9">
      <c r="A5" t="s">
        <v>4</v>
      </c>
      <c r="B5" t="s">
        <v>5</v>
      </c>
    </row>
    <row r="6" spans="1:9">
      <c r="A6" t="s">
        <v>7</v>
      </c>
      <c r="B6" t="s">
        <v>3</v>
      </c>
    </row>
    <row r="7" spans="1:9">
      <c r="A7" t="s">
        <v>7</v>
      </c>
      <c r="B7" t="s">
        <v>2</v>
      </c>
    </row>
  </sheetData>
  <mergeCells count="1">
    <mergeCell ref="A1:I1"/>
  </mergeCells>
  <phoneticPr fontId="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selection sqref="A1:B1"/>
    </sheetView>
  </sheetViews>
  <sheetFormatPr defaultRowHeight="12.75"/>
  <cols>
    <col min="1" max="1" width="24.28515625" customWidth="1"/>
    <col min="2" max="2" width="41.140625" bestFit="1" customWidth="1"/>
    <col min="3" max="3" width="40.28515625" customWidth="1"/>
    <col min="4" max="4" width="14.7109375" bestFit="1" customWidth="1"/>
    <col min="5" max="5" width="14.140625" bestFit="1" customWidth="1"/>
    <col min="6" max="6" width="15" bestFit="1" customWidth="1"/>
    <col min="7" max="8" width="14" bestFit="1" customWidth="1"/>
  </cols>
  <sheetData>
    <row r="1" spans="1:8" ht="28.5" customHeight="1" thickBot="1">
      <c r="A1" s="240" t="s">
        <v>348</v>
      </c>
      <c r="B1" s="241"/>
    </row>
    <row r="2" spans="1:8" ht="13.5" thickBot="1"/>
    <row r="3" spans="1:8" ht="13.5" thickBot="1">
      <c r="A3" s="118" t="s">
        <v>265</v>
      </c>
      <c r="B3" s="118" t="s">
        <v>266</v>
      </c>
      <c r="C3" s="118" t="s">
        <v>267</v>
      </c>
      <c r="D3" s="119" t="s">
        <v>268</v>
      </c>
      <c r="E3" s="119" t="s">
        <v>269</v>
      </c>
      <c r="F3" s="119" t="s">
        <v>270</v>
      </c>
      <c r="G3" s="119" t="s">
        <v>271</v>
      </c>
    </row>
    <row r="4" spans="1:8">
      <c r="A4" s="120" t="s">
        <v>272</v>
      </c>
      <c r="B4" s="121" t="s">
        <v>273</v>
      </c>
      <c r="C4" s="121" t="s">
        <v>274</v>
      </c>
      <c r="D4" s="122">
        <v>1316</v>
      </c>
      <c r="E4" s="123">
        <v>137</v>
      </c>
      <c r="F4" s="124">
        <v>655079.44520914229</v>
      </c>
      <c r="G4" s="125">
        <f t="shared" ref="G4:G11" si="0">F4*E4/D4</f>
        <v>68195.960481498856</v>
      </c>
    </row>
    <row r="5" spans="1:8">
      <c r="A5" s="126"/>
      <c r="B5" s="127" t="s">
        <v>275</v>
      </c>
      <c r="C5" s="127" t="s">
        <v>276</v>
      </c>
      <c r="D5" s="128">
        <v>267</v>
      </c>
      <c r="E5" s="129">
        <v>137</v>
      </c>
      <c r="F5" s="130">
        <v>308218.75342436024</v>
      </c>
      <c r="G5" s="131">
        <f t="shared" si="0"/>
        <v>158149.69744995266</v>
      </c>
    </row>
    <row r="6" spans="1:8">
      <c r="A6" s="126"/>
      <c r="B6" s="127" t="s">
        <v>277</v>
      </c>
      <c r="C6" s="127" t="s">
        <v>278</v>
      </c>
      <c r="D6" s="132">
        <v>1316</v>
      </c>
      <c r="E6" s="129">
        <v>137</v>
      </c>
      <c r="F6" s="130">
        <v>452733.30377235654</v>
      </c>
      <c r="G6" s="131">
        <f t="shared" si="0"/>
        <v>47131.050620678456</v>
      </c>
    </row>
    <row r="7" spans="1:8">
      <c r="A7" s="126"/>
      <c r="B7" s="133" t="s">
        <v>279</v>
      </c>
      <c r="C7" s="133" t="s">
        <v>280</v>
      </c>
      <c r="D7" s="134">
        <v>510957</v>
      </c>
      <c r="E7" s="135">
        <f>B58/B59*D7</f>
        <v>53192.332066869298</v>
      </c>
      <c r="F7" s="130">
        <v>510956.99999444635</v>
      </c>
      <c r="G7" s="131">
        <f t="shared" si="0"/>
        <v>53192.332066291143</v>
      </c>
    </row>
    <row r="8" spans="1:8">
      <c r="A8" s="126"/>
      <c r="B8" s="133" t="s">
        <v>281</v>
      </c>
      <c r="C8" s="133" t="s">
        <v>282</v>
      </c>
      <c r="D8" s="132">
        <v>1316</v>
      </c>
      <c r="E8" s="129">
        <v>137</v>
      </c>
      <c r="F8" s="130">
        <v>50718.690680820117</v>
      </c>
      <c r="G8" s="131">
        <f t="shared" si="0"/>
        <v>5279.985276042823</v>
      </c>
    </row>
    <row r="9" spans="1:8">
      <c r="A9" s="126"/>
      <c r="B9" s="133" t="s">
        <v>283</v>
      </c>
      <c r="C9" s="133" t="s">
        <v>284</v>
      </c>
      <c r="D9" s="136">
        <v>0.15</v>
      </c>
      <c r="E9" s="137">
        <f>B58/B59*D9</f>
        <v>1.5615501519756837E-2</v>
      </c>
      <c r="F9" s="130">
        <v>24962.913194999997</v>
      </c>
      <c r="G9" s="131">
        <f t="shared" si="0"/>
        <v>2598.7227262272031</v>
      </c>
    </row>
    <row r="10" spans="1:8">
      <c r="A10" s="126"/>
      <c r="B10" s="133" t="s">
        <v>285</v>
      </c>
      <c r="C10" s="133" t="s">
        <v>282</v>
      </c>
      <c r="D10" s="138">
        <v>1316</v>
      </c>
      <c r="E10" s="129">
        <v>137</v>
      </c>
      <c r="F10" s="130">
        <v>239735.10473094558</v>
      </c>
      <c r="G10" s="131">
        <f t="shared" si="0"/>
        <v>24957.225948434305</v>
      </c>
    </row>
    <row r="11" spans="1:8" ht="13.5" thickBot="1">
      <c r="A11" s="126"/>
      <c r="B11" s="139" t="s">
        <v>286</v>
      </c>
      <c r="C11" s="139" t="s">
        <v>278</v>
      </c>
      <c r="D11" s="140">
        <v>1316</v>
      </c>
      <c r="E11" s="141">
        <v>137</v>
      </c>
      <c r="F11" s="142">
        <v>161610.5952293578</v>
      </c>
      <c r="G11" s="143">
        <f t="shared" si="0"/>
        <v>16824.203302752296</v>
      </c>
    </row>
    <row r="12" spans="1:8" ht="13.5" thickBot="1">
      <c r="A12" s="144"/>
      <c r="B12" s="145"/>
      <c r="C12" s="146"/>
      <c r="D12" s="146"/>
      <c r="E12" s="145"/>
      <c r="F12" s="147"/>
      <c r="G12" s="148"/>
      <c r="H12" s="189">
        <f>SUM(G4:G11)</f>
        <v>376329.17787187774</v>
      </c>
    </row>
    <row r="13" spans="1:8">
      <c r="A13" s="149" t="s">
        <v>287</v>
      </c>
      <c r="B13" s="121" t="s">
        <v>288</v>
      </c>
      <c r="C13" s="121" t="s">
        <v>289</v>
      </c>
      <c r="D13" s="150">
        <v>0.43340000000000001</v>
      </c>
      <c r="E13" s="151">
        <f>B58/B59*D13</f>
        <v>4.5118389057750757E-2</v>
      </c>
      <c r="F13" s="124">
        <v>135526.78039999999</v>
      </c>
      <c r="G13" s="125">
        <f t="shared" ref="G13:G34" si="1">F13*E13/D13</f>
        <v>14108.790968693007</v>
      </c>
    </row>
    <row r="14" spans="1:8">
      <c r="A14" s="126"/>
      <c r="B14" s="127" t="s">
        <v>290</v>
      </c>
      <c r="C14" s="127" t="s">
        <v>289</v>
      </c>
      <c r="D14" s="152">
        <v>0.43340000000000001</v>
      </c>
      <c r="E14" s="137">
        <f>B58/B59*D14</f>
        <v>4.5118389057750757E-2</v>
      </c>
      <c r="F14" s="130">
        <v>616754.20399999991</v>
      </c>
      <c r="G14" s="131">
        <f t="shared" si="1"/>
        <v>64206.174732522777</v>
      </c>
    </row>
    <row r="15" spans="1:8">
      <c r="A15" s="126"/>
      <c r="B15" s="133" t="s">
        <v>291</v>
      </c>
      <c r="C15" s="127" t="s">
        <v>289</v>
      </c>
      <c r="D15" s="152">
        <v>0.43340000000000001</v>
      </c>
      <c r="E15" s="137">
        <f>B58/B59*D15</f>
        <v>4.5118389057750757E-2</v>
      </c>
      <c r="F15" s="130">
        <v>403106.20679999993</v>
      </c>
      <c r="G15" s="131">
        <f t="shared" si="1"/>
        <v>41964.703899392087</v>
      </c>
    </row>
    <row r="16" spans="1:8">
      <c r="A16" s="126"/>
      <c r="B16" s="133" t="s">
        <v>292</v>
      </c>
      <c r="C16" s="127" t="s">
        <v>289</v>
      </c>
      <c r="D16" s="152">
        <v>0.43340000000000001</v>
      </c>
      <c r="E16" s="137">
        <f>B58/B59*D16</f>
        <v>4.5118389057750757E-2</v>
      </c>
      <c r="F16" s="130">
        <v>577902.49439999997</v>
      </c>
      <c r="G16" s="131">
        <f t="shared" si="1"/>
        <v>60161.581863829779</v>
      </c>
    </row>
    <row r="17" spans="1:7">
      <c r="A17" s="126"/>
      <c r="B17" s="133" t="s">
        <v>293</v>
      </c>
      <c r="C17" s="133" t="s">
        <v>294</v>
      </c>
      <c r="D17" s="138">
        <v>14151</v>
      </c>
      <c r="E17" s="153">
        <f>B58/B59*D17</f>
        <v>1473.16641337386</v>
      </c>
      <c r="F17" s="130">
        <v>980022.18635765952</v>
      </c>
      <c r="G17" s="131">
        <f t="shared" si="1"/>
        <v>102023.58626975633</v>
      </c>
    </row>
    <row r="18" spans="1:7">
      <c r="A18" s="126"/>
      <c r="B18" s="133" t="s">
        <v>295</v>
      </c>
      <c r="C18" s="133" t="s">
        <v>278</v>
      </c>
      <c r="D18" s="132">
        <v>1316</v>
      </c>
      <c r="E18" s="129">
        <v>137</v>
      </c>
      <c r="F18" s="130">
        <v>131858.02865329513</v>
      </c>
      <c r="G18" s="131">
        <f t="shared" si="1"/>
        <v>13726.861645517805</v>
      </c>
    </row>
    <row r="19" spans="1:7">
      <c r="A19" s="126"/>
      <c r="B19" s="133" t="s">
        <v>296</v>
      </c>
      <c r="C19" s="133" t="s">
        <v>280</v>
      </c>
      <c r="D19" s="134">
        <v>1055162</v>
      </c>
      <c r="E19" s="135">
        <f>B58/B59*D19</f>
        <v>109845.89209726443</v>
      </c>
      <c r="F19" s="130">
        <v>1055162.0000295935</v>
      </c>
      <c r="G19" s="131">
        <f t="shared" si="1"/>
        <v>109845.8921003452</v>
      </c>
    </row>
    <row r="20" spans="1:7">
      <c r="A20" s="126"/>
      <c r="B20" s="133" t="s">
        <v>297</v>
      </c>
      <c r="C20" s="133" t="s">
        <v>298</v>
      </c>
      <c r="D20" s="136">
        <v>0.49</v>
      </c>
      <c r="E20" s="137">
        <f>B58/B59*D20</f>
        <v>5.1010638297872335E-2</v>
      </c>
      <c r="F20" s="130">
        <v>1519415.03</v>
      </c>
      <c r="G20" s="131">
        <f t="shared" si="1"/>
        <v>158176.18473404256</v>
      </c>
    </row>
    <row r="21" spans="1:7">
      <c r="A21" s="126"/>
      <c r="B21" s="154" t="s">
        <v>299</v>
      </c>
      <c r="C21" s="133" t="s">
        <v>300</v>
      </c>
      <c r="D21" s="136">
        <v>0.67</v>
      </c>
      <c r="E21" s="137">
        <f>B58/B60*D21</f>
        <v>0.34378277153558057</v>
      </c>
      <c r="F21" s="130">
        <v>1080690.57</v>
      </c>
      <c r="G21" s="131">
        <f t="shared" si="1"/>
        <v>554511.64078651695</v>
      </c>
    </row>
    <row r="22" spans="1:7">
      <c r="A22" s="126"/>
      <c r="B22" s="154" t="s">
        <v>301</v>
      </c>
      <c r="C22" s="155" t="s">
        <v>302</v>
      </c>
      <c r="D22" s="136">
        <v>1</v>
      </c>
      <c r="E22" s="137">
        <f>B58/B60*D22</f>
        <v>0.51310861423220977</v>
      </c>
      <c r="F22" s="130">
        <v>634964</v>
      </c>
      <c r="G22" s="131">
        <f t="shared" si="1"/>
        <v>325805.49812734086</v>
      </c>
    </row>
    <row r="23" spans="1:7">
      <c r="A23" s="126"/>
      <c r="B23" s="133" t="s">
        <v>303</v>
      </c>
      <c r="C23" s="133" t="s">
        <v>304</v>
      </c>
      <c r="D23" s="138">
        <v>273</v>
      </c>
      <c r="E23" s="153">
        <f>B58/B59*D23</f>
        <v>28.420212765957444</v>
      </c>
      <c r="F23" s="130">
        <v>1901064.3237209304</v>
      </c>
      <c r="G23" s="131">
        <f t="shared" si="1"/>
        <v>197907.15224146462</v>
      </c>
    </row>
    <row r="24" spans="1:7">
      <c r="A24" s="126"/>
      <c r="B24" s="133" t="s">
        <v>305</v>
      </c>
      <c r="C24" s="133" t="s">
        <v>278</v>
      </c>
      <c r="D24" s="138">
        <v>1316</v>
      </c>
      <c r="E24" s="129">
        <v>137</v>
      </c>
      <c r="F24" s="130">
        <v>37611.937943475648</v>
      </c>
      <c r="G24" s="131">
        <f t="shared" si="1"/>
        <v>3915.528494115626</v>
      </c>
    </row>
    <row r="25" spans="1:7">
      <c r="A25" s="126"/>
      <c r="B25" s="133" t="s">
        <v>306</v>
      </c>
      <c r="C25" s="133" t="s">
        <v>307</v>
      </c>
      <c r="D25" s="138">
        <v>438</v>
      </c>
      <c r="E25" s="153">
        <f>B58/B59*D25</f>
        <v>45.597264437689965</v>
      </c>
      <c r="F25" s="130">
        <v>706717.03588748781</v>
      </c>
      <c r="G25" s="131">
        <f t="shared" si="1"/>
        <v>73571.606319594095</v>
      </c>
    </row>
    <row r="26" spans="1:7">
      <c r="A26" s="126"/>
      <c r="B26" s="133" t="s">
        <v>308</v>
      </c>
      <c r="C26" s="133" t="s">
        <v>278</v>
      </c>
      <c r="D26" s="156">
        <v>1316</v>
      </c>
      <c r="E26" s="129">
        <v>137</v>
      </c>
      <c r="F26" s="130">
        <v>238657.23841709367</v>
      </c>
      <c r="G26" s="131">
        <f t="shared" si="1"/>
        <v>24845.016461353975</v>
      </c>
    </row>
    <row r="27" spans="1:7">
      <c r="A27" s="126"/>
      <c r="B27" s="133" t="s">
        <v>309</v>
      </c>
      <c r="C27" s="127" t="s">
        <v>289</v>
      </c>
      <c r="D27" s="157">
        <v>0.43340000000000001</v>
      </c>
      <c r="E27" s="137">
        <f>B58/B59*D27</f>
        <v>4.5118389057750757E-2</v>
      </c>
      <c r="F27" s="130">
        <v>257733.30274141996</v>
      </c>
      <c r="G27" s="131">
        <f t="shared" si="1"/>
        <v>26830.898537670615</v>
      </c>
    </row>
    <row r="28" spans="1:7">
      <c r="A28" s="126"/>
      <c r="B28" s="158" t="s">
        <v>310</v>
      </c>
      <c r="C28" s="133" t="s">
        <v>311</v>
      </c>
      <c r="D28" s="136">
        <v>0.39</v>
      </c>
      <c r="E28" s="137">
        <f>B58/B59*D28</f>
        <v>4.060030395136778E-2</v>
      </c>
      <c r="F28" s="130">
        <v>320559.20180699992</v>
      </c>
      <c r="G28" s="131">
        <f t="shared" si="1"/>
        <v>33371.284686594976</v>
      </c>
    </row>
    <row r="29" spans="1:7">
      <c r="A29" s="126"/>
      <c r="B29" s="133" t="s">
        <v>312</v>
      </c>
      <c r="C29" s="127" t="s">
        <v>289</v>
      </c>
      <c r="D29" s="157">
        <v>0.43340000000000001</v>
      </c>
      <c r="E29" s="137">
        <f>B58/B59*D29</f>
        <v>4.5118389057750757E-2</v>
      </c>
      <c r="F29" s="130">
        <v>504897.85554141994</v>
      </c>
      <c r="G29" s="131">
        <f t="shared" si="1"/>
        <v>52561.554870193409</v>
      </c>
    </row>
    <row r="30" spans="1:7">
      <c r="A30" s="126"/>
      <c r="B30" s="133" t="s">
        <v>313</v>
      </c>
      <c r="C30" s="133" t="s">
        <v>278</v>
      </c>
      <c r="D30" s="138">
        <v>1316</v>
      </c>
      <c r="E30" s="129">
        <v>137</v>
      </c>
      <c r="F30" s="130">
        <v>52865.990362754863</v>
      </c>
      <c r="G30" s="131">
        <f t="shared" si="1"/>
        <v>5503.5263523536596</v>
      </c>
    </row>
    <row r="31" spans="1:7">
      <c r="A31" s="126"/>
      <c r="B31" s="133" t="s">
        <v>314</v>
      </c>
      <c r="C31" s="127" t="s">
        <v>289</v>
      </c>
      <c r="D31" s="157">
        <v>0.43340000000000001</v>
      </c>
      <c r="E31" s="137">
        <f>B58/B59*D31</f>
        <v>4.5118389057750757E-2</v>
      </c>
      <c r="F31" s="130">
        <v>639006.55114141991</v>
      </c>
      <c r="G31" s="131">
        <f t="shared" si="1"/>
        <v>66522.718469889456</v>
      </c>
    </row>
    <row r="32" spans="1:7">
      <c r="A32" s="126"/>
      <c r="B32" s="133" t="s">
        <v>315</v>
      </c>
      <c r="C32" s="127" t="s">
        <v>316</v>
      </c>
      <c r="D32" s="159">
        <v>0.14000000000000001</v>
      </c>
      <c r="E32" s="137">
        <f>B58/B59*D32</f>
        <v>1.4574468085106384E-2</v>
      </c>
      <c r="F32" s="130">
        <v>245763.84</v>
      </c>
      <c r="G32" s="131">
        <f t="shared" si="1"/>
        <v>25584.837446808509</v>
      </c>
    </row>
    <row r="33" spans="1:8">
      <c r="A33" s="126"/>
      <c r="B33" s="133" t="s">
        <v>317</v>
      </c>
      <c r="C33" s="133" t="s">
        <v>289</v>
      </c>
      <c r="D33" s="157">
        <v>0.43340000000000001</v>
      </c>
      <c r="E33" s="137">
        <f>B58/B59*D33</f>
        <v>4.5118389057750757E-2</v>
      </c>
      <c r="F33" s="130">
        <v>472540.78740000003</v>
      </c>
      <c r="G33" s="131">
        <f t="shared" si="1"/>
        <v>49193.075891945293</v>
      </c>
    </row>
    <row r="34" spans="1:8" ht="13.5" thickBot="1">
      <c r="A34" s="160"/>
      <c r="B34" s="139" t="s">
        <v>318</v>
      </c>
      <c r="C34" s="139" t="s">
        <v>289</v>
      </c>
      <c r="D34" s="161">
        <v>0.43340000000000001</v>
      </c>
      <c r="E34" s="162">
        <f>B58/B59*D34</f>
        <v>4.5118389057750757E-2</v>
      </c>
      <c r="F34" s="142">
        <v>701000.66300000006</v>
      </c>
      <c r="G34" s="143">
        <f t="shared" si="1"/>
        <v>72976.512789513683</v>
      </c>
    </row>
    <row r="35" spans="1:8" ht="13.5" thickBot="1">
      <c r="A35" s="144"/>
      <c r="B35" s="145"/>
      <c r="C35" s="146"/>
      <c r="D35" s="146"/>
      <c r="E35" s="145"/>
      <c r="F35" s="147"/>
      <c r="G35" s="163"/>
      <c r="H35" s="189">
        <f>SUM(G13:G34)</f>
        <v>2077314.6276894554</v>
      </c>
    </row>
    <row r="36" spans="1:8">
      <c r="A36" s="149" t="s">
        <v>319</v>
      </c>
      <c r="B36" s="164" t="s">
        <v>320</v>
      </c>
      <c r="C36" s="121" t="s">
        <v>321</v>
      </c>
      <c r="D36" s="122">
        <v>1316</v>
      </c>
      <c r="E36" s="123">
        <v>75</v>
      </c>
      <c r="F36" s="124">
        <v>482087.59643945465</v>
      </c>
      <c r="G36" s="125">
        <f>F36*E36/D36</f>
        <v>27474.597061519071</v>
      </c>
    </row>
    <row r="37" spans="1:8">
      <c r="A37" s="120"/>
      <c r="B37" s="165" t="s">
        <v>322</v>
      </c>
      <c r="C37" s="166" t="s">
        <v>323</v>
      </c>
      <c r="D37" s="167">
        <v>0.19889999999999999</v>
      </c>
      <c r="E37" s="137">
        <f>B58/B59*D37</f>
        <v>2.0706155015197566E-2</v>
      </c>
      <c r="F37" s="168">
        <v>190214.40098699997</v>
      </c>
      <c r="G37" s="131">
        <f>F37*E37/D37</f>
        <v>19801.955117947564</v>
      </c>
    </row>
    <row r="38" spans="1:8">
      <c r="A38" s="126"/>
      <c r="B38" s="133" t="s">
        <v>324</v>
      </c>
      <c r="C38" s="127" t="s">
        <v>278</v>
      </c>
      <c r="D38" s="132">
        <v>1316</v>
      </c>
      <c r="E38" s="129">
        <v>137</v>
      </c>
      <c r="F38" s="130">
        <v>215003.87878966791</v>
      </c>
      <c r="G38" s="131">
        <f>F38*E38/D38</f>
        <v>22382.62263995783</v>
      </c>
    </row>
    <row r="39" spans="1:8">
      <c r="A39" s="126"/>
      <c r="B39" s="169" t="s">
        <v>325</v>
      </c>
      <c r="C39" s="170" t="s">
        <v>323</v>
      </c>
      <c r="D39" s="171">
        <v>0.19889999999999999</v>
      </c>
      <c r="E39" s="137">
        <f>B58/B59*D39</f>
        <v>2.0706155015197566E-2</v>
      </c>
      <c r="F39" s="172">
        <v>255773.74048199994</v>
      </c>
      <c r="G39" s="131">
        <f>F39*E39/D39</f>
        <v>26626.901554737073</v>
      </c>
    </row>
    <row r="40" spans="1:8" ht="13.5" thickBot="1">
      <c r="A40" s="160"/>
      <c r="B40" s="139" t="s">
        <v>326</v>
      </c>
      <c r="C40" s="139" t="s">
        <v>282</v>
      </c>
      <c r="D40" s="140">
        <v>1316</v>
      </c>
      <c r="E40" s="141">
        <v>137</v>
      </c>
      <c r="F40" s="142">
        <v>622758.00383444235</v>
      </c>
      <c r="G40" s="143">
        <f>F40*E40/D40</f>
        <v>64831.190368783136</v>
      </c>
    </row>
    <row r="41" spans="1:8" ht="13.5" thickBot="1">
      <c r="A41" s="144"/>
      <c r="B41" s="173"/>
      <c r="C41" s="146"/>
      <c r="D41" s="146"/>
      <c r="E41" s="145"/>
      <c r="F41" s="147"/>
      <c r="G41" s="148"/>
      <c r="H41" s="189">
        <f>SUM(G36:G40)</f>
        <v>161117.26674294466</v>
      </c>
    </row>
    <row r="42" spans="1:8">
      <c r="A42" s="149" t="s">
        <v>327</v>
      </c>
      <c r="B42" s="174" t="s">
        <v>328</v>
      </c>
      <c r="C42" s="175" t="s">
        <v>311</v>
      </c>
      <c r="D42" s="176">
        <v>0.39</v>
      </c>
      <c r="E42" s="151">
        <f>B58/B59*D42</f>
        <v>4.060030395136778E-2</v>
      </c>
      <c r="F42" s="124">
        <v>5937298.2355439989</v>
      </c>
      <c r="G42" s="125">
        <f t="shared" ref="G42:G52" si="2">F42*E42/D42</f>
        <v>618092.59746924601</v>
      </c>
    </row>
    <row r="43" spans="1:8">
      <c r="A43" s="126"/>
      <c r="B43" s="127" t="s">
        <v>329</v>
      </c>
      <c r="C43" s="127" t="s">
        <v>330</v>
      </c>
      <c r="D43" s="177">
        <v>0.24</v>
      </c>
      <c r="E43" s="137">
        <f>B58/B59*D43</f>
        <v>2.4984802431610938E-2</v>
      </c>
      <c r="F43" s="130">
        <v>483532.69474698789</v>
      </c>
      <c r="G43" s="131">
        <f t="shared" si="2"/>
        <v>50337.370197824719</v>
      </c>
    </row>
    <row r="44" spans="1:8">
      <c r="A44" s="126"/>
      <c r="B44" s="158" t="s">
        <v>331</v>
      </c>
      <c r="C44" s="127" t="s">
        <v>330</v>
      </c>
      <c r="D44" s="136">
        <v>0.24</v>
      </c>
      <c r="E44" s="137">
        <f>B58/B59*D44</f>
        <v>2.4984802431610938E-2</v>
      </c>
      <c r="F44" s="130">
        <v>289469.12443373492</v>
      </c>
      <c r="G44" s="131">
        <f t="shared" si="2"/>
        <v>30134.703683451124</v>
      </c>
    </row>
    <row r="45" spans="1:8">
      <c r="A45" s="126"/>
      <c r="B45" s="158" t="s">
        <v>332</v>
      </c>
      <c r="C45" s="127" t="s">
        <v>330</v>
      </c>
      <c r="D45" s="136">
        <v>0.11</v>
      </c>
      <c r="E45" s="137">
        <f>B58/B59*D45</f>
        <v>1.1451367781155014E-2</v>
      </c>
      <c r="F45" s="130">
        <v>92301.892187999998</v>
      </c>
      <c r="G45" s="131">
        <f t="shared" si="2"/>
        <v>9608.9355849209715</v>
      </c>
    </row>
    <row r="46" spans="1:8">
      <c r="A46" s="126"/>
      <c r="B46" s="158" t="s">
        <v>333</v>
      </c>
      <c r="C46" s="127" t="s">
        <v>330</v>
      </c>
      <c r="D46" s="136">
        <v>0.13</v>
      </c>
      <c r="E46" s="137">
        <f>B58/B59*D46</f>
        <v>1.3533434650455927E-2</v>
      </c>
      <c r="F46" s="130">
        <v>131017.845504</v>
      </c>
      <c r="G46" s="131">
        <f t="shared" si="2"/>
        <v>13639.39577055319</v>
      </c>
    </row>
    <row r="47" spans="1:8">
      <c r="A47" s="126"/>
      <c r="B47" s="158" t="s">
        <v>334</v>
      </c>
      <c r="C47" s="133" t="s">
        <v>335</v>
      </c>
      <c r="D47" s="138">
        <v>492</v>
      </c>
      <c r="E47" s="153">
        <f>B58/B59*D47</f>
        <v>51.218844984802431</v>
      </c>
      <c r="F47" s="130">
        <v>371848.53789528797</v>
      </c>
      <c r="G47" s="131">
        <f t="shared" si="2"/>
        <v>38710.676057488185</v>
      </c>
    </row>
    <row r="48" spans="1:8">
      <c r="A48" s="126"/>
      <c r="B48" s="158" t="s">
        <v>336</v>
      </c>
      <c r="C48" s="133" t="s">
        <v>278</v>
      </c>
      <c r="D48" s="132">
        <v>1316</v>
      </c>
      <c r="E48" s="129">
        <v>137</v>
      </c>
      <c r="F48" s="130">
        <v>269539.42269750719</v>
      </c>
      <c r="G48" s="131">
        <f t="shared" si="2"/>
        <v>28059.955098448696</v>
      </c>
    </row>
    <row r="49" spans="1:8">
      <c r="A49" s="126"/>
      <c r="B49" s="133" t="s">
        <v>337</v>
      </c>
      <c r="C49" s="133" t="s">
        <v>278</v>
      </c>
      <c r="D49" s="132">
        <v>1316</v>
      </c>
      <c r="E49" s="129">
        <v>137</v>
      </c>
      <c r="F49" s="130">
        <v>201466.64927793696</v>
      </c>
      <c r="G49" s="131">
        <f t="shared" si="2"/>
        <v>20973.351786532952</v>
      </c>
    </row>
    <row r="50" spans="1:8">
      <c r="A50" s="126"/>
      <c r="B50" s="133" t="s">
        <v>338</v>
      </c>
      <c r="C50" s="133" t="s">
        <v>339</v>
      </c>
      <c r="D50" s="178">
        <v>1461360</v>
      </c>
      <c r="E50" s="179">
        <f>B58/B59*D50</f>
        <v>152132.462006079</v>
      </c>
      <c r="F50" s="130">
        <v>1463389.9137393963</v>
      </c>
      <c r="G50" s="131">
        <f t="shared" si="2"/>
        <v>152343.78281329578</v>
      </c>
    </row>
    <row r="51" spans="1:8">
      <c r="A51" s="126"/>
      <c r="B51" s="133" t="s">
        <v>340</v>
      </c>
      <c r="C51" s="133" t="s">
        <v>278</v>
      </c>
      <c r="D51" s="132">
        <v>1316</v>
      </c>
      <c r="E51" s="129">
        <v>137</v>
      </c>
      <c r="F51" s="130">
        <v>226217.56163720929</v>
      </c>
      <c r="G51" s="131">
        <f t="shared" si="2"/>
        <v>23550.004516943518</v>
      </c>
    </row>
    <row r="52" spans="1:8" ht="13.5" thickBot="1">
      <c r="A52" s="160"/>
      <c r="B52" s="139" t="s">
        <v>341</v>
      </c>
      <c r="C52" s="139" t="s">
        <v>330</v>
      </c>
      <c r="D52" s="180">
        <v>0.16</v>
      </c>
      <c r="E52" s="162">
        <f>B58/B59*D52</f>
        <v>1.6656534954407293E-2</v>
      </c>
      <c r="F52" s="142">
        <v>264915.204096</v>
      </c>
      <c r="G52" s="143">
        <f t="shared" si="2"/>
        <v>27578.55848111854</v>
      </c>
    </row>
    <row r="53" spans="1:8" ht="13.5" thickBot="1">
      <c r="B53" s="181"/>
      <c r="H53" s="119" t="s">
        <v>346</v>
      </c>
    </row>
    <row r="54" spans="1:8" ht="13.5" thickBot="1">
      <c r="A54" s="182" t="s">
        <v>10</v>
      </c>
      <c r="B54" s="183"/>
      <c r="C54" s="183"/>
      <c r="D54" s="183"/>
      <c r="E54" s="183"/>
      <c r="F54" s="184">
        <f>SUM(F4:F52)</f>
        <v>27114670.737132598</v>
      </c>
      <c r="G54" s="185">
        <f>SUM(G4:G52)</f>
        <v>3627790.4037641021</v>
      </c>
      <c r="H54" s="185">
        <f>SUM(H3:H53)</f>
        <v>2614761.0723042777</v>
      </c>
    </row>
    <row r="55" spans="1:8">
      <c r="H55" s="57" t="s">
        <v>345</v>
      </c>
    </row>
    <row r="56" spans="1:8">
      <c r="A56" s="186" t="s">
        <v>342</v>
      </c>
      <c r="H56" s="57" t="s">
        <v>347</v>
      </c>
    </row>
    <row r="58" spans="1:8" hidden="1">
      <c r="B58">
        <v>137</v>
      </c>
    </row>
    <row r="59" spans="1:8" hidden="1">
      <c r="B59">
        <v>1316</v>
      </c>
    </row>
    <row r="60" spans="1:8" hidden="1">
      <c r="B60">
        <v>267</v>
      </c>
    </row>
  </sheetData>
  <mergeCells count="1">
    <mergeCell ref="A1:B1"/>
  </mergeCells>
  <phoneticPr fontId="0" type="noConversion"/>
  <pageMargins left="0.75" right="0.75" top="0.67" bottom="1" header="0.5" footer="0.5"/>
  <pageSetup scale="67" orientation="landscape" r:id="rId1"/>
  <headerFooter alignWithMargins="0">
    <oddFooter>&amp;L&amp;F&amp;R&amp;D&amp;T</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262"/>
  <sheetViews>
    <sheetView zoomScaleNormal="100" workbookViewId="0">
      <selection sqref="A1:P1"/>
    </sheetView>
  </sheetViews>
  <sheetFormatPr defaultRowHeight="12.75"/>
  <cols>
    <col min="1" max="1" width="15.42578125" style="48" customWidth="1"/>
    <col min="2" max="3" width="11.140625" style="23" customWidth="1"/>
    <col min="4" max="4" width="11.140625" style="23" bestFit="1" customWidth="1"/>
    <col min="5" max="5" width="9.140625" style="23"/>
    <col min="6" max="7" width="11.7109375" style="23" bestFit="1" customWidth="1"/>
    <col min="8" max="8" width="10.28515625" style="23" bestFit="1" customWidth="1"/>
    <col min="9" max="9" width="11.42578125" style="23" customWidth="1"/>
    <col min="10" max="15" width="11.5703125" style="68" customWidth="1"/>
    <col min="16" max="16" width="11.7109375" style="23" customWidth="1"/>
    <col min="17" max="16384" width="9.140625" style="23"/>
  </cols>
  <sheetData>
    <row r="1" spans="1:16" ht="20.25">
      <c r="A1" s="242" t="s">
        <v>44</v>
      </c>
      <c r="B1" s="243"/>
      <c r="C1" s="243"/>
      <c r="D1" s="243"/>
      <c r="E1" s="243"/>
      <c r="F1" s="243"/>
      <c r="G1" s="243"/>
      <c r="H1" s="243"/>
      <c r="I1" s="243"/>
      <c r="J1" s="243"/>
      <c r="K1" s="243"/>
      <c r="L1" s="243"/>
      <c r="M1" s="243"/>
      <c r="N1" s="243"/>
      <c r="O1" s="243"/>
      <c r="P1" s="244"/>
    </row>
    <row r="2" spans="1:16" ht="20.25">
      <c r="A2" s="245" t="s">
        <v>45</v>
      </c>
      <c r="B2" s="246"/>
      <c r="C2" s="246"/>
      <c r="D2" s="246"/>
      <c r="E2" s="246"/>
      <c r="F2" s="246"/>
      <c r="G2" s="246"/>
      <c r="H2" s="246"/>
      <c r="I2" s="246"/>
      <c r="J2" s="246"/>
      <c r="K2" s="246"/>
      <c r="L2" s="246"/>
      <c r="M2" s="246"/>
      <c r="N2" s="246"/>
      <c r="O2" s="246"/>
      <c r="P2" s="247"/>
    </row>
    <row r="3" spans="1:16" ht="20.25">
      <c r="A3" s="248" t="s">
        <v>187</v>
      </c>
      <c r="B3" s="249"/>
      <c r="C3" s="249"/>
      <c r="D3" s="249"/>
      <c r="E3" s="249"/>
      <c r="F3" s="249"/>
      <c r="G3" s="249"/>
      <c r="H3" s="249"/>
      <c r="I3" s="249"/>
      <c r="J3" s="249"/>
      <c r="K3" s="249"/>
      <c r="L3" s="249"/>
      <c r="M3" s="249"/>
      <c r="N3" s="249"/>
      <c r="O3" s="249"/>
      <c r="P3" s="250"/>
    </row>
    <row r="4" spans="1:16">
      <c r="A4" s="43"/>
      <c r="B4" s="24"/>
      <c r="C4" s="24"/>
      <c r="D4" s="24"/>
      <c r="E4" s="24"/>
      <c r="F4" s="24"/>
      <c r="G4" s="24"/>
      <c r="H4" s="24"/>
      <c r="I4" s="24"/>
      <c r="J4" s="64"/>
      <c r="K4" s="64"/>
      <c r="L4" s="64"/>
      <c r="M4" s="64"/>
      <c r="N4" s="64"/>
      <c r="O4" s="116"/>
      <c r="P4" s="27"/>
    </row>
    <row r="5" spans="1:16" ht="13.5" thickBot="1">
      <c r="A5" s="43"/>
      <c r="B5" s="24"/>
      <c r="C5" s="24"/>
      <c r="D5" s="24"/>
      <c r="E5" s="24"/>
      <c r="F5" s="24"/>
      <c r="G5" s="24"/>
      <c r="H5" s="24"/>
      <c r="I5" s="24"/>
      <c r="J5" s="64"/>
      <c r="K5" s="64"/>
      <c r="L5" s="64"/>
      <c r="M5" s="64"/>
      <c r="N5" s="64"/>
      <c r="O5" s="64"/>
      <c r="P5" s="25"/>
    </row>
    <row r="6" spans="1:16" s="56" customFormat="1" ht="39" thickBot="1">
      <c r="A6" s="53"/>
      <c r="B6" s="54" t="s">
        <v>46</v>
      </c>
      <c r="C6" s="54" t="s">
        <v>47</v>
      </c>
      <c r="D6" s="54" t="s">
        <v>200</v>
      </c>
      <c r="E6" s="54" t="s">
        <v>201</v>
      </c>
      <c r="F6" s="54" t="s">
        <v>211</v>
      </c>
      <c r="G6" s="54" t="s">
        <v>236</v>
      </c>
      <c r="H6" s="54" t="s">
        <v>262</v>
      </c>
      <c r="I6" s="54" t="s">
        <v>263</v>
      </c>
      <c r="J6" s="54" t="s">
        <v>85</v>
      </c>
      <c r="K6" s="54" t="s">
        <v>89</v>
      </c>
      <c r="L6" s="54" t="s">
        <v>237</v>
      </c>
      <c r="M6" s="54" t="s">
        <v>88</v>
      </c>
      <c r="N6" s="54" t="s">
        <v>87</v>
      </c>
      <c r="O6" s="54" t="s">
        <v>86</v>
      </c>
      <c r="P6" s="55" t="s">
        <v>48</v>
      </c>
    </row>
    <row r="7" spans="1:16">
      <c r="A7" s="43"/>
      <c r="B7" s="26"/>
      <c r="C7" s="46"/>
      <c r="D7" s="46"/>
      <c r="E7" s="46"/>
      <c r="F7" s="26"/>
      <c r="G7" s="26"/>
      <c r="H7" s="26"/>
      <c r="I7" s="26"/>
      <c r="J7" s="46"/>
      <c r="K7" s="46"/>
      <c r="L7" s="46"/>
      <c r="M7" s="46"/>
      <c r="N7" s="46"/>
      <c r="O7" s="46"/>
      <c r="P7" s="27"/>
    </row>
    <row r="8" spans="1:16">
      <c r="A8" s="43"/>
      <c r="B8" s="26"/>
      <c r="C8" s="46"/>
      <c r="D8" s="46"/>
      <c r="E8" s="46"/>
      <c r="F8" s="26"/>
      <c r="G8" s="26"/>
      <c r="H8" s="26"/>
      <c r="I8" s="26"/>
      <c r="J8" s="46"/>
      <c r="K8" s="46"/>
      <c r="L8" s="46"/>
      <c r="M8" s="46"/>
      <c r="N8" s="46"/>
      <c r="O8" s="46"/>
      <c r="P8" s="27"/>
    </row>
    <row r="9" spans="1:16">
      <c r="A9" s="43"/>
      <c r="B9" s="10"/>
      <c r="D9" s="24"/>
      <c r="E9" s="24"/>
      <c r="F9" s="24"/>
      <c r="H9" s="24"/>
      <c r="I9" s="24"/>
      <c r="J9" s="64"/>
      <c r="K9" s="64"/>
      <c r="L9" s="64"/>
      <c r="M9" s="64"/>
      <c r="N9" s="64"/>
      <c r="O9" s="64"/>
      <c r="P9" s="25"/>
    </row>
    <row r="10" spans="1:16">
      <c r="A10" s="114" t="s">
        <v>259</v>
      </c>
      <c r="B10" s="10">
        <f>1040643.84</f>
        <v>1040643.84</v>
      </c>
      <c r="C10" s="10">
        <f>6722000</f>
        <v>6722000</v>
      </c>
      <c r="D10" s="10">
        <v>3000</v>
      </c>
      <c r="E10" s="10">
        <f>1102773</f>
        <v>1102773</v>
      </c>
      <c r="F10" s="10">
        <f>2156000</f>
        <v>2156000</v>
      </c>
      <c r="G10" s="22">
        <f>175661</f>
        <v>175661</v>
      </c>
      <c r="H10" s="22">
        <f>390000</f>
        <v>390000</v>
      </c>
      <c r="I10" s="10">
        <f>618000</f>
        <v>618000</v>
      </c>
      <c r="J10" s="22">
        <f>3098000</f>
        <v>3098000</v>
      </c>
      <c r="K10" s="22">
        <f>109000</f>
        <v>109000</v>
      </c>
      <c r="L10" s="22">
        <f>1398000</f>
        <v>1398000</v>
      </c>
      <c r="M10" s="22">
        <f>2641000</f>
        <v>2641000</v>
      </c>
      <c r="N10" s="22">
        <f>333000</f>
        <v>333000</v>
      </c>
      <c r="O10" s="22">
        <f>100000</f>
        <v>100000</v>
      </c>
      <c r="P10" s="25"/>
    </row>
    <row r="11" spans="1:16" s="52" customFormat="1">
      <c r="A11" s="43" t="s">
        <v>260</v>
      </c>
      <c r="B11" s="50" t="s">
        <v>235</v>
      </c>
      <c r="C11" s="50" t="s">
        <v>50</v>
      </c>
      <c r="D11" s="50" t="s">
        <v>235</v>
      </c>
      <c r="E11" s="50" t="s">
        <v>49</v>
      </c>
      <c r="F11" s="50" t="s">
        <v>258</v>
      </c>
      <c r="G11" s="50" t="s">
        <v>258</v>
      </c>
      <c r="H11" s="50" t="s">
        <v>49</v>
      </c>
      <c r="I11" s="50" t="s">
        <v>50</v>
      </c>
      <c r="J11" s="65" t="s">
        <v>49</v>
      </c>
      <c r="K11" s="65" t="s">
        <v>49</v>
      </c>
      <c r="L11" s="65" t="s">
        <v>49</v>
      </c>
      <c r="M11" s="65" t="s">
        <v>49</v>
      </c>
      <c r="N11" s="65" t="s">
        <v>49</v>
      </c>
      <c r="O11" s="65" t="s">
        <v>49</v>
      </c>
      <c r="P11" s="51"/>
    </row>
    <row r="12" spans="1:16">
      <c r="A12" s="43" t="s">
        <v>261</v>
      </c>
      <c r="B12" s="28"/>
      <c r="C12" s="28">
        <v>0.1168</v>
      </c>
      <c r="D12" s="28"/>
      <c r="E12" s="28">
        <v>0.05</v>
      </c>
      <c r="F12" s="24"/>
      <c r="G12" s="113"/>
      <c r="H12" s="113">
        <v>2.8000000000000001E-2</v>
      </c>
      <c r="I12" s="28">
        <v>0.1168</v>
      </c>
      <c r="J12" s="66">
        <f>0.0604+0.0604</f>
        <v>0.1208</v>
      </c>
      <c r="K12" s="66">
        <f>0.0678+0.0678</f>
        <v>0.1356</v>
      </c>
      <c r="L12" s="66">
        <f>0.0434+0.0434</f>
        <v>8.6800000000000002E-2</v>
      </c>
      <c r="M12" s="66">
        <f>0.023+0.023</f>
        <v>4.5999999999999999E-2</v>
      </c>
      <c r="N12" s="66">
        <f>1/7</f>
        <v>0.14285714285714285</v>
      </c>
      <c r="O12" s="66">
        <v>0.1356</v>
      </c>
      <c r="P12" s="25"/>
    </row>
    <row r="13" spans="1:16">
      <c r="A13" s="43"/>
      <c r="B13" s="10"/>
      <c r="C13" s="10"/>
      <c r="D13" s="10"/>
      <c r="E13" s="10"/>
      <c r="F13" s="10"/>
      <c r="G13" s="10"/>
      <c r="H13" s="10"/>
      <c r="I13" s="28"/>
      <c r="J13" s="22"/>
      <c r="K13" s="22"/>
      <c r="L13" s="22"/>
      <c r="M13" s="22"/>
      <c r="N13" s="22"/>
      <c r="O13" s="22"/>
      <c r="P13" s="25"/>
    </row>
    <row r="14" spans="1:16">
      <c r="A14" s="44">
        <v>36892</v>
      </c>
      <c r="B14" s="10">
        <f>B$10/12</f>
        <v>86720.319999999992</v>
      </c>
      <c r="C14" s="10">
        <f>+C$10*C$12/12</f>
        <v>65427.466666666667</v>
      </c>
      <c r="D14" s="10">
        <f>D$10/12</f>
        <v>250</v>
      </c>
      <c r="E14" s="10">
        <f>+E$10*E$12/12</f>
        <v>4594.8874999999998</v>
      </c>
      <c r="F14" s="10">
        <f>F$10/12</f>
        <v>179666.66666666666</v>
      </c>
      <c r="G14" s="10">
        <f t="shared" ref="G14:G25" si="0">+$G$10/12</f>
        <v>14638.416666666666</v>
      </c>
      <c r="H14" s="10">
        <f>(+H$10*H$12)/12</f>
        <v>910</v>
      </c>
      <c r="I14" s="10">
        <f t="shared" ref="I14:O14" si="1">+I$10*I$12/12</f>
        <v>6015.2</v>
      </c>
      <c r="J14" s="22">
        <f t="shared" si="1"/>
        <v>31186.533333333336</v>
      </c>
      <c r="K14" s="22">
        <f t="shared" si="1"/>
        <v>1231.7</v>
      </c>
      <c r="L14" s="22">
        <f t="shared" si="1"/>
        <v>10112.200000000001</v>
      </c>
      <c r="M14" s="22">
        <f t="shared" si="1"/>
        <v>10123.833333333334</v>
      </c>
      <c r="N14" s="22">
        <f t="shared" si="1"/>
        <v>3964.2857142857138</v>
      </c>
      <c r="O14" s="22">
        <f t="shared" si="1"/>
        <v>1130</v>
      </c>
      <c r="P14" s="25">
        <f t="shared" ref="P14:P25" si="2">SUM(B14:O14)</f>
        <v>415971.50988095242</v>
      </c>
    </row>
    <row r="15" spans="1:16">
      <c r="A15" s="44">
        <v>36923</v>
      </c>
      <c r="B15" s="10">
        <f t="shared" ref="B15:B25" si="3">B$10/12</f>
        <v>86720.319999999992</v>
      </c>
      <c r="C15" s="10">
        <f t="shared" ref="C15:C25" si="4">+C$10*C$12/12</f>
        <v>65427.466666666667</v>
      </c>
      <c r="D15" s="10">
        <f t="shared" ref="D15:D25" si="5">D$10/12</f>
        <v>250</v>
      </c>
      <c r="E15" s="10">
        <f t="shared" ref="E15:E25" si="6">+E$10*E$12/12</f>
        <v>4594.8874999999998</v>
      </c>
      <c r="F15" s="10">
        <f t="shared" ref="F15:F25" si="7">F$10/12</f>
        <v>179666.66666666666</v>
      </c>
      <c r="G15" s="10">
        <f t="shared" si="0"/>
        <v>14638.416666666666</v>
      </c>
      <c r="H15" s="10">
        <f t="shared" ref="H15:H25" si="8">(+H$10*H$12)/12</f>
        <v>910</v>
      </c>
      <c r="I15" s="10">
        <f t="shared" ref="I15:O25" si="9">+I$10*I$12/12</f>
        <v>6015.2</v>
      </c>
      <c r="J15" s="22">
        <f t="shared" si="9"/>
        <v>31186.533333333336</v>
      </c>
      <c r="K15" s="22">
        <f t="shared" si="9"/>
        <v>1231.7</v>
      </c>
      <c r="L15" s="22">
        <f t="shared" si="9"/>
        <v>10112.200000000001</v>
      </c>
      <c r="M15" s="22">
        <f t="shared" si="9"/>
        <v>10123.833333333334</v>
      </c>
      <c r="N15" s="22">
        <f t="shared" si="9"/>
        <v>3964.2857142857138</v>
      </c>
      <c r="O15" s="22">
        <f t="shared" si="9"/>
        <v>1130</v>
      </c>
      <c r="P15" s="25">
        <f t="shared" si="2"/>
        <v>415971.50988095242</v>
      </c>
    </row>
    <row r="16" spans="1:16">
      <c r="A16" s="44">
        <v>36951</v>
      </c>
      <c r="B16" s="10">
        <f t="shared" si="3"/>
        <v>86720.319999999992</v>
      </c>
      <c r="C16" s="10">
        <f t="shared" si="4"/>
        <v>65427.466666666667</v>
      </c>
      <c r="D16" s="10">
        <f t="shared" si="5"/>
        <v>250</v>
      </c>
      <c r="E16" s="10">
        <f t="shared" si="6"/>
        <v>4594.8874999999998</v>
      </c>
      <c r="F16" s="10">
        <f t="shared" si="7"/>
        <v>179666.66666666666</v>
      </c>
      <c r="G16" s="10">
        <f t="shared" si="0"/>
        <v>14638.416666666666</v>
      </c>
      <c r="H16" s="10">
        <f t="shared" si="8"/>
        <v>910</v>
      </c>
      <c r="I16" s="10">
        <f t="shared" si="9"/>
        <v>6015.2</v>
      </c>
      <c r="J16" s="22">
        <f t="shared" si="9"/>
        <v>31186.533333333336</v>
      </c>
      <c r="K16" s="22">
        <f t="shared" si="9"/>
        <v>1231.7</v>
      </c>
      <c r="L16" s="22">
        <f t="shared" si="9"/>
        <v>10112.200000000001</v>
      </c>
      <c r="M16" s="22">
        <f t="shared" si="9"/>
        <v>10123.833333333334</v>
      </c>
      <c r="N16" s="22">
        <f t="shared" si="9"/>
        <v>3964.2857142857138</v>
      </c>
      <c r="O16" s="22">
        <f t="shared" si="9"/>
        <v>1130</v>
      </c>
      <c r="P16" s="25">
        <f t="shared" si="2"/>
        <v>415971.50988095242</v>
      </c>
    </row>
    <row r="17" spans="1:16">
      <c r="A17" s="44">
        <v>36982</v>
      </c>
      <c r="B17" s="10">
        <f t="shared" si="3"/>
        <v>86720.319999999992</v>
      </c>
      <c r="C17" s="10">
        <f t="shared" si="4"/>
        <v>65427.466666666667</v>
      </c>
      <c r="D17" s="10">
        <f t="shared" si="5"/>
        <v>250</v>
      </c>
      <c r="E17" s="10">
        <f t="shared" si="6"/>
        <v>4594.8874999999998</v>
      </c>
      <c r="F17" s="10">
        <f t="shared" si="7"/>
        <v>179666.66666666666</v>
      </c>
      <c r="G17" s="10">
        <f t="shared" si="0"/>
        <v>14638.416666666666</v>
      </c>
      <c r="H17" s="10">
        <f t="shared" si="8"/>
        <v>910</v>
      </c>
      <c r="I17" s="10">
        <f t="shared" si="9"/>
        <v>6015.2</v>
      </c>
      <c r="J17" s="22">
        <f t="shared" si="9"/>
        <v>31186.533333333336</v>
      </c>
      <c r="K17" s="22">
        <f t="shared" si="9"/>
        <v>1231.7</v>
      </c>
      <c r="L17" s="22">
        <f t="shared" si="9"/>
        <v>10112.200000000001</v>
      </c>
      <c r="M17" s="22">
        <f t="shared" si="9"/>
        <v>10123.833333333334</v>
      </c>
      <c r="N17" s="22">
        <f t="shared" si="9"/>
        <v>3964.2857142857138</v>
      </c>
      <c r="O17" s="22">
        <f t="shared" si="9"/>
        <v>1130</v>
      </c>
      <c r="P17" s="25">
        <f t="shared" si="2"/>
        <v>415971.50988095242</v>
      </c>
    </row>
    <row r="18" spans="1:16">
      <c r="A18" s="44">
        <v>37012</v>
      </c>
      <c r="B18" s="10">
        <f t="shared" si="3"/>
        <v>86720.319999999992</v>
      </c>
      <c r="C18" s="10">
        <f t="shared" si="4"/>
        <v>65427.466666666667</v>
      </c>
      <c r="D18" s="10">
        <f t="shared" si="5"/>
        <v>250</v>
      </c>
      <c r="E18" s="10">
        <f t="shared" si="6"/>
        <v>4594.8874999999998</v>
      </c>
      <c r="F18" s="10">
        <f t="shared" si="7"/>
        <v>179666.66666666666</v>
      </c>
      <c r="G18" s="10">
        <f t="shared" si="0"/>
        <v>14638.416666666666</v>
      </c>
      <c r="H18" s="10">
        <f t="shared" si="8"/>
        <v>910</v>
      </c>
      <c r="I18" s="10">
        <f t="shared" si="9"/>
        <v>6015.2</v>
      </c>
      <c r="J18" s="22">
        <f t="shared" si="9"/>
        <v>31186.533333333336</v>
      </c>
      <c r="K18" s="22">
        <f t="shared" si="9"/>
        <v>1231.7</v>
      </c>
      <c r="L18" s="22">
        <f t="shared" si="9"/>
        <v>10112.200000000001</v>
      </c>
      <c r="M18" s="22">
        <f t="shared" si="9"/>
        <v>10123.833333333334</v>
      </c>
      <c r="N18" s="22">
        <f t="shared" si="9"/>
        <v>3964.2857142857138</v>
      </c>
      <c r="O18" s="22">
        <f t="shared" si="9"/>
        <v>1130</v>
      </c>
      <c r="P18" s="25">
        <f t="shared" si="2"/>
        <v>415971.50988095242</v>
      </c>
    </row>
    <row r="19" spans="1:16">
      <c r="A19" s="44">
        <v>37043</v>
      </c>
      <c r="B19" s="10">
        <f t="shared" si="3"/>
        <v>86720.319999999992</v>
      </c>
      <c r="C19" s="10">
        <f t="shared" si="4"/>
        <v>65427.466666666667</v>
      </c>
      <c r="D19" s="10">
        <f t="shared" si="5"/>
        <v>250</v>
      </c>
      <c r="E19" s="10">
        <f t="shared" si="6"/>
        <v>4594.8874999999998</v>
      </c>
      <c r="F19" s="10">
        <f t="shared" si="7"/>
        <v>179666.66666666666</v>
      </c>
      <c r="G19" s="10">
        <f t="shared" si="0"/>
        <v>14638.416666666666</v>
      </c>
      <c r="H19" s="10">
        <f t="shared" si="8"/>
        <v>910</v>
      </c>
      <c r="I19" s="10">
        <f t="shared" si="9"/>
        <v>6015.2</v>
      </c>
      <c r="J19" s="22">
        <f t="shared" si="9"/>
        <v>31186.533333333336</v>
      </c>
      <c r="K19" s="22">
        <f t="shared" si="9"/>
        <v>1231.7</v>
      </c>
      <c r="L19" s="22">
        <f t="shared" si="9"/>
        <v>10112.200000000001</v>
      </c>
      <c r="M19" s="22">
        <f t="shared" si="9"/>
        <v>10123.833333333334</v>
      </c>
      <c r="N19" s="22">
        <f t="shared" si="9"/>
        <v>3964.2857142857138</v>
      </c>
      <c r="O19" s="22">
        <f t="shared" si="9"/>
        <v>1130</v>
      </c>
      <c r="P19" s="25">
        <f t="shared" si="2"/>
        <v>415971.50988095242</v>
      </c>
    </row>
    <row r="20" spans="1:16">
      <c r="A20" s="44">
        <v>37073</v>
      </c>
      <c r="B20" s="10">
        <f t="shared" si="3"/>
        <v>86720.319999999992</v>
      </c>
      <c r="C20" s="10">
        <f t="shared" si="4"/>
        <v>65427.466666666667</v>
      </c>
      <c r="D20" s="10">
        <f t="shared" si="5"/>
        <v>250</v>
      </c>
      <c r="E20" s="10">
        <f t="shared" si="6"/>
        <v>4594.8874999999998</v>
      </c>
      <c r="F20" s="10">
        <f t="shared" si="7"/>
        <v>179666.66666666666</v>
      </c>
      <c r="G20" s="10">
        <f t="shared" si="0"/>
        <v>14638.416666666666</v>
      </c>
      <c r="H20" s="10">
        <f t="shared" si="8"/>
        <v>910</v>
      </c>
      <c r="I20" s="10">
        <f t="shared" si="9"/>
        <v>6015.2</v>
      </c>
      <c r="J20" s="22">
        <f t="shared" si="9"/>
        <v>31186.533333333336</v>
      </c>
      <c r="K20" s="22">
        <f t="shared" si="9"/>
        <v>1231.7</v>
      </c>
      <c r="L20" s="22">
        <f t="shared" si="9"/>
        <v>10112.200000000001</v>
      </c>
      <c r="M20" s="22">
        <f t="shared" si="9"/>
        <v>10123.833333333334</v>
      </c>
      <c r="N20" s="22">
        <f t="shared" si="9"/>
        <v>3964.2857142857138</v>
      </c>
      <c r="O20" s="22">
        <f t="shared" si="9"/>
        <v>1130</v>
      </c>
      <c r="P20" s="25">
        <f t="shared" si="2"/>
        <v>415971.50988095242</v>
      </c>
    </row>
    <row r="21" spans="1:16">
      <c r="A21" s="44">
        <v>37104</v>
      </c>
      <c r="B21" s="10">
        <f t="shared" si="3"/>
        <v>86720.319999999992</v>
      </c>
      <c r="C21" s="10">
        <f t="shared" si="4"/>
        <v>65427.466666666667</v>
      </c>
      <c r="D21" s="10">
        <f t="shared" si="5"/>
        <v>250</v>
      </c>
      <c r="E21" s="10">
        <f t="shared" si="6"/>
        <v>4594.8874999999998</v>
      </c>
      <c r="F21" s="10">
        <f t="shared" si="7"/>
        <v>179666.66666666666</v>
      </c>
      <c r="G21" s="10">
        <f t="shared" si="0"/>
        <v>14638.416666666666</v>
      </c>
      <c r="H21" s="10">
        <f t="shared" si="8"/>
        <v>910</v>
      </c>
      <c r="I21" s="10">
        <f t="shared" si="9"/>
        <v>6015.2</v>
      </c>
      <c r="J21" s="22">
        <f t="shared" si="9"/>
        <v>31186.533333333336</v>
      </c>
      <c r="K21" s="22">
        <f t="shared" si="9"/>
        <v>1231.7</v>
      </c>
      <c r="L21" s="22">
        <f t="shared" si="9"/>
        <v>10112.200000000001</v>
      </c>
      <c r="M21" s="22">
        <f t="shared" si="9"/>
        <v>10123.833333333334</v>
      </c>
      <c r="N21" s="22">
        <f t="shared" si="9"/>
        <v>3964.2857142857138</v>
      </c>
      <c r="O21" s="22">
        <f t="shared" si="9"/>
        <v>1130</v>
      </c>
      <c r="P21" s="25">
        <f t="shared" si="2"/>
        <v>415971.50988095242</v>
      </c>
    </row>
    <row r="22" spans="1:16">
      <c r="A22" s="44">
        <v>37135</v>
      </c>
      <c r="B22" s="10">
        <f t="shared" si="3"/>
        <v>86720.319999999992</v>
      </c>
      <c r="C22" s="10">
        <f t="shared" si="4"/>
        <v>65427.466666666667</v>
      </c>
      <c r="D22" s="10">
        <f t="shared" si="5"/>
        <v>250</v>
      </c>
      <c r="E22" s="10">
        <f t="shared" si="6"/>
        <v>4594.8874999999998</v>
      </c>
      <c r="F22" s="10">
        <f t="shared" si="7"/>
        <v>179666.66666666666</v>
      </c>
      <c r="G22" s="10">
        <f t="shared" si="0"/>
        <v>14638.416666666666</v>
      </c>
      <c r="H22" s="10">
        <f t="shared" si="8"/>
        <v>910</v>
      </c>
      <c r="I22" s="10">
        <f t="shared" si="9"/>
        <v>6015.2</v>
      </c>
      <c r="J22" s="22">
        <f t="shared" si="9"/>
        <v>31186.533333333336</v>
      </c>
      <c r="K22" s="22">
        <f t="shared" si="9"/>
        <v>1231.7</v>
      </c>
      <c r="L22" s="22">
        <f t="shared" si="9"/>
        <v>10112.200000000001</v>
      </c>
      <c r="M22" s="22">
        <f t="shared" si="9"/>
        <v>10123.833333333334</v>
      </c>
      <c r="N22" s="22">
        <f t="shared" si="9"/>
        <v>3964.2857142857138</v>
      </c>
      <c r="O22" s="22">
        <f t="shared" si="9"/>
        <v>1130</v>
      </c>
      <c r="P22" s="25">
        <f t="shared" si="2"/>
        <v>415971.50988095242</v>
      </c>
    </row>
    <row r="23" spans="1:16">
      <c r="A23" s="44">
        <v>37165</v>
      </c>
      <c r="B23" s="10">
        <f t="shared" si="3"/>
        <v>86720.319999999992</v>
      </c>
      <c r="C23" s="10">
        <f t="shared" si="4"/>
        <v>65427.466666666667</v>
      </c>
      <c r="D23" s="10">
        <f t="shared" si="5"/>
        <v>250</v>
      </c>
      <c r="E23" s="10">
        <f t="shared" si="6"/>
        <v>4594.8874999999998</v>
      </c>
      <c r="F23" s="10">
        <f t="shared" si="7"/>
        <v>179666.66666666666</v>
      </c>
      <c r="G23" s="10">
        <f t="shared" si="0"/>
        <v>14638.416666666666</v>
      </c>
      <c r="H23" s="10">
        <f t="shared" si="8"/>
        <v>910</v>
      </c>
      <c r="I23" s="10">
        <f t="shared" si="9"/>
        <v>6015.2</v>
      </c>
      <c r="J23" s="22">
        <f t="shared" si="9"/>
        <v>31186.533333333336</v>
      </c>
      <c r="K23" s="22">
        <f t="shared" si="9"/>
        <v>1231.7</v>
      </c>
      <c r="L23" s="22">
        <f t="shared" si="9"/>
        <v>10112.200000000001</v>
      </c>
      <c r="M23" s="22">
        <f t="shared" si="9"/>
        <v>10123.833333333334</v>
      </c>
      <c r="N23" s="22">
        <f t="shared" si="9"/>
        <v>3964.2857142857138</v>
      </c>
      <c r="O23" s="22">
        <f t="shared" si="9"/>
        <v>1130</v>
      </c>
      <c r="P23" s="25">
        <f t="shared" si="2"/>
        <v>415971.50988095242</v>
      </c>
    </row>
    <row r="24" spans="1:16">
      <c r="A24" s="44">
        <v>37196</v>
      </c>
      <c r="B24" s="10">
        <f t="shared" si="3"/>
        <v>86720.319999999992</v>
      </c>
      <c r="C24" s="10">
        <f t="shared" si="4"/>
        <v>65427.466666666667</v>
      </c>
      <c r="D24" s="10">
        <f t="shared" si="5"/>
        <v>250</v>
      </c>
      <c r="E24" s="10">
        <f t="shared" si="6"/>
        <v>4594.8874999999998</v>
      </c>
      <c r="F24" s="10">
        <f t="shared" si="7"/>
        <v>179666.66666666666</v>
      </c>
      <c r="G24" s="10">
        <f t="shared" si="0"/>
        <v>14638.416666666666</v>
      </c>
      <c r="H24" s="10">
        <f t="shared" si="8"/>
        <v>910</v>
      </c>
      <c r="I24" s="10">
        <f t="shared" si="9"/>
        <v>6015.2</v>
      </c>
      <c r="J24" s="22">
        <f t="shared" si="9"/>
        <v>31186.533333333336</v>
      </c>
      <c r="K24" s="22">
        <f t="shared" si="9"/>
        <v>1231.7</v>
      </c>
      <c r="L24" s="22">
        <f t="shared" si="9"/>
        <v>10112.200000000001</v>
      </c>
      <c r="M24" s="22">
        <f t="shared" si="9"/>
        <v>10123.833333333334</v>
      </c>
      <c r="N24" s="22">
        <f t="shared" si="9"/>
        <v>3964.2857142857138</v>
      </c>
      <c r="O24" s="22">
        <f t="shared" si="9"/>
        <v>1130</v>
      </c>
      <c r="P24" s="25">
        <f t="shared" si="2"/>
        <v>415971.50988095242</v>
      </c>
    </row>
    <row r="25" spans="1:16">
      <c r="A25" s="44">
        <v>37226</v>
      </c>
      <c r="B25" s="10">
        <f t="shared" si="3"/>
        <v>86720.319999999992</v>
      </c>
      <c r="C25" s="10">
        <f t="shared" si="4"/>
        <v>65427.466666666667</v>
      </c>
      <c r="D25" s="10">
        <f t="shared" si="5"/>
        <v>250</v>
      </c>
      <c r="E25" s="10">
        <f t="shared" si="6"/>
        <v>4594.8874999999998</v>
      </c>
      <c r="F25" s="10">
        <f t="shared" si="7"/>
        <v>179666.66666666666</v>
      </c>
      <c r="G25" s="10">
        <f t="shared" si="0"/>
        <v>14638.416666666666</v>
      </c>
      <c r="H25" s="10">
        <f t="shared" si="8"/>
        <v>910</v>
      </c>
      <c r="I25" s="10">
        <f t="shared" si="9"/>
        <v>6015.2</v>
      </c>
      <c r="J25" s="22">
        <f t="shared" si="9"/>
        <v>31186.533333333336</v>
      </c>
      <c r="K25" s="22">
        <f t="shared" si="9"/>
        <v>1231.7</v>
      </c>
      <c r="L25" s="22">
        <f t="shared" si="9"/>
        <v>10112.200000000001</v>
      </c>
      <c r="M25" s="22">
        <f t="shared" si="9"/>
        <v>10123.833333333334</v>
      </c>
      <c r="N25" s="22">
        <f t="shared" si="9"/>
        <v>3964.2857142857138</v>
      </c>
      <c r="O25" s="22">
        <f t="shared" si="9"/>
        <v>1130</v>
      </c>
      <c r="P25" s="25">
        <f t="shared" si="2"/>
        <v>415971.50988095242</v>
      </c>
    </row>
    <row r="26" spans="1:16">
      <c r="A26" s="43"/>
      <c r="B26" s="10"/>
      <c r="C26" s="10"/>
      <c r="D26" s="10"/>
      <c r="E26" s="10"/>
      <c r="F26" s="10"/>
      <c r="G26" s="10"/>
      <c r="H26" s="10"/>
      <c r="I26" s="10"/>
      <c r="J26" s="22"/>
      <c r="K26" s="22"/>
      <c r="L26" s="22"/>
      <c r="M26" s="22"/>
      <c r="N26" s="22"/>
      <c r="O26" s="22"/>
      <c r="P26" s="25"/>
    </row>
    <row r="27" spans="1:16" ht="13.5" thickBot="1">
      <c r="A27" s="45" t="s">
        <v>10</v>
      </c>
      <c r="B27" s="29">
        <f>SUM(B13:B26)</f>
        <v>1040643.8399999997</v>
      </c>
      <c r="C27" s="29">
        <f t="shared" ref="C27:O27" si="10">SUM(C13:C26)</f>
        <v>785129.6</v>
      </c>
      <c r="D27" s="29">
        <f t="shared" si="10"/>
        <v>3000</v>
      </c>
      <c r="E27" s="29">
        <f t="shared" si="10"/>
        <v>55138.649999999987</v>
      </c>
      <c r="F27" s="29">
        <f>SUM(F13:F26)</f>
        <v>2156000.0000000005</v>
      </c>
      <c r="G27" s="29">
        <f t="shared" si="10"/>
        <v>175660.99999999997</v>
      </c>
      <c r="H27" s="29">
        <f t="shared" si="10"/>
        <v>10920</v>
      </c>
      <c r="I27" s="29">
        <f t="shared" si="10"/>
        <v>72182.39999999998</v>
      </c>
      <c r="J27" s="29">
        <f t="shared" si="10"/>
        <v>374238.39999999997</v>
      </c>
      <c r="K27" s="29">
        <f t="shared" si="10"/>
        <v>14780.400000000003</v>
      </c>
      <c r="L27" s="29">
        <f t="shared" si="10"/>
        <v>121346.39999999998</v>
      </c>
      <c r="M27" s="29">
        <f t="shared" si="10"/>
        <v>121485.99999999999</v>
      </c>
      <c r="N27" s="29">
        <f t="shared" si="10"/>
        <v>47571.428571428551</v>
      </c>
      <c r="O27" s="29">
        <f t="shared" si="10"/>
        <v>13560</v>
      </c>
      <c r="P27" s="234">
        <f>SUM(P13:P26)</f>
        <v>4991658.1185714295</v>
      </c>
    </row>
    <row r="28" spans="1:16" ht="14.25" thickTop="1" thickBot="1">
      <c r="A28" s="47"/>
      <c r="B28" s="30"/>
      <c r="C28" s="30"/>
      <c r="D28" s="30"/>
      <c r="E28" s="30"/>
      <c r="F28" s="30"/>
      <c r="G28" s="30"/>
      <c r="H28" s="30"/>
      <c r="I28" s="30"/>
      <c r="J28" s="67"/>
      <c r="K28" s="67"/>
      <c r="L28" s="67"/>
      <c r="M28" s="67"/>
      <c r="N28" s="67"/>
      <c r="O28" s="67"/>
      <c r="P28" s="31"/>
    </row>
    <row r="29" spans="1:16">
      <c r="P29" s="11"/>
    </row>
    <row r="31" spans="1:16">
      <c r="B31" s="32" t="s">
        <v>51</v>
      </c>
      <c r="C31" s="32"/>
    </row>
    <row r="33" spans="1:10">
      <c r="A33" s="212" t="s">
        <v>364</v>
      </c>
    </row>
    <row r="35" spans="1:10">
      <c r="B35" s="57" t="s">
        <v>77</v>
      </c>
      <c r="C35" s="57"/>
      <c r="D35" s="1" t="s">
        <v>78</v>
      </c>
      <c r="E35" s="1"/>
      <c r="F35" s="1"/>
    </row>
    <row r="36" spans="1:10">
      <c r="B36" s="57" t="s">
        <v>73</v>
      </c>
      <c r="C36" s="57"/>
      <c r="D36">
        <v>85</v>
      </c>
      <c r="E36"/>
      <c r="F36"/>
    </row>
    <row r="37" spans="1:10">
      <c r="B37" s="57" t="s">
        <v>76</v>
      </c>
      <c r="C37" s="57"/>
      <c r="D37">
        <v>75</v>
      </c>
      <c r="E37"/>
      <c r="F37"/>
    </row>
    <row r="38" spans="1:10">
      <c r="B38" s="58" t="s">
        <v>83</v>
      </c>
      <c r="C38" s="58"/>
      <c r="D38" s="37">
        <f>SUM(D36:D37)</f>
        <v>160</v>
      </c>
      <c r="E38" s="15"/>
      <c r="F38" s="15"/>
    </row>
    <row r="39" spans="1:10">
      <c r="B39" s="57" t="s">
        <v>74</v>
      </c>
      <c r="C39" s="57"/>
      <c r="D39" s="37">
        <v>1370</v>
      </c>
      <c r="E39" s="15"/>
      <c r="F39" s="15"/>
    </row>
    <row r="40" spans="1:10">
      <c r="B40" s="57"/>
      <c r="C40" s="57"/>
      <c r="D40"/>
      <c r="E40"/>
      <c r="F40"/>
    </row>
    <row r="41" spans="1:10">
      <c r="B41" s="59" t="s">
        <v>75</v>
      </c>
      <c r="C41" s="59"/>
      <c r="D41" s="42">
        <f>+D38/D39</f>
        <v>0.11678832116788321</v>
      </c>
      <c r="E41" s="42"/>
      <c r="F41" s="42"/>
    </row>
    <row r="42" spans="1:10">
      <c r="A42" s="49"/>
    </row>
    <row r="44" spans="1:10" ht="35.25" customHeight="1">
      <c r="A44" s="238" t="s">
        <v>90</v>
      </c>
      <c r="B44" s="238"/>
      <c r="C44" s="238"/>
      <c r="D44" s="238"/>
      <c r="E44" s="238"/>
      <c r="F44" s="238"/>
      <c r="G44" s="238"/>
      <c r="H44" s="238"/>
      <c r="I44" s="238"/>
      <c r="J44" s="238"/>
    </row>
    <row r="45" spans="1:10">
      <c r="A45" t="s">
        <v>91</v>
      </c>
    </row>
    <row r="46" spans="1:10">
      <c r="A46"/>
    </row>
    <row r="47" spans="1:10" customFormat="1" ht="33" customHeight="1">
      <c r="A47" s="238" t="s">
        <v>92</v>
      </c>
      <c r="B47" s="238"/>
      <c r="C47" s="238"/>
      <c r="D47" s="238"/>
      <c r="E47" s="238"/>
      <c r="F47" s="238"/>
      <c r="G47" s="238"/>
      <c r="H47" s="238"/>
      <c r="I47" s="238"/>
      <c r="J47" s="238"/>
    </row>
    <row r="52" spans="1:12">
      <c r="A52" s="6" t="s">
        <v>59</v>
      </c>
      <c r="B52"/>
    </row>
    <row r="53" spans="1:12">
      <c r="A53" t="s">
        <v>60</v>
      </c>
      <c r="B53" t="s">
        <v>61</v>
      </c>
    </row>
    <row r="54" spans="1:12">
      <c r="A54" t="s">
        <v>62</v>
      </c>
      <c r="B54" t="s">
        <v>63</v>
      </c>
    </row>
    <row r="55" spans="1:12">
      <c r="A55" t="s">
        <v>64</v>
      </c>
      <c r="B55" t="s">
        <v>65</v>
      </c>
    </row>
    <row r="56" spans="1:12">
      <c r="A56" t="s">
        <v>66</v>
      </c>
      <c r="B56" s="6" t="s">
        <v>202</v>
      </c>
    </row>
    <row r="57" spans="1:12">
      <c r="A57" t="s">
        <v>67</v>
      </c>
      <c r="B57" t="s">
        <v>68</v>
      </c>
    </row>
    <row r="58" spans="1:12">
      <c r="A58"/>
      <c r="B58"/>
    </row>
    <row r="59" spans="1:12">
      <c r="A59" t="s">
        <v>69</v>
      </c>
      <c r="B59"/>
    </row>
    <row r="60" spans="1:12">
      <c r="A60"/>
      <c r="B60"/>
    </row>
    <row r="61" spans="1:12" ht="26.25" customHeight="1">
      <c r="A61" s="238" t="s">
        <v>70</v>
      </c>
      <c r="B61" s="238"/>
      <c r="C61" s="238"/>
      <c r="D61" s="238"/>
      <c r="E61" s="238"/>
      <c r="F61" s="238"/>
      <c r="G61" s="238"/>
      <c r="H61" s="238"/>
      <c r="I61" s="238"/>
      <c r="J61" s="238"/>
      <c r="K61" s="238"/>
      <c r="L61" s="238"/>
    </row>
    <row r="62" spans="1:12" ht="12.75" customHeight="1">
      <c r="A62"/>
      <c r="B62"/>
    </row>
    <row r="63" spans="1:12">
      <c r="A63" t="s">
        <v>71</v>
      </c>
      <c r="B63"/>
    </row>
    <row r="64" spans="1:12">
      <c r="A64" s="35" t="s">
        <v>72</v>
      </c>
      <c r="B64"/>
    </row>
    <row r="65" spans="1:12">
      <c r="A65" s="6"/>
      <c r="B65" s="6"/>
    </row>
    <row r="66" spans="1:12">
      <c r="A66" s="6"/>
      <c r="B66" s="6"/>
    </row>
    <row r="67" spans="1:12">
      <c r="A67" s="6"/>
      <c r="B67" s="6"/>
    </row>
    <row r="68" spans="1:12">
      <c r="A68" s="6"/>
      <c r="B68" s="6"/>
    </row>
    <row r="69" spans="1:12">
      <c r="A69" s="6" t="s">
        <v>203</v>
      </c>
      <c r="B69" s="6"/>
    </row>
    <row r="70" spans="1:12">
      <c r="A70" s="108" t="s">
        <v>60</v>
      </c>
      <c r="B70" s="108" t="s">
        <v>204</v>
      </c>
    </row>
    <row r="71" spans="1:12">
      <c r="A71" s="108" t="s">
        <v>62</v>
      </c>
      <c r="B71" s="108" t="s">
        <v>205</v>
      </c>
    </row>
    <row r="72" spans="1:12">
      <c r="A72" s="108" t="s">
        <v>64</v>
      </c>
      <c r="B72" s="108" t="s">
        <v>65</v>
      </c>
    </row>
    <row r="73" spans="1:12">
      <c r="A73" s="108" t="s">
        <v>206</v>
      </c>
      <c r="B73" s="108" t="s">
        <v>207</v>
      </c>
    </row>
    <row r="74" spans="1:12">
      <c r="A74" s="108" t="s">
        <v>66</v>
      </c>
      <c r="B74" s="6" t="s">
        <v>208</v>
      </c>
    </row>
    <row r="75" spans="1:12">
      <c r="A75" s="108"/>
      <c r="B75" s="6"/>
    </row>
    <row r="76" spans="1:12" ht="32.25" customHeight="1">
      <c r="A76" s="238" t="s">
        <v>209</v>
      </c>
      <c r="B76" s="238"/>
      <c r="C76" s="238"/>
      <c r="D76" s="238"/>
      <c r="E76" s="238"/>
      <c r="F76" s="238"/>
      <c r="G76" s="238"/>
      <c r="H76" s="238"/>
      <c r="I76" s="238"/>
      <c r="J76" s="238"/>
      <c r="K76" s="238"/>
      <c r="L76" s="238"/>
    </row>
    <row r="77" spans="1:12">
      <c r="A77" s="108"/>
      <c r="B77" s="6"/>
    </row>
    <row r="78" spans="1:12">
      <c r="A78" s="108" t="s">
        <v>210</v>
      </c>
      <c r="B78" s="6"/>
    </row>
    <row r="79" spans="1:12">
      <c r="A79" s="108"/>
      <c r="B79" s="6"/>
    </row>
    <row r="80" spans="1:12">
      <c r="A80" s="108"/>
      <c r="B80" s="6"/>
    </row>
    <row r="81" spans="1:2">
      <c r="A81" s="108"/>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row r="144" spans="1:2">
      <c r="A144" s="6"/>
      <c r="B144" s="6"/>
    </row>
    <row r="145" spans="1:2">
      <c r="A145" s="6"/>
      <c r="B145" s="6"/>
    </row>
    <row r="146" spans="1:2">
      <c r="A146" s="6"/>
      <c r="B146" s="6"/>
    </row>
    <row r="147" spans="1:2">
      <c r="A147" s="6"/>
      <c r="B147" s="6"/>
    </row>
    <row r="148" spans="1:2">
      <c r="A148" s="6"/>
      <c r="B148" s="6"/>
    </row>
    <row r="149" spans="1:2">
      <c r="A149" s="6"/>
      <c r="B149" s="6"/>
    </row>
    <row r="150" spans="1:2">
      <c r="A150" s="6"/>
      <c r="B150" s="6"/>
    </row>
    <row r="151" spans="1:2">
      <c r="A151" s="6"/>
      <c r="B151" s="6"/>
    </row>
    <row r="152" spans="1:2">
      <c r="A152" s="6"/>
      <c r="B152" s="6"/>
    </row>
    <row r="153" spans="1:2">
      <c r="A153" s="6"/>
      <c r="B153" s="6"/>
    </row>
    <row r="154" spans="1:2">
      <c r="A154" s="6"/>
      <c r="B154" s="6"/>
    </row>
    <row r="155" spans="1:2">
      <c r="A155" s="6"/>
      <c r="B155" s="6"/>
    </row>
    <row r="156" spans="1:2">
      <c r="A156" s="6"/>
      <c r="B156" s="6"/>
    </row>
    <row r="157" spans="1:2">
      <c r="A157" s="6"/>
      <c r="B157" s="6"/>
    </row>
    <row r="158" spans="1:2">
      <c r="A158" s="6"/>
      <c r="B158" s="6"/>
    </row>
    <row r="159" spans="1:2">
      <c r="A159" s="6"/>
      <c r="B159" s="6"/>
    </row>
    <row r="160" spans="1:2">
      <c r="A160" s="6"/>
      <c r="B160" s="6"/>
    </row>
    <row r="161" spans="1:2">
      <c r="A161" s="6"/>
      <c r="B161" s="6"/>
    </row>
    <row r="162" spans="1:2">
      <c r="A162" s="6"/>
      <c r="B162" s="6"/>
    </row>
    <row r="163" spans="1:2">
      <c r="A163" s="6"/>
      <c r="B163" s="6"/>
    </row>
    <row r="164" spans="1:2">
      <c r="A164" s="6"/>
      <c r="B164" s="6"/>
    </row>
    <row r="165" spans="1:2">
      <c r="A165" s="6"/>
      <c r="B165" s="6"/>
    </row>
    <row r="166" spans="1:2">
      <c r="A166" s="6"/>
      <c r="B166" s="6"/>
    </row>
    <row r="167" spans="1:2">
      <c r="A167" s="6"/>
      <c r="B167" s="6"/>
    </row>
    <row r="168" spans="1:2">
      <c r="A168" s="6"/>
      <c r="B168" s="6"/>
    </row>
    <row r="169" spans="1:2">
      <c r="A169" s="6"/>
      <c r="B169" s="6"/>
    </row>
    <row r="170" spans="1:2">
      <c r="A170" s="6"/>
      <c r="B170" s="6"/>
    </row>
    <row r="171" spans="1:2">
      <c r="A171" s="6"/>
      <c r="B171" s="6"/>
    </row>
    <row r="172" spans="1:2">
      <c r="A172" s="6"/>
      <c r="B172" s="6"/>
    </row>
    <row r="173" spans="1:2">
      <c r="A173" s="6"/>
      <c r="B173" s="6"/>
    </row>
    <row r="174" spans="1:2">
      <c r="A174" s="6"/>
      <c r="B174" s="6"/>
    </row>
    <row r="175" spans="1:2">
      <c r="A175" s="6"/>
      <c r="B175" s="6"/>
    </row>
    <row r="176" spans="1:2">
      <c r="A176" s="6"/>
      <c r="B176" s="6"/>
    </row>
    <row r="177" spans="1:2">
      <c r="A177" s="6"/>
      <c r="B177" s="6"/>
    </row>
    <row r="178" spans="1:2">
      <c r="A178" s="6"/>
      <c r="B178" s="6"/>
    </row>
    <row r="179" spans="1:2">
      <c r="A179" s="6"/>
      <c r="B179" s="6"/>
    </row>
    <row r="180" spans="1:2">
      <c r="A180" s="6"/>
      <c r="B180" s="6"/>
    </row>
    <row r="181" spans="1:2">
      <c r="A181" s="6"/>
      <c r="B181" s="6"/>
    </row>
    <row r="182" spans="1:2">
      <c r="A182" s="6"/>
      <c r="B182" s="6"/>
    </row>
    <row r="183" spans="1:2">
      <c r="A183" s="6"/>
      <c r="B183" s="6"/>
    </row>
    <row r="184" spans="1:2">
      <c r="A184" s="6"/>
      <c r="B184" s="6"/>
    </row>
    <row r="185" spans="1:2">
      <c r="A185" s="6"/>
      <c r="B185" s="6"/>
    </row>
    <row r="186" spans="1:2">
      <c r="A186" s="6"/>
      <c r="B186" s="6"/>
    </row>
    <row r="187" spans="1:2">
      <c r="A187" s="6"/>
      <c r="B187" s="6"/>
    </row>
    <row r="188" spans="1:2">
      <c r="A188" s="6"/>
      <c r="B188" s="6"/>
    </row>
    <row r="189" spans="1:2">
      <c r="A189" s="6"/>
      <c r="B189" s="6"/>
    </row>
    <row r="190" spans="1:2">
      <c r="A190" s="6"/>
      <c r="B190" s="6"/>
    </row>
    <row r="191" spans="1:2">
      <c r="A191" s="6"/>
      <c r="B191" s="6"/>
    </row>
    <row r="192" spans="1:2">
      <c r="A192" s="6"/>
      <c r="B192" s="6"/>
    </row>
    <row r="193" spans="1:2">
      <c r="A193" s="6"/>
      <c r="B193" s="6"/>
    </row>
    <row r="194" spans="1:2">
      <c r="A194" s="6"/>
      <c r="B194" s="6"/>
    </row>
    <row r="195" spans="1:2">
      <c r="A195" s="6"/>
      <c r="B195" s="6"/>
    </row>
    <row r="196" spans="1:2">
      <c r="A196" s="6"/>
      <c r="B196" s="6"/>
    </row>
    <row r="197" spans="1:2">
      <c r="A197" s="6"/>
      <c r="B197" s="6"/>
    </row>
    <row r="198" spans="1:2">
      <c r="A198" s="6"/>
      <c r="B198" s="6"/>
    </row>
    <row r="199" spans="1:2">
      <c r="A199" s="6"/>
      <c r="B199" s="6"/>
    </row>
    <row r="200" spans="1:2">
      <c r="A200" s="6"/>
      <c r="B200" s="6"/>
    </row>
    <row r="201" spans="1:2">
      <c r="A201" s="6"/>
      <c r="B201" s="6"/>
    </row>
    <row r="202" spans="1:2">
      <c r="A202" s="6"/>
      <c r="B202" s="6"/>
    </row>
    <row r="203" spans="1:2">
      <c r="A203" s="6"/>
      <c r="B203" s="6"/>
    </row>
    <row r="204" spans="1:2">
      <c r="A204" s="6"/>
      <c r="B204" s="6"/>
    </row>
    <row r="205" spans="1:2">
      <c r="A205" s="6"/>
      <c r="B205" s="6"/>
    </row>
    <row r="206" spans="1:2">
      <c r="A206" s="6"/>
      <c r="B206" s="6"/>
    </row>
    <row r="207" spans="1:2">
      <c r="A207" s="6"/>
      <c r="B207" s="6"/>
    </row>
    <row r="208" spans="1:2">
      <c r="A208" s="6"/>
      <c r="B208" s="6"/>
    </row>
    <row r="209" spans="1:2">
      <c r="A209" s="6"/>
      <c r="B209" s="6"/>
    </row>
    <row r="210" spans="1:2">
      <c r="A210" s="6"/>
      <c r="B210" s="6"/>
    </row>
    <row r="211" spans="1:2">
      <c r="A211" s="6"/>
      <c r="B211" s="6"/>
    </row>
    <row r="212" spans="1:2">
      <c r="A212" s="6"/>
      <c r="B212" s="6"/>
    </row>
    <row r="213" spans="1:2">
      <c r="A213" s="6"/>
      <c r="B213" s="6"/>
    </row>
    <row r="214" spans="1:2">
      <c r="A214" s="6"/>
      <c r="B214" s="6"/>
    </row>
    <row r="215" spans="1:2">
      <c r="A215" s="6"/>
      <c r="B215" s="6"/>
    </row>
    <row r="216" spans="1:2">
      <c r="A216" s="6"/>
      <c r="B216" s="6"/>
    </row>
    <row r="217" spans="1:2">
      <c r="A217" s="6"/>
      <c r="B217" s="6"/>
    </row>
    <row r="218" spans="1:2">
      <c r="A218" s="6"/>
      <c r="B218" s="6"/>
    </row>
    <row r="219" spans="1:2">
      <c r="A219" s="6"/>
      <c r="B219" s="6"/>
    </row>
    <row r="220" spans="1:2">
      <c r="A220" s="6"/>
      <c r="B220" s="6"/>
    </row>
    <row r="221" spans="1:2">
      <c r="A221" s="6"/>
      <c r="B221" s="6"/>
    </row>
    <row r="222" spans="1:2">
      <c r="A222" s="6"/>
      <c r="B222" s="6"/>
    </row>
    <row r="223" spans="1:2">
      <c r="A223" s="6"/>
      <c r="B223" s="6"/>
    </row>
    <row r="224" spans="1:2">
      <c r="A224" s="6"/>
      <c r="B224" s="6"/>
    </row>
    <row r="225" spans="1:2">
      <c r="A225" s="6"/>
      <c r="B225" s="6"/>
    </row>
    <row r="226" spans="1:2">
      <c r="A226" s="6"/>
      <c r="B226" s="6"/>
    </row>
    <row r="227" spans="1:2">
      <c r="A227" s="6"/>
      <c r="B227" s="6"/>
    </row>
    <row r="228" spans="1:2">
      <c r="A228" s="6"/>
      <c r="B228" s="6"/>
    </row>
    <row r="229" spans="1:2">
      <c r="A229" s="6"/>
      <c r="B229" s="6"/>
    </row>
    <row r="230" spans="1:2">
      <c r="A230" s="6"/>
      <c r="B230" s="6"/>
    </row>
    <row r="231" spans="1:2">
      <c r="A231" s="6"/>
      <c r="B231" s="6"/>
    </row>
    <row r="232" spans="1:2">
      <c r="A232" s="6"/>
      <c r="B232" s="6"/>
    </row>
    <row r="233" spans="1:2">
      <c r="A233" s="6"/>
      <c r="B233" s="6"/>
    </row>
    <row r="234" spans="1:2">
      <c r="A234" s="6"/>
      <c r="B234" s="6"/>
    </row>
    <row r="235" spans="1:2">
      <c r="A235" s="6"/>
      <c r="B235" s="6"/>
    </row>
    <row r="236" spans="1:2">
      <c r="A236" s="6"/>
      <c r="B236" s="6"/>
    </row>
    <row r="237" spans="1:2">
      <c r="A237" s="6"/>
      <c r="B237" s="6"/>
    </row>
    <row r="238" spans="1:2">
      <c r="A238" s="6"/>
      <c r="B238" s="6"/>
    </row>
    <row r="239" spans="1:2">
      <c r="A239" s="6"/>
      <c r="B239" s="6"/>
    </row>
    <row r="240" spans="1:2">
      <c r="A240" s="6"/>
      <c r="B240" s="6"/>
    </row>
    <row r="241" spans="1:2">
      <c r="A241" s="6"/>
      <c r="B241" s="6"/>
    </row>
    <row r="242" spans="1:2">
      <c r="A242" s="6"/>
      <c r="B242" s="6"/>
    </row>
    <row r="243" spans="1:2">
      <c r="A243" s="6"/>
      <c r="B243" s="6"/>
    </row>
    <row r="244" spans="1:2">
      <c r="A244" s="6"/>
      <c r="B244" s="6"/>
    </row>
    <row r="245" spans="1:2">
      <c r="A245" s="6"/>
      <c r="B245" s="6"/>
    </row>
    <row r="246" spans="1:2">
      <c r="A246" s="6"/>
      <c r="B246" s="6"/>
    </row>
    <row r="247" spans="1:2">
      <c r="A247" s="6"/>
      <c r="B247" s="6"/>
    </row>
    <row r="248" spans="1:2">
      <c r="A248" s="6"/>
      <c r="B248" s="6"/>
    </row>
    <row r="249" spans="1:2">
      <c r="A249" s="6"/>
      <c r="B249" s="6"/>
    </row>
    <row r="250" spans="1:2">
      <c r="A250" s="6"/>
      <c r="B250" s="6"/>
    </row>
    <row r="251" spans="1:2">
      <c r="A251" s="6"/>
      <c r="B251" s="6"/>
    </row>
    <row r="252" spans="1:2">
      <c r="A252" s="6"/>
      <c r="B252" s="6"/>
    </row>
    <row r="253" spans="1:2">
      <c r="A253" s="6"/>
      <c r="B253" s="6"/>
    </row>
    <row r="254" spans="1:2">
      <c r="A254" s="6"/>
      <c r="B254" s="6"/>
    </row>
    <row r="255" spans="1:2">
      <c r="A255" s="6"/>
      <c r="B255" s="6"/>
    </row>
    <row r="256" spans="1:2">
      <c r="A256" s="6"/>
      <c r="B256" s="6"/>
    </row>
    <row r="257" spans="1:2">
      <c r="A257" s="6"/>
      <c r="B257" s="6"/>
    </row>
    <row r="258" spans="1:2">
      <c r="A258" s="6"/>
      <c r="B258" s="6"/>
    </row>
    <row r="259" spans="1:2">
      <c r="A259" s="6"/>
      <c r="B259" s="6"/>
    </row>
    <row r="260" spans="1:2">
      <c r="A260" s="6"/>
      <c r="B260" s="6"/>
    </row>
    <row r="261" spans="1:2">
      <c r="A261" s="6"/>
      <c r="B261" s="6"/>
    </row>
    <row r="262" spans="1:2">
      <c r="A262" s="6"/>
      <c r="B262" s="6"/>
    </row>
  </sheetData>
  <mergeCells count="7">
    <mergeCell ref="A61:L61"/>
    <mergeCell ref="A76:L76"/>
    <mergeCell ref="A1:P1"/>
    <mergeCell ref="A2:P2"/>
    <mergeCell ref="A3:P3"/>
    <mergeCell ref="A44:J44"/>
    <mergeCell ref="A47:J47"/>
  </mergeCells>
  <phoneticPr fontId="0" type="noConversion"/>
  <pageMargins left="0.35" right="0" top="0.75" bottom="0.5" header="0.5" footer="0"/>
  <pageSetup scale="73" fitToHeight="0" orientation="landscape" r:id="rId1"/>
  <headerFooter alignWithMargins="0">
    <oddFooter>&amp;L&amp;8&amp;F, &amp;A&amp;R&amp;8&amp;D   &amp;T</oddFooter>
  </headerFooter>
  <rowBreaks count="1" manualBreakCount="1">
    <brk id="31" max="15"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9"/>
  <sheetViews>
    <sheetView workbookViewId="0"/>
  </sheetViews>
  <sheetFormatPr defaultRowHeight="12.75"/>
  <cols>
    <col min="1" max="1" width="33.42578125" customWidth="1"/>
    <col min="2" max="2" width="14.7109375" customWidth="1"/>
    <col min="3" max="47" width="0" hidden="1" customWidth="1"/>
    <col min="48" max="48" width="2.5703125" customWidth="1"/>
    <col min="49" max="49" width="8.5703125" customWidth="1"/>
    <col min="50" max="50" width="8.28515625" hidden="1" customWidth="1"/>
    <col min="51" max="51" width="11.5703125" hidden="1" customWidth="1"/>
    <col min="52" max="52" width="15.140625" hidden="1" customWidth="1"/>
    <col min="53" max="53" width="11.7109375" hidden="1" customWidth="1"/>
    <col min="54" max="56" width="11.5703125" hidden="1" customWidth="1"/>
    <col min="57" max="57" width="11.28515625" hidden="1" customWidth="1"/>
    <col min="58" max="58" width="12.140625" hidden="1" customWidth="1"/>
    <col min="59" max="59" width="12.7109375" hidden="1" customWidth="1"/>
    <col min="60" max="60" width="2.42578125" customWidth="1"/>
    <col min="61" max="61" width="0" hidden="1" customWidth="1"/>
  </cols>
  <sheetData>
    <row r="1" spans="1:61" ht="15">
      <c r="A1" s="6" t="s">
        <v>400</v>
      </c>
      <c r="D1" s="192"/>
      <c r="E1" s="192"/>
      <c r="F1" s="192"/>
      <c r="G1" s="192"/>
      <c r="H1" s="192"/>
      <c r="I1" s="192"/>
      <c r="J1" s="192"/>
      <c r="K1" s="192"/>
      <c r="L1" s="192"/>
      <c r="M1" s="192"/>
      <c r="N1" s="192"/>
      <c r="O1" s="192"/>
      <c r="P1" s="192"/>
      <c r="Q1" s="192"/>
      <c r="R1" s="192"/>
      <c r="S1" s="221" t="s">
        <v>369</v>
      </c>
      <c r="T1" s="192"/>
      <c r="U1" s="192"/>
      <c r="V1" s="192"/>
      <c r="W1" s="192"/>
      <c r="X1" s="192"/>
      <c r="Y1" s="192"/>
      <c r="Z1" s="192"/>
      <c r="AA1" s="192"/>
      <c r="AB1" s="192"/>
      <c r="AC1" s="192"/>
      <c r="AD1" s="192"/>
      <c r="AE1" s="192"/>
      <c r="AF1" s="192"/>
      <c r="AG1" s="192"/>
      <c r="AH1" s="192"/>
      <c r="AI1" s="192"/>
      <c r="AJ1" s="192"/>
      <c r="AK1" s="222"/>
      <c r="AL1" s="192"/>
      <c r="AM1" s="192"/>
      <c r="AN1" s="192"/>
      <c r="AO1" s="192"/>
      <c r="AP1" s="192"/>
      <c r="AW1" s="228" t="s">
        <v>23</v>
      </c>
      <c r="AX1" s="39" t="s">
        <v>370</v>
      </c>
      <c r="AY1" s="39" t="s">
        <v>371</v>
      </c>
      <c r="AZ1" s="39" t="s">
        <v>372</v>
      </c>
      <c r="BA1" s="39" t="s">
        <v>373</v>
      </c>
      <c r="BB1" s="39" t="s">
        <v>374</v>
      </c>
      <c r="BC1" s="39" t="s">
        <v>375</v>
      </c>
      <c r="BD1" s="39" t="s">
        <v>376</v>
      </c>
      <c r="BE1" s="39" t="s">
        <v>377</v>
      </c>
      <c r="BF1" s="39" t="s">
        <v>378</v>
      </c>
      <c r="BG1" s="39" t="s">
        <v>379</v>
      </c>
      <c r="BH1" s="223"/>
    </row>
    <row r="2" spans="1:61">
      <c r="T2" s="192"/>
      <c r="U2" s="192"/>
      <c r="V2" s="192"/>
      <c r="W2" s="192">
        <v>1408.104</v>
      </c>
      <c r="X2" s="192"/>
      <c r="Y2" s="192"/>
      <c r="Z2" s="192"/>
      <c r="AA2" s="192"/>
      <c r="AB2" s="192"/>
      <c r="AC2" s="192"/>
      <c r="AD2" s="192"/>
      <c r="AE2" s="192"/>
      <c r="AF2" s="192"/>
      <c r="AG2" s="192"/>
      <c r="AH2" s="192"/>
      <c r="AI2" s="192">
        <f t="shared" ref="AI2:AI9" si="0">SUM(H2:AH2)</f>
        <v>1408.104</v>
      </c>
      <c r="AJ2" s="192">
        <f>D15-AI2</f>
        <v>2025.896</v>
      </c>
      <c r="AK2" s="222"/>
      <c r="AL2" s="192">
        <f t="shared" ref="AL2:AP3" si="1">H15</f>
        <v>0</v>
      </c>
      <c r="AM2" s="192">
        <f t="shared" si="1"/>
        <v>0</v>
      </c>
      <c r="AN2" s="192">
        <f t="shared" si="1"/>
        <v>0</v>
      </c>
      <c r="AO2" s="192">
        <f t="shared" si="1"/>
        <v>0</v>
      </c>
      <c r="AP2" s="192">
        <f t="shared" si="1"/>
        <v>0</v>
      </c>
      <c r="AW2" s="232" t="s">
        <v>399</v>
      </c>
    </row>
    <row r="3" spans="1:61">
      <c r="T3" s="192">
        <v>100</v>
      </c>
      <c r="U3" s="192">
        <v>1026.6500000000001</v>
      </c>
      <c r="V3" s="192">
        <v>1700</v>
      </c>
      <c r="W3" s="192">
        <v>5580.3680000000004</v>
      </c>
      <c r="X3" s="192"/>
      <c r="Y3" s="192">
        <v>1364.06</v>
      </c>
      <c r="Z3" s="192">
        <v>826.65</v>
      </c>
      <c r="AA3" s="192">
        <v>900</v>
      </c>
      <c r="AB3" s="192"/>
      <c r="AC3" s="192"/>
      <c r="AD3" s="192"/>
      <c r="AE3" s="192"/>
      <c r="AF3" s="192"/>
      <c r="AG3" s="192"/>
      <c r="AH3" s="192"/>
      <c r="AI3" s="192">
        <f t="shared" si="0"/>
        <v>11497.727999999999</v>
      </c>
      <c r="AJ3" s="192">
        <f>D16-AI3</f>
        <v>10640.272000000001</v>
      </c>
      <c r="AK3" s="222"/>
      <c r="AL3" s="192">
        <f t="shared" si="1"/>
        <v>0</v>
      </c>
      <c r="AM3" s="192">
        <f t="shared" si="1"/>
        <v>0</v>
      </c>
      <c r="AN3" s="192">
        <f t="shared" si="1"/>
        <v>0</v>
      </c>
      <c r="AO3" s="192">
        <f t="shared" si="1"/>
        <v>0</v>
      </c>
      <c r="AP3" s="192">
        <f t="shared" si="1"/>
        <v>0</v>
      </c>
      <c r="AW3" s="229"/>
    </row>
    <row r="4" spans="1:61">
      <c r="A4" t="s">
        <v>380</v>
      </c>
      <c r="B4" t="s">
        <v>381</v>
      </c>
      <c r="C4">
        <v>100072</v>
      </c>
      <c r="D4" s="192">
        <v>367</v>
      </c>
      <c r="E4" s="192"/>
      <c r="F4" s="192" t="s">
        <v>382</v>
      </c>
      <c r="G4" s="192"/>
      <c r="H4" s="192"/>
      <c r="I4" s="192"/>
      <c r="J4" s="192"/>
      <c r="K4" s="192"/>
      <c r="L4" s="192"/>
      <c r="M4" s="192"/>
      <c r="N4" s="192"/>
      <c r="O4" s="192"/>
      <c r="P4" s="192"/>
      <c r="Q4" s="192"/>
      <c r="R4" s="192"/>
      <c r="S4" s="192">
        <v>216.44200000000001</v>
      </c>
      <c r="T4" s="192"/>
      <c r="U4" s="192"/>
      <c r="V4" s="192"/>
      <c r="W4" s="192">
        <v>150.40899999999999</v>
      </c>
      <c r="X4" s="192"/>
      <c r="Y4" s="192"/>
      <c r="Z4" s="192"/>
      <c r="AA4" s="192"/>
      <c r="AB4" s="192"/>
      <c r="AC4" s="192"/>
      <c r="AD4" s="192"/>
      <c r="AE4" s="192"/>
      <c r="AF4" s="192"/>
      <c r="AG4" s="192"/>
      <c r="AH4" s="192"/>
      <c r="AI4" s="192">
        <f t="shared" si="0"/>
        <v>366.851</v>
      </c>
      <c r="AJ4" s="192">
        <f t="shared" ref="AJ4:AJ9" si="2">D4-AI4</f>
        <v>0.14900000000000091</v>
      </c>
      <c r="AK4" s="222"/>
      <c r="AL4" s="192">
        <f t="shared" ref="AL4:AP9" si="3">H4</f>
        <v>0</v>
      </c>
      <c r="AM4" s="192">
        <f t="shared" si="3"/>
        <v>0</v>
      </c>
      <c r="AN4" s="192">
        <f t="shared" si="3"/>
        <v>0</v>
      </c>
      <c r="AO4" s="192">
        <f t="shared" si="3"/>
        <v>0</v>
      </c>
      <c r="AP4" s="192">
        <f t="shared" si="3"/>
        <v>0</v>
      </c>
      <c r="AW4" s="230"/>
      <c r="AX4" s="192"/>
      <c r="AY4" s="192">
        <f>+S4*0.25</f>
        <v>54.110500000000002</v>
      </c>
      <c r="AZ4" s="192">
        <f>+S4*0.75</f>
        <v>162.33150000000001</v>
      </c>
      <c r="BA4" s="192"/>
      <c r="BB4" s="192"/>
      <c r="BC4" s="192"/>
      <c r="BD4" s="192"/>
      <c r="BE4" s="192"/>
      <c r="BF4" s="192"/>
      <c r="BG4" s="192"/>
      <c r="BH4" s="192"/>
      <c r="BI4" t="s">
        <v>383</v>
      </c>
    </row>
    <row r="5" spans="1:61">
      <c r="A5" t="s">
        <v>384</v>
      </c>
      <c r="B5" t="s">
        <v>381</v>
      </c>
      <c r="C5">
        <v>100085</v>
      </c>
      <c r="D5" s="192">
        <v>673</v>
      </c>
      <c r="E5" s="192"/>
      <c r="F5" s="192" t="s">
        <v>382</v>
      </c>
      <c r="G5" s="192"/>
      <c r="H5" s="192"/>
      <c r="I5" s="192"/>
      <c r="J5" s="192"/>
      <c r="K5" s="192"/>
      <c r="L5" s="192"/>
      <c r="M5" s="192"/>
      <c r="N5" s="192"/>
      <c r="O5" s="192"/>
      <c r="P5" s="192"/>
      <c r="Q5" s="192"/>
      <c r="R5" s="192"/>
      <c r="S5" s="192">
        <v>397.24700000000001</v>
      </c>
      <c r="T5" s="192"/>
      <c r="U5" s="192"/>
      <c r="V5" s="192"/>
      <c r="W5" s="192">
        <v>276.053</v>
      </c>
      <c r="X5" s="192"/>
      <c r="Y5" s="192"/>
      <c r="Z5" s="192"/>
      <c r="AA5" s="192"/>
      <c r="AB5" s="192"/>
      <c r="AC5" s="192"/>
      <c r="AD5" s="192"/>
      <c r="AE5" s="192"/>
      <c r="AF5" s="192"/>
      <c r="AG5" s="192"/>
      <c r="AH5" s="192"/>
      <c r="AI5" s="192">
        <f t="shared" si="0"/>
        <v>673.3</v>
      </c>
      <c r="AJ5" s="192">
        <f t="shared" si="2"/>
        <v>-0.29999999999995453</v>
      </c>
      <c r="AK5" s="222"/>
      <c r="AL5" s="192">
        <f t="shared" si="3"/>
        <v>0</v>
      </c>
      <c r="AM5" s="192">
        <f t="shared" si="3"/>
        <v>0</v>
      </c>
      <c r="AN5" s="192">
        <f t="shared" si="3"/>
        <v>0</v>
      </c>
      <c r="AO5" s="192">
        <f t="shared" si="3"/>
        <v>0</v>
      </c>
      <c r="AP5" s="192">
        <f t="shared" si="3"/>
        <v>0</v>
      </c>
      <c r="AW5" s="230"/>
      <c r="AX5" s="192"/>
      <c r="AY5" s="192"/>
      <c r="AZ5" s="192"/>
      <c r="BA5" s="192">
        <f>+S5*0.25</f>
        <v>99.311750000000004</v>
      </c>
      <c r="BB5" s="192">
        <f>+S5*0.75</f>
        <v>297.93525</v>
      </c>
      <c r="BC5" s="192"/>
      <c r="BD5" s="192"/>
      <c r="BE5" s="192"/>
      <c r="BF5" s="192"/>
      <c r="BG5" s="192"/>
      <c r="BH5" s="192"/>
      <c r="BI5" t="s">
        <v>383</v>
      </c>
    </row>
    <row r="6" spans="1:61">
      <c r="A6" t="s">
        <v>385</v>
      </c>
      <c r="B6" t="s">
        <v>381</v>
      </c>
      <c r="C6">
        <v>100086</v>
      </c>
      <c r="D6" s="192">
        <v>1155</v>
      </c>
      <c r="E6" s="192"/>
      <c r="F6" s="192" t="s">
        <v>382</v>
      </c>
      <c r="G6" s="192"/>
      <c r="H6" s="192"/>
      <c r="I6" s="192"/>
      <c r="J6" s="192"/>
      <c r="K6" s="192"/>
      <c r="L6" s="192"/>
      <c r="M6" s="192"/>
      <c r="N6" s="192"/>
      <c r="O6" s="192"/>
      <c r="P6" s="192"/>
      <c r="Q6" s="192"/>
      <c r="R6" s="192"/>
      <c r="S6" s="192">
        <v>1155.1569999999999</v>
      </c>
      <c r="T6" s="192"/>
      <c r="U6" s="192"/>
      <c r="V6" s="192"/>
      <c r="W6" s="192"/>
      <c r="X6" s="192"/>
      <c r="Y6" s="192"/>
      <c r="Z6" s="192"/>
      <c r="AA6" s="192"/>
      <c r="AB6" s="192"/>
      <c r="AC6" s="192"/>
      <c r="AD6" s="192"/>
      <c r="AE6" s="192"/>
      <c r="AF6" s="192"/>
      <c r="AG6" s="192"/>
      <c r="AH6" s="192"/>
      <c r="AI6" s="192">
        <f t="shared" si="0"/>
        <v>1155.1569999999999</v>
      </c>
      <c r="AJ6" s="192">
        <f t="shared" si="2"/>
        <v>-0.15699999999992542</v>
      </c>
      <c r="AK6" s="222"/>
      <c r="AL6" s="192">
        <f t="shared" si="3"/>
        <v>0</v>
      </c>
      <c r="AM6" s="192">
        <f t="shared" si="3"/>
        <v>0</v>
      </c>
      <c r="AN6" s="192">
        <f t="shared" si="3"/>
        <v>0</v>
      </c>
      <c r="AO6" s="192">
        <f t="shared" si="3"/>
        <v>0</v>
      </c>
      <c r="AP6" s="192">
        <f t="shared" si="3"/>
        <v>0</v>
      </c>
      <c r="AW6" s="230">
        <v>1155</v>
      </c>
      <c r="AX6" s="192"/>
      <c r="AY6" s="192"/>
      <c r="AZ6" s="192"/>
      <c r="BA6" s="192"/>
      <c r="BB6" s="192"/>
      <c r="BC6" s="192"/>
      <c r="BD6" s="192"/>
      <c r="BE6" s="192"/>
      <c r="BF6" s="192"/>
      <c r="BG6" s="192"/>
      <c r="BH6" s="192"/>
      <c r="BI6" t="s">
        <v>386</v>
      </c>
    </row>
    <row r="7" spans="1:61">
      <c r="A7" t="s">
        <v>387</v>
      </c>
      <c r="B7" t="s">
        <v>381</v>
      </c>
      <c r="C7">
        <v>100087</v>
      </c>
      <c r="D7" s="192">
        <v>1028</v>
      </c>
      <c r="E7" s="192"/>
      <c r="F7" s="192" t="s">
        <v>382</v>
      </c>
      <c r="G7" s="192"/>
      <c r="H7" s="192"/>
      <c r="I7" s="192"/>
      <c r="J7" s="192"/>
      <c r="K7" s="192"/>
      <c r="L7" s="192"/>
      <c r="M7" s="192"/>
      <c r="N7" s="192"/>
      <c r="O7" s="192"/>
      <c r="P7" s="192"/>
      <c r="Q7" s="192"/>
      <c r="R7" s="192"/>
      <c r="S7" s="192">
        <v>606.58600000000001</v>
      </c>
      <c r="T7" s="192"/>
      <c r="U7" s="192"/>
      <c r="V7" s="192"/>
      <c r="W7" s="192">
        <v>421.52600000000001</v>
      </c>
      <c r="X7" s="192"/>
      <c r="Y7" s="192"/>
      <c r="Z7" s="192"/>
      <c r="AA7" s="192"/>
      <c r="AB7" s="192"/>
      <c r="AC7" s="192"/>
      <c r="AD7" s="192"/>
      <c r="AE7" s="192"/>
      <c r="AF7" s="192"/>
      <c r="AG7" s="192"/>
      <c r="AH7" s="192"/>
      <c r="AI7" s="192">
        <f t="shared" si="0"/>
        <v>1028.1120000000001</v>
      </c>
      <c r="AJ7" s="192">
        <f t="shared" si="2"/>
        <v>-0.11200000000008004</v>
      </c>
      <c r="AK7" s="222"/>
      <c r="AL7" s="192">
        <f t="shared" si="3"/>
        <v>0</v>
      </c>
      <c r="AM7" s="192">
        <f t="shared" si="3"/>
        <v>0</v>
      </c>
      <c r="AN7" s="192">
        <f t="shared" si="3"/>
        <v>0</v>
      </c>
      <c r="AO7" s="192">
        <f t="shared" si="3"/>
        <v>0</v>
      </c>
      <c r="AP7" s="192">
        <f t="shared" si="3"/>
        <v>0</v>
      </c>
      <c r="AW7" s="230"/>
      <c r="AX7" s="192"/>
      <c r="AY7" s="192"/>
      <c r="AZ7" s="192"/>
      <c r="BA7" s="192"/>
      <c r="BB7" s="192"/>
      <c r="BC7" s="192">
        <f>(+S7*0.75)/2</f>
        <v>227.46975</v>
      </c>
      <c r="BD7" s="192">
        <f>(+S7*0.75)/2</f>
        <v>227.46975</v>
      </c>
      <c r="BE7" s="192">
        <f>+S7*0.25</f>
        <v>151.6465</v>
      </c>
      <c r="BF7" s="192"/>
      <c r="BG7" s="192"/>
      <c r="BH7" s="192"/>
      <c r="BI7" t="s">
        <v>383</v>
      </c>
    </row>
    <row r="8" spans="1:61">
      <c r="A8" t="s">
        <v>388</v>
      </c>
      <c r="B8" t="s">
        <v>381</v>
      </c>
      <c r="C8">
        <v>100088</v>
      </c>
      <c r="D8" s="192">
        <v>704</v>
      </c>
      <c r="E8" s="192"/>
      <c r="F8" s="192" t="s">
        <v>382</v>
      </c>
      <c r="G8" s="192"/>
      <c r="H8" s="192"/>
      <c r="I8" s="192"/>
      <c r="J8" s="192"/>
      <c r="K8" s="192"/>
      <c r="L8" s="192"/>
      <c r="M8" s="192"/>
      <c r="N8" s="192"/>
      <c r="O8" s="192"/>
      <c r="P8" s="192"/>
      <c r="Q8" s="192"/>
      <c r="R8" s="192"/>
      <c r="S8" s="192">
        <v>415.065</v>
      </c>
      <c r="T8" s="192"/>
      <c r="U8" s="192"/>
      <c r="V8" s="192"/>
      <c r="W8" s="192">
        <v>288.435</v>
      </c>
      <c r="X8" s="192"/>
      <c r="Y8" s="192"/>
      <c r="Z8" s="192"/>
      <c r="AA8" s="192"/>
      <c r="AB8" s="192"/>
      <c r="AC8" s="192"/>
      <c r="AD8" s="192"/>
      <c r="AE8" s="192"/>
      <c r="AF8" s="192"/>
      <c r="AG8" s="192"/>
      <c r="AH8" s="192"/>
      <c r="AI8" s="192">
        <f t="shared" si="0"/>
        <v>703.5</v>
      </c>
      <c r="AJ8" s="192">
        <f t="shared" si="2"/>
        <v>0.5</v>
      </c>
      <c r="AK8" s="222"/>
      <c r="AL8" s="192">
        <f t="shared" si="3"/>
        <v>0</v>
      </c>
      <c r="AM8" s="192">
        <f t="shared" si="3"/>
        <v>0</v>
      </c>
      <c r="AN8" s="192">
        <f t="shared" si="3"/>
        <v>0</v>
      </c>
      <c r="AO8" s="192">
        <f t="shared" si="3"/>
        <v>0</v>
      </c>
      <c r="AP8" s="192">
        <f t="shared" si="3"/>
        <v>0</v>
      </c>
      <c r="AW8" s="230"/>
      <c r="AX8" s="192"/>
      <c r="AY8" s="192"/>
      <c r="AZ8" s="192"/>
      <c r="BA8" s="192"/>
      <c r="BB8" s="192"/>
      <c r="BC8" s="192"/>
      <c r="BD8" s="192"/>
      <c r="BE8" s="192"/>
      <c r="BF8" s="192">
        <f>+S8*0.75</f>
        <v>311.29874999999998</v>
      </c>
      <c r="BG8" s="192">
        <f>+S8*0.25</f>
        <v>103.76625</v>
      </c>
      <c r="BH8" s="192"/>
      <c r="BI8" t="s">
        <v>383</v>
      </c>
    </row>
    <row r="9" spans="1:61">
      <c r="A9" t="s">
        <v>389</v>
      </c>
      <c r="B9" t="s">
        <v>381</v>
      </c>
      <c r="C9">
        <v>100100</v>
      </c>
      <c r="D9" s="192">
        <v>503</v>
      </c>
      <c r="E9" s="192"/>
      <c r="F9" s="192" t="s">
        <v>382</v>
      </c>
      <c r="G9" s="192"/>
      <c r="H9" s="192"/>
      <c r="I9" s="192"/>
      <c r="J9" s="192"/>
      <c r="K9" s="192"/>
      <c r="L9" s="192"/>
      <c r="M9" s="192"/>
      <c r="N9" s="192"/>
      <c r="O9" s="192"/>
      <c r="P9" s="192"/>
      <c r="Q9" s="192"/>
      <c r="R9" s="192"/>
      <c r="S9" s="192">
        <v>503.09899999999999</v>
      </c>
      <c r="T9" s="192"/>
      <c r="U9" s="192"/>
      <c r="V9" s="192"/>
      <c r="W9" s="192"/>
      <c r="X9" s="192"/>
      <c r="Y9" s="192"/>
      <c r="Z9" s="192"/>
      <c r="AA9" s="192"/>
      <c r="AB9" s="192"/>
      <c r="AC9" s="192"/>
      <c r="AD9" s="192"/>
      <c r="AE9" s="192"/>
      <c r="AF9" s="192"/>
      <c r="AG9" s="192"/>
      <c r="AH9" s="192"/>
      <c r="AI9" s="192">
        <f t="shared" si="0"/>
        <v>503.09899999999999</v>
      </c>
      <c r="AJ9" s="192">
        <f t="shared" si="2"/>
        <v>-9.8999999999989541E-2</v>
      </c>
      <c r="AK9" s="222"/>
      <c r="AL9" s="192">
        <f t="shared" si="3"/>
        <v>0</v>
      </c>
      <c r="AM9" s="192">
        <f t="shared" si="3"/>
        <v>0</v>
      </c>
      <c r="AN9" s="192">
        <f t="shared" si="3"/>
        <v>0</v>
      </c>
      <c r="AO9" s="192">
        <f t="shared" si="3"/>
        <v>0</v>
      </c>
      <c r="AP9" s="192">
        <f t="shared" si="3"/>
        <v>0</v>
      </c>
      <c r="AW9" s="230"/>
      <c r="AX9" s="192">
        <v>503</v>
      </c>
      <c r="AY9" s="192"/>
      <c r="AZ9" s="192"/>
      <c r="BA9" s="192"/>
      <c r="BB9" s="192"/>
      <c r="BC9" s="192"/>
      <c r="BD9" s="192"/>
      <c r="BE9" s="192"/>
      <c r="BF9" s="192"/>
      <c r="BG9" s="192"/>
      <c r="BH9" s="192"/>
      <c r="BI9" t="s">
        <v>390</v>
      </c>
    </row>
    <row r="10" spans="1:61">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222"/>
      <c r="AL10" s="192"/>
      <c r="AM10" s="192"/>
      <c r="AN10" s="192"/>
      <c r="AO10" s="192"/>
      <c r="AP10" s="192"/>
      <c r="AW10" s="230"/>
      <c r="AX10" s="192"/>
      <c r="AY10" s="192"/>
      <c r="AZ10" s="192"/>
      <c r="BA10" s="192"/>
      <c r="BB10" s="192"/>
      <c r="BC10" s="192"/>
      <c r="BD10" s="192"/>
      <c r="BE10" s="192"/>
      <c r="BF10" s="192"/>
      <c r="BG10" s="192"/>
      <c r="BH10" s="192"/>
    </row>
    <row r="11" spans="1:61">
      <c r="D11" s="192"/>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222"/>
      <c r="AL11" s="192"/>
      <c r="AM11" s="192"/>
      <c r="AN11" s="192"/>
      <c r="AO11" s="192"/>
      <c r="AP11" s="192"/>
      <c r="AW11" s="230"/>
      <c r="AX11" s="192"/>
      <c r="AY11" s="192"/>
      <c r="AZ11" s="192"/>
      <c r="BA11" s="192"/>
      <c r="BB11" s="192"/>
      <c r="BC11" s="192"/>
      <c r="BD11" s="192"/>
      <c r="BE11" s="192"/>
      <c r="BF11" s="192"/>
      <c r="BG11" s="192"/>
      <c r="BH11" s="192"/>
    </row>
    <row r="12" spans="1:61">
      <c r="A12" t="s">
        <v>391</v>
      </c>
      <c r="B12" t="s">
        <v>381</v>
      </c>
      <c r="C12">
        <v>100108</v>
      </c>
      <c r="D12" s="192">
        <v>1131</v>
      </c>
      <c r="E12" s="192"/>
      <c r="F12" s="192" t="s">
        <v>382</v>
      </c>
      <c r="G12" s="192"/>
      <c r="H12" s="192"/>
      <c r="I12" s="192"/>
      <c r="J12" s="192"/>
      <c r="K12" s="192"/>
      <c r="L12" s="192"/>
      <c r="M12" s="192"/>
      <c r="N12" s="192"/>
      <c r="O12" s="192"/>
      <c r="P12" s="192"/>
      <c r="Q12" s="192"/>
      <c r="R12" s="192"/>
      <c r="S12" s="192">
        <v>666.995</v>
      </c>
      <c r="T12" s="192"/>
      <c r="U12" s="192"/>
      <c r="V12" s="192"/>
      <c r="W12" s="192">
        <v>463.505</v>
      </c>
      <c r="X12" s="192"/>
      <c r="Y12" s="192"/>
      <c r="Z12" s="192"/>
      <c r="AA12" s="192"/>
      <c r="AB12" s="192"/>
      <c r="AC12" s="192"/>
      <c r="AD12" s="192"/>
      <c r="AE12" s="192"/>
      <c r="AF12" s="192"/>
      <c r="AG12" s="192"/>
      <c r="AH12" s="192"/>
      <c r="AI12" s="192">
        <f>SUM(H12:AH12)</f>
        <v>1130.5</v>
      </c>
      <c r="AJ12" s="192">
        <f>D12-AI12</f>
        <v>0.5</v>
      </c>
      <c r="AK12" s="222"/>
      <c r="AL12" s="192">
        <f t="shared" ref="AL12:AP14" si="4">H12</f>
        <v>0</v>
      </c>
      <c r="AM12" s="192">
        <f t="shared" si="4"/>
        <v>0</v>
      </c>
      <c r="AN12" s="192">
        <f t="shared" si="4"/>
        <v>0</v>
      </c>
      <c r="AO12" s="192">
        <f t="shared" si="4"/>
        <v>0</v>
      </c>
      <c r="AP12" s="192">
        <f t="shared" si="4"/>
        <v>0</v>
      </c>
      <c r="AW12" s="230">
        <f t="shared" ref="AW12:BG12" si="5">+$S$12/11</f>
        <v>60.635909090909088</v>
      </c>
      <c r="AX12" s="192">
        <f t="shared" si="5"/>
        <v>60.635909090909088</v>
      </c>
      <c r="AY12" s="192">
        <f t="shared" si="5"/>
        <v>60.635909090909088</v>
      </c>
      <c r="AZ12" s="192">
        <f t="shared" si="5"/>
        <v>60.635909090909088</v>
      </c>
      <c r="BA12" s="192">
        <f t="shared" si="5"/>
        <v>60.635909090909088</v>
      </c>
      <c r="BB12" s="192">
        <f t="shared" si="5"/>
        <v>60.635909090909088</v>
      </c>
      <c r="BC12" s="192">
        <f t="shared" si="5"/>
        <v>60.635909090909088</v>
      </c>
      <c r="BD12" s="192">
        <f t="shared" si="5"/>
        <v>60.635909090909088</v>
      </c>
      <c r="BE12" s="192">
        <f t="shared" si="5"/>
        <v>60.635909090909088</v>
      </c>
      <c r="BF12" s="192">
        <f t="shared" si="5"/>
        <v>60.635909090909088</v>
      </c>
      <c r="BG12" s="192">
        <f t="shared" si="5"/>
        <v>60.635909090909088</v>
      </c>
      <c r="BH12" s="192"/>
      <c r="BI12" t="s">
        <v>392</v>
      </c>
    </row>
    <row r="13" spans="1:61">
      <c r="A13" t="s">
        <v>393</v>
      </c>
      <c r="B13" t="s">
        <v>381</v>
      </c>
      <c r="C13">
        <v>103246</v>
      </c>
      <c r="D13" s="192">
        <v>292</v>
      </c>
      <c r="E13" s="192"/>
      <c r="F13" s="192" t="s">
        <v>382</v>
      </c>
      <c r="G13" s="192"/>
      <c r="H13" s="192"/>
      <c r="I13" s="192"/>
      <c r="J13" s="192"/>
      <c r="K13" s="192"/>
      <c r="L13" s="192"/>
      <c r="M13" s="192"/>
      <c r="N13" s="192"/>
      <c r="O13" s="192"/>
      <c r="P13" s="192"/>
      <c r="Q13" s="192"/>
      <c r="R13" s="192"/>
      <c r="S13" s="192">
        <v>172.28</v>
      </c>
      <c r="T13" s="192"/>
      <c r="U13" s="192"/>
      <c r="V13" s="192"/>
      <c r="W13" s="192">
        <v>119.72</v>
      </c>
      <c r="X13" s="192"/>
      <c r="Y13" s="192"/>
      <c r="Z13" s="192"/>
      <c r="AA13" s="192"/>
      <c r="AB13" s="192"/>
      <c r="AC13" s="192"/>
      <c r="AD13" s="192"/>
      <c r="AE13" s="192"/>
      <c r="AF13" s="192"/>
      <c r="AG13" s="192"/>
      <c r="AH13" s="192"/>
      <c r="AI13" s="192">
        <f>SUM(H13:AH13)</f>
        <v>292</v>
      </c>
      <c r="AJ13" s="192">
        <f>D13-AI13</f>
        <v>0</v>
      </c>
      <c r="AK13" s="222"/>
      <c r="AL13" s="192">
        <f t="shared" si="4"/>
        <v>0</v>
      </c>
      <c r="AM13" s="192">
        <f t="shared" si="4"/>
        <v>0</v>
      </c>
      <c r="AN13" s="192">
        <f t="shared" si="4"/>
        <v>0</v>
      </c>
      <c r="AO13" s="192">
        <f t="shared" si="4"/>
        <v>0</v>
      </c>
      <c r="AP13" s="192">
        <f t="shared" si="4"/>
        <v>0</v>
      </c>
      <c r="AW13" s="230">
        <f t="shared" ref="AW13:BG13" si="6">+$S$13/11</f>
        <v>15.661818181818182</v>
      </c>
      <c r="AX13" s="192">
        <f t="shared" si="6"/>
        <v>15.661818181818182</v>
      </c>
      <c r="AY13" s="192">
        <f t="shared" si="6"/>
        <v>15.661818181818182</v>
      </c>
      <c r="AZ13" s="192">
        <f t="shared" si="6"/>
        <v>15.661818181818182</v>
      </c>
      <c r="BA13" s="192">
        <f t="shared" si="6"/>
        <v>15.661818181818182</v>
      </c>
      <c r="BB13" s="192">
        <f t="shared" si="6"/>
        <v>15.661818181818182</v>
      </c>
      <c r="BC13" s="192">
        <f t="shared" si="6"/>
        <v>15.661818181818182</v>
      </c>
      <c r="BD13" s="192">
        <f t="shared" si="6"/>
        <v>15.661818181818182</v>
      </c>
      <c r="BE13" s="192">
        <f t="shared" si="6"/>
        <v>15.661818181818182</v>
      </c>
      <c r="BF13" s="192">
        <f t="shared" si="6"/>
        <v>15.661818181818182</v>
      </c>
      <c r="BG13" s="192">
        <f t="shared" si="6"/>
        <v>15.661818181818182</v>
      </c>
      <c r="BH13" s="192"/>
      <c r="BI13" t="s">
        <v>392</v>
      </c>
    </row>
    <row r="14" spans="1:61">
      <c r="A14" t="s">
        <v>394</v>
      </c>
      <c r="B14" t="s">
        <v>381</v>
      </c>
      <c r="C14">
        <v>103885</v>
      </c>
      <c r="D14" s="192">
        <v>468</v>
      </c>
      <c r="E14" s="192"/>
      <c r="F14" s="192" t="s">
        <v>382</v>
      </c>
      <c r="G14" s="192"/>
      <c r="H14" s="192"/>
      <c r="I14" s="192"/>
      <c r="J14" s="192"/>
      <c r="K14" s="192"/>
      <c r="L14" s="192"/>
      <c r="M14" s="192"/>
      <c r="N14" s="192"/>
      <c r="O14" s="192"/>
      <c r="P14" s="192"/>
      <c r="Q14" s="192"/>
      <c r="R14" s="192"/>
      <c r="S14" s="192">
        <v>276.12</v>
      </c>
      <c r="T14" s="192"/>
      <c r="U14" s="192"/>
      <c r="V14" s="192"/>
      <c r="W14" s="192">
        <v>191.88</v>
      </c>
      <c r="X14" s="192"/>
      <c r="Y14" s="192"/>
      <c r="Z14" s="192"/>
      <c r="AA14" s="192"/>
      <c r="AB14" s="192"/>
      <c r="AC14" s="192"/>
      <c r="AD14" s="192"/>
      <c r="AE14" s="192"/>
      <c r="AF14" s="192"/>
      <c r="AG14" s="192"/>
      <c r="AH14" s="192"/>
      <c r="AI14" s="192">
        <f>SUM(H14:AH14)</f>
        <v>468</v>
      </c>
      <c r="AJ14" s="192">
        <f>D14-AI14</f>
        <v>0</v>
      </c>
      <c r="AK14" s="222"/>
      <c r="AL14" s="192">
        <f t="shared" si="4"/>
        <v>0</v>
      </c>
      <c r="AM14" s="192">
        <f t="shared" si="4"/>
        <v>0</v>
      </c>
      <c r="AN14" s="192">
        <f t="shared" si="4"/>
        <v>0</v>
      </c>
      <c r="AO14" s="192">
        <f t="shared" si="4"/>
        <v>0</v>
      </c>
      <c r="AP14" s="192">
        <f t="shared" si="4"/>
        <v>0</v>
      </c>
      <c r="AW14" s="230">
        <f t="shared" ref="AW14:BG14" si="7">+$S$14/11</f>
        <v>25.101818181818182</v>
      </c>
      <c r="AX14" s="192">
        <f t="shared" si="7"/>
        <v>25.101818181818182</v>
      </c>
      <c r="AY14" s="192">
        <f t="shared" si="7"/>
        <v>25.101818181818182</v>
      </c>
      <c r="AZ14" s="192">
        <f t="shared" si="7"/>
        <v>25.101818181818182</v>
      </c>
      <c r="BA14" s="192">
        <f t="shared" si="7"/>
        <v>25.101818181818182</v>
      </c>
      <c r="BB14" s="192">
        <f t="shared" si="7"/>
        <v>25.101818181818182</v>
      </c>
      <c r="BC14" s="192">
        <f t="shared" si="7"/>
        <v>25.101818181818182</v>
      </c>
      <c r="BD14" s="192">
        <f t="shared" si="7"/>
        <v>25.101818181818182</v>
      </c>
      <c r="BE14" s="192">
        <f t="shared" si="7"/>
        <v>25.101818181818182</v>
      </c>
      <c r="BF14" s="192">
        <f t="shared" si="7"/>
        <v>25.101818181818182</v>
      </c>
      <c r="BG14" s="192">
        <f t="shared" si="7"/>
        <v>25.101818181818182</v>
      </c>
      <c r="BH14" s="192"/>
      <c r="BI14" t="s">
        <v>392</v>
      </c>
    </row>
    <row r="15" spans="1:61">
      <c r="A15" t="s">
        <v>395</v>
      </c>
      <c r="B15" t="s">
        <v>396</v>
      </c>
      <c r="C15">
        <v>100042</v>
      </c>
      <c r="D15" s="192">
        <v>3434</v>
      </c>
      <c r="E15" s="192"/>
      <c r="F15" s="192" t="s">
        <v>382</v>
      </c>
      <c r="G15" s="192"/>
      <c r="H15" s="192"/>
      <c r="I15" s="192"/>
      <c r="J15" s="192"/>
      <c r="K15" s="192"/>
      <c r="L15" s="192"/>
      <c r="M15" s="192"/>
      <c r="N15" s="192"/>
      <c r="O15" s="192"/>
      <c r="P15" s="192"/>
      <c r="Q15" s="192"/>
      <c r="R15" s="192"/>
      <c r="S15" s="192">
        <v>2026.296</v>
      </c>
      <c r="T15" s="192"/>
      <c r="U15" s="192"/>
      <c r="V15" s="192"/>
      <c r="W15" s="192"/>
      <c r="X15" s="192"/>
      <c r="Y15" s="192"/>
      <c r="Z15" s="192"/>
      <c r="AA15" s="192"/>
      <c r="AB15" s="192"/>
      <c r="AC15" s="192"/>
      <c r="AD15" s="192"/>
      <c r="AE15" s="192"/>
      <c r="AF15" s="192"/>
      <c r="AG15" s="192"/>
      <c r="AH15" s="192"/>
      <c r="AI15" s="192"/>
      <c r="AJ15" s="192"/>
      <c r="AK15" s="222"/>
      <c r="AL15" s="192"/>
      <c r="AM15" s="192"/>
      <c r="AN15" s="192"/>
      <c r="AO15" s="192"/>
      <c r="AP15" s="192"/>
      <c r="AW15" s="230">
        <f t="shared" ref="AW15:BG15" si="8">+$S$15/11</f>
        <v>184.20872727272729</v>
      </c>
      <c r="AX15" s="192">
        <f t="shared" si="8"/>
        <v>184.20872727272729</v>
      </c>
      <c r="AY15" s="192">
        <f t="shared" si="8"/>
        <v>184.20872727272729</v>
      </c>
      <c r="AZ15" s="192">
        <f t="shared" si="8"/>
        <v>184.20872727272729</v>
      </c>
      <c r="BA15" s="192">
        <f t="shared" si="8"/>
        <v>184.20872727272729</v>
      </c>
      <c r="BB15" s="192">
        <f t="shared" si="8"/>
        <v>184.20872727272729</v>
      </c>
      <c r="BC15" s="192">
        <f t="shared" si="8"/>
        <v>184.20872727272729</v>
      </c>
      <c r="BD15" s="192">
        <f t="shared" si="8"/>
        <v>184.20872727272729</v>
      </c>
      <c r="BE15" s="192">
        <f t="shared" si="8"/>
        <v>184.20872727272729</v>
      </c>
      <c r="BF15" s="192">
        <f t="shared" si="8"/>
        <v>184.20872727272729</v>
      </c>
      <c r="BG15" s="192">
        <f t="shared" si="8"/>
        <v>184.20872727272729</v>
      </c>
      <c r="BH15" s="192"/>
      <c r="BI15" t="s">
        <v>392</v>
      </c>
    </row>
    <row r="16" spans="1:61">
      <c r="A16" t="s">
        <v>397</v>
      </c>
      <c r="B16" t="s">
        <v>381</v>
      </c>
      <c r="C16">
        <v>100062</v>
      </c>
      <c r="D16" s="192">
        <v>22138</v>
      </c>
      <c r="E16" s="192"/>
      <c r="F16" s="192" t="s">
        <v>382</v>
      </c>
      <c r="G16" s="192"/>
      <c r="H16" s="192"/>
      <c r="I16" s="192"/>
      <c r="J16" s="192"/>
      <c r="K16" s="192"/>
      <c r="L16" s="192"/>
      <c r="M16" s="192"/>
      <c r="N16" s="192"/>
      <c r="O16" s="192"/>
      <c r="P16" s="192"/>
      <c r="Q16" s="192"/>
      <c r="R16" s="192"/>
      <c r="S16" s="193">
        <v>7864.7129999999997</v>
      </c>
      <c r="T16" s="192"/>
      <c r="U16" s="192"/>
      <c r="V16" s="192"/>
      <c r="W16" s="192"/>
      <c r="X16" s="192"/>
      <c r="Y16" s="192"/>
      <c r="Z16" s="192"/>
      <c r="AA16" s="192"/>
      <c r="AB16" s="192"/>
      <c r="AC16" s="192"/>
      <c r="AD16" s="192"/>
      <c r="AE16" s="192"/>
      <c r="AF16" s="192"/>
      <c r="AG16" s="192"/>
      <c r="AH16" s="192"/>
      <c r="AI16" s="192"/>
      <c r="AJ16" s="192"/>
      <c r="AK16" s="222"/>
      <c r="AL16" s="192"/>
      <c r="AM16" s="192"/>
      <c r="AN16" s="192"/>
      <c r="AO16" s="192"/>
      <c r="AP16" s="192"/>
      <c r="AW16" s="230">
        <f t="shared" ref="AW16:BG16" si="9">+$S$16/11</f>
        <v>714.97390909090905</v>
      </c>
      <c r="AX16" s="192">
        <f t="shared" si="9"/>
        <v>714.97390909090905</v>
      </c>
      <c r="AY16" s="192">
        <f t="shared" si="9"/>
        <v>714.97390909090905</v>
      </c>
      <c r="AZ16" s="192">
        <f t="shared" si="9"/>
        <v>714.97390909090905</v>
      </c>
      <c r="BA16" s="192">
        <f t="shared" si="9"/>
        <v>714.97390909090905</v>
      </c>
      <c r="BB16" s="192">
        <f t="shared" si="9"/>
        <v>714.97390909090905</v>
      </c>
      <c r="BC16" s="192">
        <f t="shared" si="9"/>
        <v>714.97390909090905</v>
      </c>
      <c r="BD16" s="192">
        <f t="shared" si="9"/>
        <v>714.97390909090905</v>
      </c>
      <c r="BE16" s="192">
        <f t="shared" si="9"/>
        <v>714.97390909090905</v>
      </c>
      <c r="BF16" s="192">
        <f t="shared" si="9"/>
        <v>714.97390909090905</v>
      </c>
      <c r="BG16" s="192">
        <f t="shared" si="9"/>
        <v>714.97390909090905</v>
      </c>
      <c r="BH16" s="192"/>
      <c r="BI16" t="s">
        <v>392</v>
      </c>
    </row>
    <row r="17" spans="1:61">
      <c r="D17" s="192"/>
      <c r="E17" s="192"/>
      <c r="F17" s="192"/>
      <c r="G17" s="192"/>
      <c r="H17" s="192"/>
      <c r="I17" s="192"/>
      <c r="J17" s="192"/>
      <c r="K17" s="192"/>
      <c r="L17" s="192"/>
      <c r="M17" s="192"/>
      <c r="N17" s="192"/>
      <c r="O17" s="192"/>
      <c r="P17" s="192"/>
      <c r="Q17" s="192"/>
      <c r="R17" s="192"/>
      <c r="S17" s="192">
        <f>SUM(S12:S16)</f>
        <v>11006.403999999999</v>
      </c>
      <c r="T17" s="192"/>
      <c r="U17" s="192"/>
      <c r="V17" s="192"/>
      <c r="W17" s="192"/>
      <c r="X17" s="192"/>
      <c r="Y17" s="192"/>
      <c r="Z17" s="192"/>
      <c r="AA17" s="192"/>
      <c r="AB17" s="192"/>
      <c r="AC17" s="192"/>
      <c r="AD17" s="192"/>
      <c r="AE17" s="192"/>
      <c r="AF17" s="192"/>
      <c r="AG17" s="192"/>
      <c r="AH17" s="192"/>
      <c r="AI17" s="192"/>
      <c r="AJ17" s="192"/>
      <c r="AK17" s="222"/>
      <c r="AL17" s="192"/>
      <c r="AM17" s="192"/>
      <c r="AN17" s="192"/>
      <c r="AO17" s="192"/>
      <c r="AP17" s="192"/>
      <c r="AW17" s="229"/>
    </row>
    <row r="18" spans="1:61" ht="13.5" thickBot="1">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222"/>
      <c r="AL18" s="192"/>
      <c r="AM18" s="192"/>
      <c r="AN18" s="192"/>
      <c r="AO18" s="192"/>
      <c r="AP18" s="192"/>
      <c r="AW18" s="229"/>
    </row>
    <row r="19" spans="1:61" ht="13.5" thickBot="1">
      <c r="A19" s="224" t="s">
        <v>398</v>
      </c>
      <c r="B19" s="224"/>
      <c r="C19" s="224"/>
      <c r="D19" s="225">
        <f>SUM(D2:D14)</f>
        <v>6321</v>
      </c>
      <c r="E19" s="225"/>
      <c r="F19" s="225"/>
      <c r="G19" s="225"/>
      <c r="H19" s="225">
        <f t="shared" ref="H19:R19" si="10">SUM(H2:H14)</f>
        <v>0</v>
      </c>
      <c r="I19" s="225">
        <f t="shared" si="10"/>
        <v>0</v>
      </c>
      <c r="J19" s="225">
        <f t="shared" si="10"/>
        <v>0</v>
      </c>
      <c r="K19" s="225">
        <f t="shared" si="10"/>
        <v>0</v>
      </c>
      <c r="L19" s="225">
        <f t="shared" si="10"/>
        <v>0</v>
      </c>
      <c r="M19" s="225">
        <f t="shared" si="10"/>
        <v>0</v>
      </c>
      <c r="N19" s="225">
        <f t="shared" si="10"/>
        <v>0</v>
      </c>
      <c r="O19" s="225">
        <f t="shared" si="10"/>
        <v>0</v>
      </c>
      <c r="P19" s="225">
        <f t="shared" si="10"/>
        <v>0</v>
      </c>
      <c r="Q19" s="225">
        <f t="shared" si="10"/>
        <v>0</v>
      </c>
      <c r="R19" s="225">
        <f t="shared" si="10"/>
        <v>0</v>
      </c>
      <c r="S19" s="225">
        <f>SUM(S4:S16)</f>
        <v>14300</v>
      </c>
      <c r="T19" s="225">
        <f t="shared" ref="T19:AJ19" si="11">SUM(T2:T14)</f>
        <v>100</v>
      </c>
      <c r="U19" s="225">
        <f t="shared" si="11"/>
        <v>1026.6500000000001</v>
      </c>
      <c r="V19" s="225">
        <f t="shared" si="11"/>
        <v>1700</v>
      </c>
      <c r="W19" s="225">
        <f t="shared" si="11"/>
        <v>8899.9999999999982</v>
      </c>
      <c r="X19" s="225">
        <f t="shared" si="11"/>
        <v>0</v>
      </c>
      <c r="Y19" s="225">
        <f t="shared" si="11"/>
        <v>1364.06</v>
      </c>
      <c r="Z19" s="225">
        <f t="shared" si="11"/>
        <v>826.65</v>
      </c>
      <c r="AA19" s="225">
        <f t="shared" si="11"/>
        <v>900</v>
      </c>
      <c r="AB19" s="225">
        <f t="shared" si="11"/>
        <v>0</v>
      </c>
      <c r="AC19" s="225">
        <f t="shared" si="11"/>
        <v>0</v>
      </c>
      <c r="AD19" s="225">
        <f t="shared" si="11"/>
        <v>0</v>
      </c>
      <c r="AE19" s="225">
        <f t="shared" si="11"/>
        <v>0</v>
      </c>
      <c r="AF19" s="225">
        <f t="shared" si="11"/>
        <v>0</v>
      </c>
      <c r="AG19" s="225">
        <f t="shared" si="11"/>
        <v>0</v>
      </c>
      <c r="AH19" s="225">
        <f t="shared" si="11"/>
        <v>0</v>
      </c>
      <c r="AI19" s="225">
        <f t="shared" si="11"/>
        <v>19226.350999999995</v>
      </c>
      <c r="AJ19" s="225">
        <f t="shared" si="11"/>
        <v>12666.649000000003</v>
      </c>
      <c r="AK19" s="226"/>
      <c r="AL19" s="225">
        <f>SUM(AL2:AL14)</f>
        <v>0</v>
      </c>
      <c r="AM19" s="225">
        <f>SUM(AM2:AM14)</f>
        <v>0</v>
      </c>
      <c r="AN19" s="225">
        <f>SUM(AN2:AN14)</f>
        <v>0</v>
      </c>
      <c r="AO19" s="225">
        <f>SUM(AO2:AO14)</f>
        <v>0</v>
      </c>
      <c r="AP19" s="225">
        <f>SUM(AP2:AP14)</f>
        <v>0</v>
      </c>
      <c r="AW19" s="231">
        <f t="shared" ref="AW19:BG19" si="12">SUM(AW4:AW16)</f>
        <v>2155.5821818181821</v>
      </c>
      <c r="AX19" s="227">
        <f t="shared" si="12"/>
        <v>1503.5821818181817</v>
      </c>
      <c r="AY19" s="227">
        <f t="shared" si="12"/>
        <v>1054.6926818181819</v>
      </c>
      <c r="AZ19" s="227">
        <f t="shared" si="12"/>
        <v>1162.9136818181819</v>
      </c>
      <c r="BA19" s="227">
        <f t="shared" si="12"/>
        <v>1099.8939318181817</v>
      </c>
      <c r="BB19" s="227">
        <f t="shared" si="12"/>
        <v>1298.5174318181819</v>
      </c>
      <c r="BC19" s="227">
        <f t="shared" si="12"/>
        <v>1228.0519318181819</v>
      </c>
      <c r="BD19" s="227">
        <f t="shared" si="12"/>
        <v>1228.0519318181819</v>
      </c>
      <c r="BE19" s="227">
        <f t="shared" si="12"/>
        <v>1152.2286818181817</v>
      </c>
      <c r="BF19" s="227">
        <f t="shared" si="12"/>
        <v>1311.8809318181818</v>
      </c>
      <c r="BG19" s="227">
        <f t="shared" si="12"/>
        <v>1104.3484318181818</v>
      </c>
      <c r="BI19" s="192"/>
    </row>
  </sheetData>
  <phoneticPr fontId="0" type="noConversion"/>
  <pageMargins left="0.75" right="0"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5"/>
  <sheetViews>
    <sheetView workbookViewId="0"/>
  </sheetViews>
  <sheetFormatPr defaultRowHeight="12.75"/>
  <cols>
    <col min="2" max="2" width="11.28515625" bestFit="1" customWidth="1"/>
    <col min="3" max="3" width="1.28515625" customWidth="1"/>
    <col min="4" max="4" width="11.42578125" customWidth="1"/>
    <col min="5" max="5" width="3" customWidth="1"/>
    <col min="6" max="6" width="22" bestFit="1" customWidth="1"/>
    <col min="7" max="7" width="10.140625" bestFit="1" customWidth="1"/>
    <col min="8" max="8" width="16" bestFit="1" customWidth="1"/>
  </cols>
  <sheetData>
    <row r="1" spans="1:10" ht="15.75">
      <c r="A1" s="33" t="s">
        <v>58</v>
      </c>
      <c r="B1" s="41"/>
      <c r="C1" s="41"/>
      <c r="G1" s="116"/>
      <c r="H1" s="117"/>
    </row>
    <row r="2" spans="1:10">
      <c r="A2" s="6" t="s">
        <v>18</v>
      </c>
    </row>
    <row r="6" spans="1:10">
      <c r="A6" s="7" t="s">
        <v>20</v>
      </c>
      <c r="F6" s="6" t="s">
        <v>363</v>
      </c>
      <c r="G6" s="4" t="s">
        <v>78</v>
      </c>
      <c r="H6" s="1"/>
      <c r="I6" s="1"/>
      <c r="J6" s="1"/>
    </row>
    <row r="7" spans="1:10">
      <c r="F7" t="s">
        <v>73</v>
      </c>
      <c r="G7">
        <v>85</v>
      </c>
    </row>
    <row r="8" spans="1:10">
      <c r="A8" t="s">
        <v>40</v>
      </c>
      <c r="F8" t="s">
        <v>76</v>
      </c>
      <c r="G8">
        <v>75</v>
      </c>
      <c r="H8" s="8"/>
      <c r="I8" s="8"/>
      <c r="J8" s="8"/>
    </row>
    <row r="9" spans="1:10">
      <c r="A9" t="s">
        <v>82</v>
      </c>
      <c r="B9" s="15"/>
      <c r="C9" s="15"/>
      <c r="D9" s="15"/>
      <c r="E9" s="15"/>
      <c r="F9" s="9" t="s">
        <v>83</v>
      </c>
      <c r="G9" s="37">
        <f>SUM(G7:G8)</f>
        <v>160</v>
      </c>
    </row>
    <row r="10" spans="1:10">
      <c r="F10" t="s">
        <v>74</v>
      </c>
      <c r="G10" s="37">
        <v>1370</v>
      </c>
    </row>
    <row r="11" spans="1:10">
      <c r="D11" s="39" t="s">
        <v>80</v>
      </c>
    </row>
    <row r="12" spans="1:10">
      <c r="A12" t="s">
        <v>41</v>
      </c>
      <c r="B12" s="3">
        <f t="shared" ref="B12:B23" si="0">+D12*G$15</f>
        <v>4042.6676087026513</v>
      </c>
      <c r="C12" s="3"/>
      <c r="D12" s="38">
        <f>111031/1657744*G12</f>
        <v>7.8221511207950331E-3</v>
      </c>
      <c r="F12" s="6" t="s">
        <v>75</v>
      </c>
      <c r="G12" s="42">
        <f>+G9/G10</f>
        <v>0.11678832116788321</v>
      </c>
    </row>
    <row r="13" spans="1:10">
      <c r="A13" t="s">
        <v>24</v>
      </c>
      <c r="B13" s="3">
        <f t="shared" si="0"/>
        <v>4126.6296688990669</v>
      </c>
      <c r="C13" s="3"/>
      <c r="D13" s="38">
        <f>113337/1657744*G12</f>
        <v>7.9846091774148347E-3</v>
      </c>
    </row>
    <row r="14" spans="1:10">
      <c r="A14" t="s">
        <v>25</v>
      </c>
      <c r="B14" s="3">
        <f t="shared" si="0"/>
        <v>4126.6296688990669</v>
      </c>
      <c r="C14" s="3"/>
      <c r="D14" s="38">
        <f>113337/1657744*G12</f>
        <v>7.9846091774148347E-3</v>
      </c>
      <c r="G14" s="4" t="s">
        <v>38</v>
      </c>
    </row>
    <row r="15" spans="1:10">
      <c r="A15" t="s">
        <v>26</v>
      </c>
      <c r="B15" s="3">
        <f t="shared" si="0"/>
        <v>4126.6296688990669</v>
      </c>
      <c r="C15" s="3"/>
      <c r="D15" s="38">
        <f>113337/1657744*G12</f>
        <v>7.9846091774148347E-3</v>
      </c>
      <c r="F15" s="6" t="s">
        <v>79</v>
      </c>
      <c r="G15" s="16">
        <v>516823</v>
      </c>
      <c r="H15" t="s">
        <v>84</v>
      </c>
    </row>
    <row r="16" spans="1:10">
      <c r="A16" t="s">
        <v>27</v>
      </c>
      <c r="B16" s="3">
        <f t="shared" si="0"/>
        <v>4126.6660791593431</v>
      </c>
      <c r="C16" s="3"/>
      <c r="D16" s="38">
        <f>113338/1657744*G$12</f>
        <v>7.984679627569484E-3</v>
      </c>
      <c r="F16" t="s">
        <v>81</v>
      </c>
      <c r="G16" s="3">
        <f>+G15*G12</f>
        <v>60358.890510948906</v>
      </c>
    </row>
    <row r="17" spans="1:8">
      <c r="A17" t="s">
        <v>28</v>
      </c>
      <c r="B17" s="3">
        <f t="shared" si="0"/>
        <v>4126.6660791593431</v>
      </c>
      <c r="C17" s="3"/>
      <c r="D17" s="38">
        <f>113338/1657744*G$12</f>
        <v>7.984679627569484E-3</v>
      </c>
    </row>
    <row r="18" spans="1:8">
      <c r="A18" t="s">
        <v>29</v>
      </c>
      <c r="B18" s="3">
        <f t="shared" si="0"/>
        <v>4126.6660791593431</v>
      </c>
      <c r="C18" s="3"/>
      <c r="D18" s="38">
        <f>113338/1657744*G$12</f>
        <v>7.984679627569484E-3</v>
      </c>
    </row>
    <row r="19" spans="1:8">
      <c r="A19" t="s">
        <v>30</v>
      </c>
      <c r="B19" s="3">
        <f t="shared" si="0"/>
        <v>4126.6660791593431</v>
      </c>
      <c r="C19" s="3"/>
      <c r="D19" s="38">
        <f>113338/1657744*G$12</f>
        <v>7.984679627569484E-3</v>
      </c>
    </row>
    <row r="20" spans="1:8">
      <c r="A20" t="s">
        <v>31</v>
      </c>
      <c r="B20" s="3">
        <f t="shared" si="0"/>
        <v>4126.7024894196184</v>
      </c>
      <c r="C20" s="3"/>
      <c r="D20" s="38">
        <f>113339/1657744*G$12</f>
        <v>7.9847500777241315E-3</v>
      </c>
      <c r="F20" s="21"/>
      <c r="G20" s="21"/>
      <c r="H20" s="21"/>
    </row>
    <row r="21" spans="1:8" s="21" customFormat="1">
      <c r="A21" t="s">
        <v>32</v>
      </c>
      <c r="B21" s="3">
        <f t="shared" si="0"/>
        <v>7767.7285170179048</v>
      </c>
      <c r="C21" s="3"/>
      <c r="D21" s="38">
        <f>213339/1657744*G$12</f>
        <v>1.5029765542589831E-2</v>
      </c>
      <c r="F21"/>
      <c r="G21"/>
      <c r="H21"/>
    </row>
    <row r="22" spans="1:8">
      <c r="A22" t="s">
        <v>33</v>
      </c>
      <c r="B22" s="3">
        <f t="shared" si="0"/>
        <v>7767.7285170179048</v>
      </c>
      <c r="C22" s="3"/>
      <c r="D22" s="38">
        <f>213339/1657744*G$12</f>
        <v>1.5029765542589831E-2</v>
      </c>
    </row>
    <row r="23" spans="1:8">
      <c r="A23" t="s">
        <v>34</v>
      </c>
      <c r="B23" s="3">
        <f t="shared" si="0"/>
        <v>7767.7285170179048</v>
      </c>
      <c r="C23" s="3"/>
      <c r="D23" s="38">
        <f>213339/1657744*G$12</f>
        <v>1.5029765542589831E-2</v>
      </c>
    </row>
    <row r="24" spans="1:8" ht="13.5" thickBot="1">
      <c r="B24" s="3"/>
      <c r="C24" s="3"/>
    </row>
    <row r="25" spans="1:8" ht="13.5" thickBot="1">
      <c r="A25" s="182" t="s">
        <v>10</v>
      </c>
      <c r="B25" s="233">
        <f>SUM(B12:B24)</f>
        <v>60359.108972510548</v>
      </c>
      <c r="C25" s="16"/>
      <c r="D25" s="40">
        <f>SUM(D12:D24)</f>
        <v>0.11678874386881112</v>
      </c>
    </row>
  </sheetData>
  <phoneticPr fontId="3" type="noConversion"/>
  <pageMargins left="0.75" right="0.5" top="0.75" bottom="0.5" header="0.5" footer="0"/>
  <pageSetup orientation="portrait" r:id="rId1"/>
  <headerFooter alignWithMargins="0">
    <oddFooter>&amp;L&amp;8&amp;F, &amp;A&amp;R&amp;8&amp;D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7"/>
  <sheetViews>
    <sheetView tabSelected="1" zoomScale="85" workbookViewId="0"/>
  </sheetViews>
  <sheetFormatPr defaultRowHeight="12.75"/>
  <cols>
    <col min="1" max="1" width="23.28515625" customWidth="1"/>
    <col min="2" max="13" width="10.140625" customWidth="1"/>
    <col min="14" max="14" width="2.28515625" customWidth="1"/>
    <col min="15" max="15" width="11.85546875" bestFit="1" customWidth="1"/>
    <col min="16" max="16" width="10.140625" bestFit="1" customWidth="1"/>
  </cols>
  <sheetData>
    <row r="1" spans="1:15">
      <c r="A1" s="41"/>
      <c r="B1" s="41"/>
      <c r="M1" s="116"/>
      <c r="O1" s="117"/>
    </row>
    <row r="2" spans="1:15">
      <c r="A2" s="237" t="s">
        <v>8</v>
      </c>
      <c r="B2" s="237"/>
      <c r="C2" s="237"/>
      <c r="D2" s="237"/>
      <c r="E2" s="237"/>
      <c r="F2" s="237"/>
      <c r="G2" s="237"/>
      <c r="H2" s="237"/>
      <c r="I2" s="237"/>
      <c r="J2" s="237"/>
      <c r="K2" s="237"/>
      <c r="L2" s="237"/>
      <c r="M2" s="237"/>
      <c r="N2" s="237"/>
      <c r="O2" s="237"/>
    </row>
    <row r="3" spans="1:15">
      <c r="A3" s="237" t="s">
        <v>343</v>
      </c>
      <c r="B3" s="237"/>
      <c r="C3" s="237"/>
      <c r="D3" s="237"/>
      <c r="E3" s="237"/>
      <c r="F3" s="237"/>
      <c r="G3" s="237"/>
      <c r="H3" s="237"/>
      <c r="I3" s="237"/>
      <c r="J3" s="237"/>
      <c r="K3" s="237"/>
      <c r="L3" s="237"/>
      <c r="M3" s="237"/>
      <c r="N3" s="237"/>
      <c r="O3" s="237"/>
    </row>
    <row r="6" spans="1:15" s="2" customFormat="1">
      <c r="B6" s="187">
        <v>37257</v>
      </c>
      <c r="C6" s="187">
        <v>37288</v>
      </c>
      <c r="D6" s="187">
        <v>37316</v>
      </c>
      <c r="E6" s="187">
        <v>37347</v>
      </c>
      <c r="F6" s="187">
        <v>37377</v>
      </c>
      <c r="G6" s="187">
        <v>37408</v>
      </c>
      <c r="H6" s="187">
        <v>37438</v>
      </c>
      <c r="I6" s="187">
        <v>37469</v>
      </c>
      <c r="J6" s="187">
        <v>37500</v>
      </c>
      <c r="K6" s="187">
        <v>37530</v>
      </c>
      <c r="L6" s="187">
        <v>37561</v>
      </c>
      <c r="M6" s="187">
        <v>37591</v>
      </c>
      <c r="O6" s="188" t="s">
        <v>10</v>
      </c>
    </row>
    <row r="8" spans="1:15" s="5" customFormat="1">
      <c r="A8" s="69" t="s">
        <v>9</v>
      </c>
      <c r="B8" s="69">
        <f>Tax!$C$6</f>
        <v>14440</v>
      </c>
      <c r="C8" s="69">
        <f>Tax!$C$6</f>
        <v>14440</v>
      </c>
      <c r="D8" s="69">
        <f>Tax!$C$6</f>
        <v>14440</v>
      </c>
      <c r="E8" s="69">
        <f>Tax!$C$6</f>
        <v>14440</v>
      </c>
      <c r="F8" s="69">
        <f>Tax!$C$6</f>
        <v>14440</v>
      </c>
      <c r="G8" s="69">
        <f>Tax!$C$6</f>
        <v>14440</v>
      </c>
      <c r="H8" s="69">
        <f>Tax!$C$6</f>
        <v>14440</v>
      </c>
      <c r="I8" s="69">
        <f>Tax!$C$6</f>
        <v>14440</v>
      </c>
      <c r="J8" s="69">
        <f>Tax!$C$6</f>
        <v>14440</v>
      </c>
      <c r="K8" s="69">
        <f>Tax!$C$6</f>
        <v>14440</v>
      </c>
      <c r="L8" s="69">
        <f>Tax!$C$6</f>
        <v>14440</v>
      </c>
      <c r="M8" s="69">
        <f>Tax!$C$6</f>
        <v>14440</v>
      </c>
      <c r="O8" s="5">
        <f>SUM(B8:N8)</f>
        <v>173280</v>
      </c>
    </row>
    <row r="9" spans="1:15" s="5" customFormat="1">
      <c r="A9" s="5" t="s">
        <v>11</v>
      </c>
      <c r="B9" s="5">
        <f>Legal!$E$15/12</f>
        <v>25932.166666666668</v>
      </c>
      <c r="C9" s="5">
        <f>Legal!$E$15/12</f>
        <v>25932.166666666668</v>
      </c>
      <c r="D9" s="5">
        <f>Legal!$E$15/12</f>
        <v>25932.166666666668</v>
      </c>
      <c r="E9" s="5">
        <f>Legal!$E$15/12</f>
        <v>25932.166666666668</v>
      </c>
      <c r="F9" s="5">
        <f>Legal!$E$15/12</f>
        <v>25932.166666666668</v>
      </c>
      <c r="G9" s="5">
        <f>Legal!$E$15/12</f>
        <v>25932.166666666668</v>
      </c>
      <c r="H9" s="5">
        <f>Legal!$E$15/12</f>
        <v>25932.166666666668</v>
      </c>
      <c r="I9" s="5">
        <f>Legal!$E$15/12</f>
        <v>25932.166666666668</v>
      </c>
      <c r="J9" s="5">
        <f>Legal!$E$15/12</f>
        <v>25932.166666666668</v>
      </c>
      <c r="K9" s="5">
        <f>Legal!$E$15/12</f>
        <v>25932.166666666668</v>
      </c>
      <c r="L9" s="5">
        <f>Legal!$E$15/12</f>
        <v>25932.166666666668</v>
      </c>
      <c r="M9" s="5">
        <f>Legal!$E$15/12</f>
        <v>25932.166666666668</v>
      </c>
      <c r="O9" s="5">
        <f t="shared" ref="O9:O17" si="0">SUM(B9:N9)</f>
        <v>311186</v>
      </c>
    </row>
    <row r="10" spans="1:15" s="5" customFormat="1">
      <c r="A10" s="36" t="s">
        <v>52</v>
      </c>
      <c r="B10" s="69">
        <f>+BAR!$E$11</f>
        <v>14853.949479166666</v>
      </c>
      <c r="C10" s="69">
        <f>+BAR!$E$11</f>
        <v>14853.949479166666</v>
      </c>
      <c r="D10" s="69">
        <f>+BAR!$E$11</f>
        <v>14853.949479166666</v>
      </c>
      <c r="E10" s="69">
        <f>+BAR!$E$11</f>
        <v>14853.949479166666</v>
      </c>
      <c r="F10" s="69">
        <f>+BAR!$E$11</f>
        <v>14853.949479166666</v>
      </c>
      <c r="G10" s="69">
        <f>+BAR!$E$11</f>
        <v>14853.949479166666</v>
      </c>
      <c r="H10" s="69">
        <f>+BAR!$E$11</f>
        <v>14853.949479166666</v>
      </c>
      <c r="I10" s="69">
        <f>+BAR!$E$11</f>
        <v>14853.949479166666</v>
      </c>
      <c r="J10" s="69">
        <f>+BAR!$E$11</f>
        <v>14853.949479166666</v>
      </c>
      <c r="K10" s="69">
        <f>+BAR!$E$11</f>
        <v>14853.949479166666</v>
      </c>
      <c r="L10" s="69">
        <f>+BAR!$E$11</f>
        <v>14853.949479166666</v>
      </c>
      <c r="M10" s="69">
        <f>+BAR!$E$11</f>
        <v>14853.949479166666</v>
      </c>
      <c r="O10" s="5">
        <f t="shared" si="0"/>
        <v>178247.39374999993</v>
      </c>
    </row>
    <row r="11" spans="1:15" s="5" customFormat="1">
      <c r="A11" s="36" t="s">
        <v>12</v>
      </c>
      <c r="B11" s="69">
        <f>+EOps!$G$127/12+EOps!$F$127/12</f>
        <v>14560.650892146454</v>
      </c>
      <c r="C11" s="69">
        <f>+EOps!$G$127/12+EOps!$F$127/12</f>
        <v>14560.650892146454</v>
      </c>
      <c r="D11" s="69">
        <f>+EOps!$G$127/12+EOps!$F$127/12</f>
        <v>14560.650892146454</v>
      </c>
      <c r="E11" s="69">
        <f>+EOps!$G$127/12+EOps!$F$127/12</f>
        <v>14560.650892146454</v>
      </c>
      <c r="F11" s="69">
        <f>+EOps!$G$127/12+EOps!$F$127/12</f>
        <v>14560.650892146454</v>
      </c>
      <c r="G11" s="69">
        <f>+EOps!$G$127/12+EOps!$F$127/12</f>
        <v>14560.650892146454</v>
      </c>
      <c r="H11" s="69">
        <f>+EOps!$G$127/12+EOps!$F$127/12</f>
        <v>14560.650892146454</v>
      </c>
      <c r="I11" s="69">
        <f>+EOps!$G$127/12+EOps!$F$127/12</f>
        <v>14560.650892146454</v>
      </c>
      <c r="J11" s="69">
        <f>+EOps!$G$127/12+EOps!$F$127/12</f>
        <v>14560.650892146454</v>
      </c>
      <c r="K11" s="69">
        <f>+EOps!$G$127/12+EOps!$F$127/12</f>
        <v>14560.650892146454</v>
      </c>
      <c r="L11" s="69">
        <f>+EOps!$G$127/12+EOps!$F$127/12</f>
        <v>14560.650892146454</v>
      </c>
      <c r="M11" s="69">
        <f>+EOps!$G$127/12+EOps!$F$127/12</f>
        <v>14560.650892146454</v>
      </c>
      <c r="O11" s="5">
        <f t="shared" si="0"/>
        <v>174727.81070575744</v>
      </c>
    </row>
    <row r="12" spans="1:15" s="5" customFormat="1">
      <c r="A12" s="36" t="s">
        <v>13</v>
      </c>
      <c r="B12" s="69">
        <f>+EOL!$D$24/12</f>
        <v>123033.11460000002</v>
      </c>
      <c r="C12" s="69">
        <f>+EOL!$D$24/12</f>
        <v>123033.11460000002</v>
      </c>
      <c r="D12" s="69">
        <f>+EOL!$D$24/12</f>
        <v>123033.11460000002</v>
      </c>
      <c r="E12" s="69">
        <f>+EOL!$D$24/12</f>
        <v>123033.11460000002</v>
      </c>
      <c r="F12" s="69">
        <f>+EOL!$D$24/12</f>
        <v>123033.11460000002</v>
      </c>
      <c r="G12" s="69">
        <f>+EOL!$D$24/12</f>
        <v>123033.11460000002</v>
      </c>
      <c r="H12" s="69">
        <f>+EOL!$D$24/12</f>
        <v>123033.11460000002</v>
      </c>
      <c r="I12" s="69">
        <f>+EOL!$D$24/12</f>
        <v>123033.11460000002</v>
      </c>
      <c r="J12" s="69">
        <f>+EOL!$D$24/12</f>
        <v>123033.11460000002</v>
      </c>
      <c r="K12" s="69">
        <f>+EOL!$D$24/12</f>
        <v>123033.11460000002</v>
      </c>
      <c r="L12" s="69">
        <f>+EOL!$D$24/12</f>
        <v>123033.11460000002</v>
      </c>
      <c r="M12" s="69">
        <f>+EOL!$D$24/12</f>
        <v>123033.11460000002</v>
      </c>
      <c r="O12" s="5">
        <f t="shared" si="0"/>
        <v>1476397.3751999999</v>
      </c>
    </row>
    <row r="13" spans="1:15" s="5" customFormat="1">
      <c r="A13" s="36" t="s">
        <v>14</v>
      </c>
      <c r="B13" s="69">
        <f>+IT!$B$7/12</f>
        <v>217896.75602535647</v>
      </c>
      <c r="C13" s="69">
        <f>+IT!$B$7/12</f>
        <v>217896.75602535647</v>
      </c>
      <c r="D13" s="69">
        <f>+IT!$B$7/12</f>
        <v>217896.75602535647</v>
      </c>
      <c r="E13" s="69">
        <f>+IT!$B$7/12</f>
        <v>217896.75602535647</v>
      </c>
      <c r="F13" s="69">
        <f>+IT!$B$7/12</f>
        <v>217896.75602535647</v>
      </c>
      <c r="G13" s="69">
        <f>+IT!$B$7/12</f>
        <v>217896.75602535647</v>
      </c>
      <c r="H13" s="69">
        <f>+IT!$B$7/12</f>
        <v>217896.75602535647</v>
      </c>
      <c r="I13" s="69">
        <f>+IT!$B$7/12</f>
        <v>217896.75602535647</v>
      </c>
      <c r="J13" s="69">
        <f>+IT!$B$7/12</f>
        <v>217896.75602535647</v>
      </c>
      <c r="K13" s="69">
        <f>+IT!$B$7/12</f>
        <v>217896.75602535647</v>
      </c>
      <c r="L13" s="69">
        <f>+IT!$B$7/12</f>
        <v>217896.75602535647</v>
      </c>
      <c r="M13" s="69">
        <f>+IT!$B$7/12</f>
        <v>217896.75602535647</v>
      </c>
      <c r="O13" s="5">
        <f t="shared" si="0"/>
        <v>2614761.0723042777</v>
      </c>
    </row>
    <row r="14" spans="1:15" s="5" customFormat="1">
      <c r="A14" s="36" t="s">
        <v>15</v>
      </c>
      <c r="B14" s="5">
        <f>+'RAC-Ben-OCC-LTCP'!J14+'RAC-Ben-OCC-LTCP'!K14+'RAC-Ben-OCC-LTCP'!O14+'RAC-Ben-OCC-LTCP'!L14+'RAC-Ben-OCC-LTCP'!M14+'RAC-Ben-OCC-LTCP'!N14</f>
        <v>57748.552380952387</v>
      </c>
      <c r="C14" s="5">
        <f>+'RAC-Ben-OCC-LTCP'!J15+'RAC-Ben-OCC-LTCP'!K15+'RAC-Ben-OCC-LTCP'!O15+'RAC-Ben-OCC-LTCP'!L15+'RAC-Ben-OCC-LTCP'!M15+'RAC-Ben-OCC-LTCP'!N15</f>
        <v>57748.552380952387</v>
      </c>
      <c r="D14" s="5">
        <f>+'RAC-Ben-OCC-LTCP'!J16+'RAC-Ben-OCC-LTCP'!K16+'RAC-Ben-OCC-LTCP'!O16+'RAC-Ben-OCC-LTCP'!L16+'RAC-Ben-OCC-LTCP'!M16+'RAC-Ben-OCC-LTCP'!N16</f>
        <v>57748.552380952387</v>
      </c>
      <c r="E14" s="5">
        <f>+'RAC-Ben-OCC-LTCP'!J17+'RAC-Ben-OCC-LTCP'!K17+'RAC-Ben-OCC-LTCP'!O17+'RAC-Ben-OCC-LTCP'!L17+'RAC-Ben-OCC-LTCP'!M17+'RAC-Ben-OCC-LTCP'!N17</f>
        <v>57748.552380952387</v>
      </c>
      <c r="F14" s="5">
        <f>+'RAC-Ben-OCC-LTCP'!J18+'RAC-Ben-OCC-LTCP'!K18+'RAC-Ben-OCC-LTCP'!O18+'RAC-Ben-OCC-LTCP'!L18+'RAC-Ben-OCC-LTCP'!M18+'RAC-Ben-OCC-LTCP'!N18</f>
        <v>57748.552380952387</v>
      </c>
      <c r="G14" s="5">
        <f>+'RAC-Ben-OCC-LTCP'!J19+'RAC-Ben-OCC-LTCP'!K19+'RAC-Ben-OCC-LTCP'!O19+'RAC-Ben-OCC-LTCP'!L19+'RAC-Ben-OCC-LTCP'!M19+'RAC-Ben-OCC-LTCP'!N19</f>
        <v>57748.552380952387</v>
      </c>
      <c r="H14" s="5">
        <f>+'RAC-Ben-OCC-LTCP'!J20+'RAC-Ben-OCC-LTCP'!K20+'RAC-Ben-OCC-LTCP'!O20+'RAC-Ben-OCC-LTCP'!L20+'RAC-Ben-OCC-LTCP'!M20+'RAC-Ben-OCC-LTCP'!N20</f>
        <v>57748.552380952387</v>
      </c>
      <c r="I14" s="5">
        <f>+'RAC-Ben-OCC-LTCP'!J21+'RAC-Ben-OCC-LTCP'!K21+'RAC-Ben-OCC-LTCP'!O21+'RAC-Ben-OCC-LTCP'!L21+'RAC-Ben-OCC-LTCP'!M21+'RAC-Ben-OCC-LTCP'!N21</f>
        <v>57748.552380952387</v>
      </c>
      <c r="J14" s="5">
        <f>+'RAC-Ben-OCC-LTCP'!J22+'RAC-Ben-OCC-LTCP'!K22+'RAC-Ben-OCC-LTCP'!O22+'RAC-Ben-OCC-LTCP'!L22+'RAC-Ben-OCC-LTCP'!M22+'RAC-Ben-OCC-LTCP'!N22</f>
        <v>57748.552380952387</v>
      </c>
      <c r="K14" s="5">
        <f>+'RAC-Ben-OCC-LTCP'!J23+'RAC-Ben-OCC-LTCP'!K23+'RAC-Ben-OCC-LTCP'!O23+'RAC-Ben-OCC-LTCP'!L23+'RAC-Ben-OCC-LTCP'!M23+'RAC-Ben-OCC-LTCP'!N23</f>
        <v>57748.552380952387</v>
      </c>
      <c r="L14" s="5">
        <f>+'RAC-Ben-OCC-LTCP'!J24+'RAC-Ben-OCC-LTCP'!K24+'RAC-Ben-OCC-LTCP'!O24+'RAC-Ben-OCC-LTCP'!L24+'RAC-Ben-OCC-LTCP'!M24+'RAC-Ben-OCC-LTCP'!N24</f>
        <v>57748.552380952387</v>
      </c>
      <c r="M14" s="5">
        <f>+'RAC-Ben-OCC-LTCP'!J25+'RAC-Ben-OCC-LTCP'!K25+'RAC-Ben-OCC-LTCP'!O25+'RAC-Ben-OCC-LTCP'!L25+'RAC-Ben-OCC-LTCP'!M25+'RAC-Ben-OCC-LTCP'!N25</f>
        <v>57748.552380952387</v>
      </c>
      <c r="O14" s="5">
        <f t="shared" si="0"/>
        <v>692982.62857142871</v>
      </c>
    </row>
    <row r="15" spans="1:15" s="69" customFormat="1">
      <c r="A15" s="36" t="s">
        <v>16</v>
      </c>
      <c r="B15" s="69">
        <f>+'RAC-Ben-OCC-LTCP'!C14+'RAC-Ben-OCC-LTCP'!D14+'RAC-Ben-OCC-LTCP'!E14+'RAC-Ben-OCC-LTCP'!F14+'RAC-Ben-OCC-LTCP'!G14+'RAC-Ben-OCC-LTCP'!H14+'RAC-Ben-OCC-LTCP'!I14</f>
        <v>271502.63750000001</v>
      </c>
      <c r="C15" s="69">
        <f>+'RAC-Ben-OCC-LTCP'!C15+'RAC-Ben-OCC-LTCP'!D15+'RAC-Ben-OCC-LTCP'!E15+'RAC-Ben-OCC-LTCP'!F15+'RAC-Ben-OCC-LTCP'!G15+'RAC-Ben-OCC-LTCP'!H15+'RAC-Ben-OCC-LTCP'!I15</f>
        <v>271502.63750000001</v>
      </c>
      <c r="D15" s="69">
        <f>+'RAC-Ben-OCC-LTCP'!C16+'RAC-Ben-OCC-LTCP'!D16+'RAC-Ben-OCC-LTCP'!E16+'RAC-Ben-OCC-LTCP'!F16+'RAC-Ben-OCC-LTCP'!G16+'RAC-Ben-OCC-LTCP'!H16+'RAC-Ben-OCC-LTCP'!I16</f>
        <v>271502.63750000001</v>
      </c>
      <c r="E15" s="69">
        <f>+'RAC-Ben-OCC-LTCP'!C17+'RAC-Ben-OCC-LTCP'!D17+'RAC-Ben-OCC-LTCP'!E17+'RAC-Ben-OCC-LTCP'!F17+'RAC-Ben-OCC-LTCP'!G17+'RAC-Ben-OCC-LTCP'!H17+'RAC-Ben-OCC-LTCP'!I17</f>
        <v>271502.63750000001</v>
      </c>
      <c r="F15" s="69">
        <f>+'RAC-Ben-OCC-LTCP'!C18+'RAC-Ben-OCC-LTCP'!D18+'RAC-Ben-OCC-LTCP'!E18+'RAC-Ben-OCC-LTCP'!F18+'RAC-Ben-OCC-LTCP'!G18+'RAC-Ben-OCC-LTCP'!H18+'RAC-Ben-OCC-LTCP'!I18</f>
        <v>271502.63750000001</v>
      </c>
      <c r="G15" s="69">
        <f>+'RAC-Ben-OCC-LTCP'!C19+'RAC-Ben-OCC-LTCP'!D19+'RAC-Ben-OCC-LTCP'!E19+'RAC-Ben-OCC-LTCP'!F19+'RAC-Ben-OCC-LTCP'!G19+'RAC-Ben-OCC-LTCP'!H19+'RAC-Ben-OCC-LTCP'!I19</f>
        <v>271502.63750000001</v>
      </c>
      <c r="H15" s="69">
        <f>+'RAC-Ben-OCC-LTCP'!C20+'RAC-Ben-OCC-LTCP'!D20+'RAC-Ben-OCC-LTCP'!E20+'RAC-Ben-OCC-LTCP'!F20+'RAC-Ben-OCC-LTCP'!G20+'RAC-Ben-OCC-LTCP'!H20+'RAC-Ben-OCC-LTCP'!I20</f>
        <v>271502.63750000001</v>
      </c>
      <c r="I15" s="69">
        <f>+'RAC-Ben-OCC-LTCP'!C21+'RAC-Ben-OCC-LTCP'!D21+'RAC-Ben-OCC-LTCP'!E21+'RAC-Ben-OCC-LTCP'!F21+'RAC-Ben-OCC-LTCP'!G21+'RAC-Ben-OCC-LTCP'!H21+'RAC-Ben-OCC-LTCP'!I21</f>
        <v>271502.63750000001</v>
      </c>
      <c r="J15" s="69">
        <f>+'RAC-Ben-OCC-LTCP'!C22+'RAC-Ben-OCC-LTCP'!D22+'RAC-Ben-OCC-LTCP'!E22+'RAC-Ben-OCC-LTCP'!F22+'RAC-Ben-OCC-LTCP'!G22+'RAC-Ben-OCC-LTCP'!H22+'RAC-Ben-OCC-LTCP'!I22</f>
        <v>271502.63750000001</v>
      </c>
      <c r="K15" s="69">
        <f>+'RAC-Ben-OCC-LTCP'!C23+'RAC-Ben-OCC-LTCP'!D23+'RAC-Ben-OCC-LTCP'!E23+'RAC-Ben-OCC-LTCP'!F23+'RAC-Ben-OCC-LTCP'!G23+'RAC-Ben-OCC-LTCP'!H23+'RAC-Ben-OCC-LTCP'!I23</f>
        <v>271502.63750000001</v>
      </c>
      <c r="L15" s="69">
        <f>+'RAC-Ben-OCC-LTCP'!C24+'RAC-Ben-OCC-LTCP'!D24+'RAC-Ben-OCC-LTCP'!E24+'RAC-Ben-OCC-LTCP'!F24+'RAC-Ben-OCC-LTCP'!G24+'RAC-Ben-OCC-LTCP'!H24+'RAC-Ben-OCC-LTCP'!I24</f>
        <v>271502.63750000001</v>
      </c>
      <c r="M15" s="69">
        <f>+'RAC-Ben-OCC-LTCP'!C25+'RAC-Ben-OCC-LTCP'!D25+'RAC-Ben-OCC-LTCP'!E25+'RAC-Ben-OCC-LTCP'!F25+'RAC-Ben-OCC-LTCP'!G25+'RAC-Ben-OCC-LTCP'!H25+'RAC-Ben-OCC-LTCP'!I25</f>
        <v>271502.63750000001</v>
      </c>
      <c r="O15" s="69">
        <f t="shared" si="0"/>
        <v>3258031.6500000008</v>
      </c>
    </row>
    <row r="16" spans="1:15" s="5" customFormat="1">
      <c r="A16" s="36" t="s">
        <v>17</v>
      </c>
      <c r="B16" s="5">
        <f>+'RAC-Ben-OCC-LTCP'!B14</f>
        <v>86720.319999999992</v>
      </c>
      <c r="C16" s="5">
        <f>+'RAC-Ben-OCC-LTCP'!B15</f>
        <v>86720.319999999992</v>
      </c>
      <c r="D16" s="5">
        <f>+'RAC-Ben-OCC-LTCP'!B16</f>
        <v>86720.319999999992</v>
      </c>
      <c r="E16" s="5">
        <f>+'RAC-Ben-OCC-LTCP'!B17</f>
        <v>86720.319999999992</v>
      </c>
      <c r="F16" s="5">
        <f>+'RAC-Ben-OCC-LTCP'!B18</f>
        <v>86720.319999999992</v>
      </c>
      <c r="G16" s="5">
        <f>+'RAC-Ben-OCC-LTCP'!B19</f>
        <v>86720.319999999992</v>
      </c>
      <c r="H16" s="5">
        <f>+'RAC-Ben-OCC-LTCP'!B20</f>
        <v>86720.319999999992</v>
      </c>
      <c r="I16" s="5">
        <f>+'RAC-Ben-OCC-LTCP'!B21</f>
        <v>86720.319999999992</v>
      </c>
      <c r="J16" s="5">
        <f>+'RAC-Ben-OCC-LTCP'!B22</f>
        <v>86720.319999999992</v>
      </c>
      <c r="K16" s="5">
        <f>+'RAC-Ben-OCC-LTCP'!B23</f>
        <v>86720.319999999992</v>
      </c>
      <c r="L16" s="5">
        <f>+'RAC-Ben-OCC-LTCP'!B24</f>
        <v>86720.319999999992</v>
      </c>
      <c r="M16" s="5">
        <f>+'RAC-Ben-OCC-LTCP'!B25</f>
        <v>86720.319999999992</v>
      </c>
      <c r="O16" s="5">
        <f t="shared" si="0"/>
        <v>1040643.8399999997</v>
      </c>
    </row>
    <row r="17" spans="1:15" s="5" customFormat="1">
      <c r="A17" s="36" t="s">
        <v>18</v>
      </c>
      <c r="B17" s="5">
        <f>PR!B12</f>
        <v>4042.6676087026513</v>
      </c>
      <c r="C17" s="5">
        <f>PR!B13</f>
        <v>4126.6296688990669</v>
      </c>
      <c r="D17" s="5">
        <f>PR!B14</f>
        <v>4126.6296688990669</v>
      </c>
      <c r="E17" s="5">
        <f>PR!B15</f>
        <v>4126.6296688990669</v>
      </c>
      <c r="F17" s="5">
        <f>PR!B16</f>
        <v>4126.6660791593431</v>
      </c>
      <c r="G17" s="5">
        <f>PR!B17</f>
        <v>4126.6660791593431</v>
      </c>
      <c r="H17" s="5">
        <f>PR!B18</f>
        <v>4126.6660791593431</v>
      </c>
      <c r="I17" s="5">
        <f>PR!B19</f>
        <v>4126.6660791593431</v>
      </c>
      <c r="J17" s="5">
        <f>PR!B20</f>
        <v>4126.7024894196184</v>
      </c>
      <c r="K17" s="5">
        <f>PR!B21</f>
        <v>7767.7285170179048</v>
      </c>
      <c r="L17" s="5">
        <f>PR!B22</f>
        <v>7767.7285170179048</v>
      </c>
      <c r="M17" s="5">
        <f>PR!B23</f>
        <v>7767.7285170179048</v>
      </c>
      <c r="O17" s="5">
        <f t="shared" si="0"/>
        <v>60359.108972510548</v>
      </c>
    </row>
    <row r="18" spans="1:15" s="5" customFormat="1"/>
    <row r="19" spans="1:15" s="19" customFormat="1" ht="13.5" thickBot="1">
      <c r="A19" s="19" t="s">
        <v>43</v>
      </c>
      <c r="B19" s="20">
        <f t="shared" ref="B19:M19" si="1">B8+B10+B11+B12+B13+B14+B15+B16+B17+B9</f>
        <v>830730.81515299121</v>
      </c>
      <c r="C19" s="20">
        <f t="shared" si="1"/>
        <v>830814.77721318766</v>
      </c>
      <c r="D19" s="20">
        <f t="shared" si="1"/>
        <v>830814.77721318766</v>
      </c>
      <c r="E19" s="20">
        <f t="shared" si="1"/>
        <v>830814.77721318766</v>
      </c>
      <c r="F19" s="20">
        <f t="shared" si="1"/>
        <v>830814.8136234479</v>
      </c>
      <c r="G19" s="20">
        <f t="shared" si="1"/>
        <v>830814.8136234479</v>
      </c>
      <c r="H19" s="20">
        <f t="shared" si="1"/>
        <v>830814.8136234479</v>
      </c>
      <c r="I19" s="20">
        <f t="shared" si="1"/>
        <v>830814.8136234479</v>
      </c>
      <c r="J19" s="20">
        <f t="shared" si="1"/>
        <v>830814.85003370815</v>
      </c>
      <c r="K19" s="20">
        <f t="shared" si="1"/>
        <v>834455.87606130645</v>
      </c>
      <c r="L19" s="20">
        <f t="shared" si="1"/>
        <v>834455.87606130645</v>
      </c>
      <c r="M19" s="20">
        <f t="shared" si="1"/>
        <v>834455.87606130645</v>
      </c>
      <c r="O19" s="20">
        <f>O8+O10+O11+O12+O13+O14+O15+O16+O17+O9</f>
        <v>9980616.8795039747</v>
      </c>
    </row>
    <row r="20" spans="1:15" s="5" customFormat="1" ht="13.5" thickTop="1"/>
    <row r="21" spans="1:15" s="5" customFormat="1">
      <c r="A21" s="16"/>
    </row>
    <row r="22" spans="1:15" s="5" customFormat="1">
      <c r="A22" s="61"/>
    </row>
    <row r="23" spans="1:15" s="5" customFormat="1">
      <c r="A23" s="60"/>
    </row>
    <row r="24" spans="1:15">
      <c r="A24" s="62"/>
    </row>
    <row r="25" spans="1:15">
      <c r="A25" s="115"/>
    </row>
    <row r="26" spans="1:15">
      <c r="A26" s="62"/>
    </row>
    <row r="27" spans="1:15">
      <c r="A27" s="63"/>
      <c r="E27" s="112"/>
    </row>
  </sheetData>
  <mergeCells count="2">
    <mergeCell ref="A2:O2"/>
    <mergeCell ref="A3:O3"/>
  </mergeCells>
  <phoneticPr fontId="0" type="noConversion"/>
  <pageMargins left="0.2" right="0.2" top="0.75" bottom="0.5" header="0.5" footer="0"/>
  <pageSetup scale="86" orientation="landscape" r:id="rId1"/>
  <headerFooter alignWithMargins="0">
    <oddFooter>&amp;L&amp;8&amp;F, &amp;A&amp;R&amp;8&amp;D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workbookViewId="0"/>
  </sheetViews>
  <sheetFormatPr defaultRowHeight="12.75"/>
  <cols>
    <col min="1" max="1" width="33.5703125" customWidth="1"/>
    <col min="2" max="2" width="4.28515625" customWidth="1"/>
    <col min="3" max="3" width="16.85546875" customWidth="1"/>
    <col min="4" max="4" width="15.5703125" customWidth="1"/>
    <col min="5" max="5" width="19.42578125" customWidth="1"/>
    <col min="6" max="6" width="2" customWidth="1"/>
    <col min="7" max="7" width="93" customWidth="1"/>
  </cols>
  <sheetData>
    <row r="1" spans="1:7" ht="15.75">
      <c r="A1" s="190" t="s">
        <v>345</v>
      </c>
    </row>
    <row r="2" spans="1:7" ht="15.75">
      <c r="A2" s="190" t="s">
        <v>349</v>
      </c>
    </row>
    <row r="3" spans="1:7" ht="15.75">
      <c r="A3" s="190" t="s">
        <v>350</v>
      </c>
    </row>
    <row r="5" spans="1:7">
      <c r="C5" s="107">
        <v>2001</v>
      </c>
      <c r="D5" s="107">
        <v>2002</v>
      </c>
      <c r="E5" s="107" t="s">
        <v>351</v>
      </c>
      <c r="G5" s="191" t="s">
        <v>352</v>
      </c>
    </row>
    <row r="6" spans="1:7">
      <c r="A6" s="6" t="s">
        <v>9</v>
      </c>
      <c r="C6" s="192">
        <v>173280</v>
      </c>
      <c r="D6" s="192">
        <v>173280</v>
      </c>
      <c r="E6" s="192">
        <f t="shared" ref="E6:E15" si="0">+D6-C6</f>
        <v>0</v>
      </c>
      <c r="G6" t="s">
        <v>353</v>
      </c>
    </row>
    <row r="7" spans="1:7">
      <c r="A7" s="6" t="s">
        <v>42</v>
      </c>
      <c r="C7" s="192">
        <v>158442</v>
      </c>
      <c r="D7" s="192">
        <v>311186</v>
      </c>
      <c r="E7" s="192">
        <f t="shared" si="0"/>
        <v>152744</v>
      </c>
      <c r="G7" t="s">
        <v>354</v>
      </c>
    </row>
    <row r="8" spans="1:7">
      <c r="A8" s="6" t="s">
        <v>19</v>
      </c>
      <c r="C8" s="192">
        <v>213725</v>
      </c>
      <c r="D8" s="192">
        <v>178247</v>
      </c>
      <c r="E8" s="192">
        <f t="shared" si="0"/>
        <v>-35478</v>
      </c>
      <c r="G8" t="s">
        <v>355</v>
      </c>
    </row>
    <row r="9" spans="1:7">
      <c r="A9" s="6" t="s">
        <v>12</v>
      </c>
      <c r="C9" s="192">
        <v>202356</v>
      </c>
      <c r="D9" s="192">
        <v>174728</v>
      </c>
      <c r="E9" s="192">
        <f t="shared" si="0"/>
        <v>-27628</v>
      </c>
      <c r="G9" t="s">
        <v>356</v>
      </c>
    </row>
    <row r="10" spans="1:7">
      <c r="A10" s="6" t="s">
        <v>13</v>
      </c>
      <c r="C10" s="192">
        <v>318744</v>
      </c>
      <c r="D10" s="192">
        <v>1476397</v>
      </c>
      <c r="E10" s="192">
        <f t="shared" si="0"/>
        <v>1157653</v>
      </c>
      <c r="G10" t="s">
        <v>357</v>
      </c>
    </row>
    <row r="11" spans="1:7">
      <c r="A11" s="6" t="s">
        <v>14</v>
      </c>
      <c r="C11" s="192">
        <v>3525160</v>
      </c>
      <c r="D11" s="192">
        <v>2614761</v>
      </c>
      <c r="E11" s="192">
        <f t="shared" si="0"/>
        <v>-910399</v>
      </c>
      <c r="G11" t="s">
        <v>358</v>
      </c>
    </row>
    <row r="12" spans="1:7">
      <c r="A12" s="6" t="s">
        <v>15</v>
      </c>
      <c r="C12" s="192">
        <v>1058472</v>
      </c>
      <c r="D12" s="192">
        <v>692983</v>
      </c>
      <c r="E12" s="192">
        <f t="shared" si="0"/>
        <v>-365489</v>
      </c>
      <c r="G12" t="s">
        <v>359</v>
      </c>
    </row>
    <row r="13" spans="1:7">
      <c r="A13" s="6" t="s">
        <v>360</v>
      </c>
      <c r="C13" s="192">
        <v>519012</v>
      </c>
      <c r="D13" s="192">
        <v>3258032</v>
      </c>
      <c r="E13" s="192">
        <f t="shared" si="0"/>
        <v>2739020</v>
      </c>
      <c r="G13" t="s">
        <v>361</v>
      </c>
    </row>
    <row r="14" spans="1:7">
      <c r="A14" s="6" t="s">
        <v>17</v>
      </c>
      <c r="C14" s="192">
        <v>1158216</v>
      </c>
      <c r="D14" s="192">
        <v>1040644</v>
      </c>
      <c r="E14" s="192">
        <f t="shared" si="0"/>
        <v>-117572</v>
      </c>
    </row>
    <row r="15" spans="1:7">
      <c r="A15" s="6" t="s">
        <v>18</v>
      </c>
      <c r="C15" s="193">
        <v>102207</v>
      </c>
      <c r="D15" s="193">
        <v>60359</v>
      </c>
      <c r="E15" s="193">
        <f t="shared" si="0"/>
        <v>-41848</v>
      </c>
      <c r="G15" t="s">
        <v>362</v>
      </c>
    </row>
    <row r="16" spans="1:7">
      <c r="A16" s="6"/>
      <c r="C16" s="192">
        <f>SUM(C6:C15)</f>
        <v>7429614</v>
      </c>
      <c r="D16" s="192">
        <f>SUM(D6:D15)</f>
        <v>9980617</v>
      </c>
      <c r="E16" s="192">
        <f>SUM(E6:E15)</f>
        <v>2551003</v>
      </c>
    </row>
    <row r="17" spans="1:4">
      <c r="A17" s="6"/>
      <c r="C17" s="192"/>
      <c r="D17" s="192"/>
    </row>
    <row r="18" spans="1:4">
      <c r="A18" s="6"/>
      <c r="C18" s="192"/>
      <c r="D18" s="192"/>
    </row>
    <row r="19" spans="1:4">
      <c r="A19" s="6"/>
      <c r="C19" s="192"/>
      <c r="D19" s="192"/>
    </row>
    <row r="20" spans="1:4">
      <c r="A20" s="6"/>
    </row>
    <row r="21" spans="1:4">
      <c r="A21" s="6"/>
    </row>
    <row r="22" spans="1:4">
      <c r="A22" s="6"/>
    </row>
    <row r="23" spans="1:4">
      <c r="A23" s="6"/>
    </row>
    <row r="24" spans="1:4">
      <c r="A24" s="6"/>
    </row>
    <row r="25" spans="1:4">
      <c r="A25" s="108"/>
    </row>
    <row r="26" spans="1:4">
      <c r="A26" s="108"/>
    </row>
    <row r="27" spans="1:4">
      <c r="A27" s="108"/>
    </row>
    <row r="28" spans="1:4">
      <c r="A28" s="108"/>
    </row>
  </sheetData>
  <phoneticPr fontId="0" type="noConversion"/>
  <pageMargins left="0.5" right="0.25" top="0.75" bottom="0.5" header="0.5" footer="0"/>
  <pageSetup scale="72" orientation="landscape" r:id="rId1"/>
  <headerFooter alignWithMargins="0">
    <oddFooter>&amp;L&amp;8&amp;F, &amp;A&amp;R&amp;8&amp;D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workbookViewId="0"/>
  </sheetViews>
  <sheetFormatPr defaultRowHeight="12.75"/>
  <cols>
    <col min="1" max="1" width="16.7109375" customWidth="1"/>
    <col min="2" max="2" width="2.140625" customWidth="1"/>
    <col min="3" max="3" width="11" customWidth="1"/>
    <col min="4" max="4" width="1" customWidth="1"/>
    <col min="5" max="5" width="11.7109375" bestFit="1" customWidth="1"/>
    <col min="6" max="6" width="1.85546875" customWidth="1"/>
    <col min="7" max="7" width="11.7109375" bestFit="1" customWidth="1"/>
    <col min="9" max="9" width="9.85546875" customWidth="1"/>
  </cols>
  <sheetData>
    <row r="1" spans="1:8" ht="15.75">
      <c r="A1" s="194" t="s">
        <v>58</v>
      </c>
      <c r="B1" s="195"/>
      <c r="C1" s="196"/>
      <c r="D1" s="196"/>
      <c r="E1" s="197"/>
      <c r="G1" s="116"/>
      <c r="H1" s="117"/>
    </row>
    <row r="2" spans="1:8">
      <c r="A2" s="198" t="s">
        <v>9</v>
      </c>
      <c r="B2" s="15"/>
      <c r="C2" s="15"/>
      <c r="D2" s="15"/>
      <c r="E2" s="199"/>
    </row>
    <row r="3" spans="1:8">
      <c r="A3" s="200"/>
      <c r="B3" s="15"/>
      <c r="C3" s="15"/>
      <c r="D3" s="15"/>
      <c r="E3" s="199"/>
    </row>
    <row r="4" spans="1:8" s="7" customFormat="1">
      <c r="A4" s="208" t="s">
        <v>20</v>
      </c>
      <c r="B4" s="209"/>
      <c r="C4" s="210" t="s">
        <v>21</v>
      </c>
      <c r="D4" s="210"/>
      <c r="E4" s="211" t="s">
        <v>22</v>
      </c>
    </row>
    <row r="5" spans="1:8">
      <c r="A5" s="200"/>
      <c r="B5" s="15"/>
      <c r="C5" s="15"/>
      <c r="D5" s="15"/>
      <c r="E5" s="199"/>
    </row>
    <row r="6" spans="1:8" ht="13.5" thickBot="1">
      <c r="A6" s="204" t="s">
        <v>39</v>
      </c>
      <c r="B6" s="205"/>
      <c r="C6" s="206">
        <v>14440</v>
      </c>
      <c r="D6" s="206"/>
      <c r="E6" s="207">
        <f>+C6*12</f>
        <v>173280</v>
      </c>
    </row>
    <row r="7" spans="1:8">
      <c r="A7" s="15"/>
      <c r="B7" s="15"/>
      <c r="C7" s="15"/>
      <c r="D7" s="15"/>
      <c r="E7" s="9"/>
      <c r="F7" s="9"/>
      <c r="G7" s="9"/>
    </row>
    <row r="8" spans="1:8">
      <c r="A8" s="15"/>
      <c r="B8" s="15"/>
      <c r="C8" s="15"/>
      <c r="D8" s="15"/>
      <c r="E8" s="9"/>
      <c r="F8" s="9"/>
      <c r="G8" s="9"/>
    </row>
    <row r="9" spans="1:8">
      <c r="A9" s="15"/>
      <c r="B9" s="15"/>
      <c r="C9" s="15"/>
      <c r="D9" s="15"/>
      <c r="E9" s="9"/>
      <c r="F9" s="9"/>
      <c r="G9" s="9"/>
    </row>
    <row r="10" spans="1:8">
      <c r="A10" s="15"/>
      <c r="B10" s="15"/>
      <c r="C10" s="15"/>
      <c r="D10" s="15"/>
      <c r="E10" s="9"/>
      <c r="F10" s="9"/>
      <c r="G10" s="9"/>
    </row>
    <row r="11" spans="1:8">
      <c r="A11" s="15" t="s">
        <v>59</v>
      </c>
      <c r="B11" s="15"/>
      <c r="C11" s="15"/>
      <c r="D11" s="15"/>
      <c r="E11" s="9"/>
      <c r="F11" s="9"/>
      <c r="G11" s="9"/>
    </row>
    <row r="12" spans="1:8">
      <c r="A12" s="15" t="s">
        <v>60</v>
      </c>
      <c r="B12" s="15" t="s">
        <v>214</v>
      </c>
      <c r="C12" s="15"/>
      <c r="D12" s="15"/>
      <c r="E12" s="9"/>
      <c r="F12" s="9"/>
      <c r="G12" s="9"/>
    </row>
    <row r="13" spans="1:8">
      <c r="A13" t="s">
        <v>62</v>
      </c>
      <c r="B13" t="s">
        <v>215</v>
      </c>
    </row>
    <row r="14" spans="1:8">
      <c r="A14" t="s">
        <v>64</v>
      </c>
      <c r="B14" t="s">
        <v>216</v>
      </c>
    </row>
    <row r="15" spans="1:8">
      <c r="A15" t="s">
        <v>206</v>
      </c>
      <c r="B15" t="s">
        <v>217</v>
      </c>
    </row>
    <row r="16" spans="1:8">
      <c r="A16" t="s">
        <v>66</v>
      </c>
      <c r="B16" t="s">
        <v>218</v>
      </c>
    </row>
    <row r="18" spans="1:9">
      <c r="A18" t="s">
        <v>219</v>
      </c>
    </row>
    <row r="20" spans="1:9" ht="27.75" customHeight="1">
      <c r="A20" s="238" t="s">
        <v>220</v>
      </c>
      <c r="B20" s="238"/>
      <c r="C20" s="238"/>
      <c r="D20" s="238"/>
      <c r="E20" s="238"/>
      <c r="F20" s="238"/>
      <c r="G20" s="238"/>
      <c r="H20" s="238"/>
      <c r="I20" s="238"/>
    </row>
    <row r="22" spans="1:9" s="21" customFormat="1">
      <c r="A22" s="21" t="s">
        <v>221</v>
      </c>
    </row>
    <row r="23" spans="1:9">
      <c r="A23" t="s">
        <v>222</v>
      </c>
    </row>
    <row r="24" spans="1:9">
      <c r="A24" t="s">
        <v>223</v>
      </c>
    </row>
    <row r="30" spans="1:9">
      <c r="A30" t="s">
        <v>203</v>
      </c>
    </row>
    <row r="31" spans="1:9">
      <c r="A31" t="s">
        <v>60</v>
      </c>
      <c r="B31" t="s">
        <v>224</v>
      </c>
    </row>
    <row r="32" spans="1:9">
      <c r="A32" t="s">
        <v>62</v>
      </c>
      <c r="B32" t="s">
        <v>225</v>
      </c>
    </row>
    <row r="33" spans="1:9">
      <c r="A33" t="s">
        <v>64</v>
      </c>
      <c r="B33" t="s">
        <v>226</v>
      </c>
    </row>
    <row r="34" spans="1:9">
      <c r="A34" t="s">
        <v>206</v>
      </c>
      <c r="B34" t="s">
        <v>227</v>
      </c>
    </row>
    <row r="35" spans="1:9">
      <c r="A35" t="s">
        <v>66</v>
      </c>
      <c r="B35" t="s">
        <v>228</v>
      </c>
    </row>
    <row r="37" spans="1:9">
      <c r="A37" t="s">
        <v>229</v>
      </c>
    </row>
    <row r="38" spans="1:9" ht="47.25" customHeight="1">
      <c r="A38" s="238" t="s">
        <v>230</v>
      </c>
      <c r="B38" s="238"/>
      <c r="C38" s="238"/>
      <c r="D38" s="238"/>
      <c r="E38" s="238"/>
      <c r="F38" s="238"/>
      <c r="G38" s="238"/>
      <c r="H38" s="238"/>
      <c r="I38" s="238"/>
    </row>
    <row r="40" spans="1:9" ht="111.75" customHeight="1">
      <c r="A40" s="238" t="s">
        <v>231</v>
      </c>
      <c r="B40" s="238"/>
      <c r="C40" s="238"/>
      <c r="D40" s="238"/>
      <c r="E40" s="238"/>
      <c r="F40" s="238"/>
      <c r="G40" s="238"/>
      <c r="H40" s="238"/>
      <c r="I40" s="238"/>
    </row>
    <row r="42" spans="1:9" ht="29.25" customHeight="1">
      <c r="A42" s="238" t="s">
        <v>232</v>
      </c>
      <c r="B42" s="238"/>
      <c r="C42" s="238"/>
      <c r="D42" s="238"/>
      <c r="E42" s="238"/>
      <c r="F42" s="238"/>
      <c r="G42" s="238"/>
      <c r="H42" s="238"/>
      <c r="I42" s="238"/>
    </row>
    <row r="44" spans="1:9">
      <c r="A44" t="s">
        <v>221</v>
      </c>
    </row>
    <row r="45" spans="1:9">
      <c r="A45" t="s">
        <v>233</v>
      </c>
    </row>
    <row r="46" spans="1:9">
      <c r="A46" t="s">
        <v>234</v>
      </c>
    </row>
  </sheetData>
  <mergeCells count="4">
    <mergeCell ref="A20:I20"/>
    <mergeCell ref="A38:I38"/>
    <mergeCell ref="A40:I40"/>
    <mergeCell ref="A42:I42"/>
  </mergeCells>
  <phoneticPr fontId="3" type="noConversion"/>
  <pageMargins left="0.75" right="0.5" top="0.75" bottom="0.5" header="0.5" footer="0"/>
  <pageSetup scale="95" orientation="portrait" r:id="rId1"/>
  <headerFooter alignWithMargins="0">
    <oddFooter>&amp;L&amp;8&amp;F, &amp;A&amp;R&amp;8&amp;D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workbookViewId="0"/>
  </sheetViews>
  <sheetFormatPr defaultRowHeight="12.75"/>
  <cols>
    <col min="1" max="1" width="11.28515625" customWidth="1"/>
    <col min="2" max="2" width="32" bestFit="1" customWidth="1"/>
    <col min="3" max="3" width="5.42578125" customWidth="1"/>
    <col min="4" max="4" width="1.85546875" customWidth="1"/>
    <col min="5" max="5" width="11.5703125" customWidth="1"/>
  </cols>
  <sheetData>
    <row r="1" spans="1:6" ht="15.75">
      <c r="A1" s="33" t="s">
        <v>58</v>
      </c>
      <c r="B1" s="34"/>
      <c r="C1" s="6"/>
      <c r="E1" s="116"/>
      <c r="F1" s="117"/>
    </row>
    <row r="2" spans="1:6">
      <c r="A2" s="6" t="s">
        <v>42</v>
      </c>
      <c r="B2" s="6"/>
      <c r="C2" s="6"/>
    </row>
    <row r="7" spans="1:6">
      <c r="A7" s="4" t="s">
        <v>35</v>
      </c>
      <c r="B7" s="4" t="s">
        <v>36</v>
      </c>
      <c r="C7" s="4" t="s">
        <v>37</v>
      </c>
      <c r="D7" s="4"/>
      <c r="E7" s="4" t="s">
        <v>38</v>
      </c>
    </row>
    <row r="9" spans="1:6">
      <c r="A9" s="1">
        <v>105655</v>
      </c>
      <c r="B9" t="s">
        <v>53</v>
      </c>
      <c r="C9" s="12">
        <v>5</v>
      </c>
      <c r="E9" s="213">
        <v>31122</v>
      </c>
    </row>
    <row r="10" spans="1:6">
      <c r="A10" s="1">
        <v>105656</v>
      </c>
      <c r="B10" t="s">
        <v>54</v>
      </c>
      <c r="C10" s="12">
        <v>4</v>
      </c>
      <c r="E10" s="213">
        <v>25694</v>
      </c>
    </row>
    <row r="11" spans="1:6">
      <c r="A11" s="1">
        <v>105657</v>
      </c>
      <c r="B11" t="s">
        <v>55</v>
      </c>
      <c r="C11" s="12">
        <v>10.4</v>
      </c>
      <c r="E11" s="213">
        <v>113972</v>
      </c>
    </row>
    <row r="12" spans="1:6">
      <c r="A12" s="1">
        <v>105660</v>
      </c>
      <c r="B12" t="s">
        <v>57</v>
      </c>
      <c r="C12" s="12">
        <v>8.2899999999999991</v>
      </c>
      <c r="E12" s="213">
        <v>8783</v>
      </c>
    </row>
    <row r="13" spans="1:6">
      <c r="A13" s="1">
        <v>105653</v>
      </c>
      <c r="B13" t="s">
        <v>56</v>
      </c>
      <c r="C13" s="12">
        <v>0.9</v>
      </c>
      <c r="E13" s="213">
        <v>11087</v>
      </c>
    </row>
    <row r="14" spans="1:6">
      <c r="A14" s="1"/>
      <c r="B14" t="s">
        <v>185</v>
      </c>
      <c r="C14" s="12">
        <v>8.3000000000000007</v>
      </c>
      <c r="E14" s="213">
        <v>120528</v>
      </c>
    </row>
    <row r="15" spans="1:6" ht="13.5" thickBot="1">
      <c r="E15" s="14">
        <f>SUM(E9:E14)</f>
        <v>311186</v>
      </c>
    </row>
    <row r="16" spans="1:6" ht="13.5" thickTop="1"/>
    <row r="18" spans="1:1">
      <c r="A18" s="6"/>
    </row>
    <row r="20" spans="1:1" s="21" customFormat="1"/>
  </sheetData>
  <phoneticPr fontId="3" type="noConversion"/>
  <pageMargins left="0.75" right="0.5" top="1" bottom="0.5" header="0.5" footer="0"/>
  <pageSetup orientation="portrait" r:id="rId1"/>
  <headerFooter alignWithMargins="0">
    <oddFooter>&amp;L&amp;8&amp;F, &amp;A&amp;R&amp;8&amp;D   &amp;T</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3"/>
  <sheetViews>
    <sheetView workbookViewId="0"/>
  </sheetViews>
  <sheetFormatPr defaultRowHeight="12.75"/>
  <cols>
    <col min="1" max="1" width="10.7109375" customWidth="1"/>
    <col min="2" max="2" width="13.5703125" customWidth="1"/>
    <col min="3" max="3" width="11" customWidth="1"/>
    <col min="4" max="4" width="2" customWidth="1"/>
    <col min="5" max="5" width="10.7109375" bestFit="1" customWidth="1"/>
    <col min="6" max="6" width="1.42578125" customWidth="1"/>
    <col min="7" max="7" width="11.7109375" bestFit="1" customWidth="1"/>
    <col min="10" max="10" width="8.140625" customWidth="1"/>
    <col min="11" max="11" width="11.7109375" customWidth="1"/>
  </cols>
  <sheetData>
    <row r="1" spans="1:8" ht="15.75">
      <c r="A1" s="194" t="s">
        <v>58</v>
      </c>
      <c r="B1" s="195"/>
      <c r="C1" s="196"/>
      <c r="D1" s="196"/>
      <c r="E1" s="196"/>
      <c r="F1" s="196"/>
      <c r="G1" s="214"/>
      <c r="H1" s="117"/>
    </row>
    <row r="2" spans="1:8">
      <c r="A2" s="198" t="s">
        <v>19</v>
      </c>
      <c r="B2" s="15"/>
      <c r="C2" s="15"/>
      <c r="D2" s="15"/>
      <c r="E2" s="15"/>
      <c r="F2" s="15"/>
      <c r="G2" s="199"/>
    </row>
    <row r="3" spans="1:8">
      <c r="A3" s="200"/>
      <c r="B3" s="15"/>
      <c r="C3" s="15"/>
      <c r="D3" s="15"/>
      <c r="E3" s="15"/>
      <c r="F3" s="15"/>
      <c r="G3" s="199"/>
    </row>
    <row r="4" spans="1:8">
      <c r="A4" s="200"/>
      <c r="B4" s="15"/>
      <c r="C4" s="15"/>
      <c r="D4" s="15"/>
      <c r="E4" s="15"/>
      <c r="F4" s="15"/>
      <c r="G4" s="199"/>
    </row>
    <row r="5" spans="1:8">
      <c r="A5" s="200"/>
      <c r="B5" s="15"/>
      <c r="C5" s="15"/>
      <c r="D5" s="15"/>
      <c r="E5" s="15"/>
      <c r="F5" s="15"/>
      <c r="G5" s="199"/>
    </row>
    <row r="6" spans="1:8">
      <c r="A6" s="201" t="s">
        <v>20</v>
      </c>
      <c r="B6" s="15"/>
      <c r="C6" s="15"/>
      <c r="D6" s="15"/>
      <c r="E6" s="202" t="s">
        <v>21</v>
      </c>
      <c r="F6" s="202"/>
      <c r="G6" s="203" t="s">
        <v>22</v>
      </c>
    </row>
    <row r="7" spans="1:8">
      <c r="A7" s="200"/>
      <c r="B7" s="15"/>
      <c r="C7" s="15"/>
      <c r="D7" s="15"/>
      <c r="E7" s="15"/>
      <c r="F7" s="15"/>
      <c r="G7" s="199"/>
    </row>
    <row r="8" spans="1:8">
      <c r="A8" s="200" t="s">
        <v>199</v>
      </c>
      <c r="B8" s="15"/>
      <c r="C8" s="15"/>
      <c r="D8" s="15"/>
      <c r="E8" s="9">
        <f>+G8/12</f>
        <v>3841.5250000000001</v>
      </c>
      <c r="F8" s="9"/>
      <c r="G8" s="215">
        <f>E14</f>
        <v>46098.3</v>
      </c>
    </row>
    <row r="9" spans="1:8">
      <c r="A9" s="200" t="s">
        <v>366</v>
      </c>
      <c r="B9" s="15"/>
      <c r="C9" s="15"/>
      <c r="D9" s="15"/>
      <c r="E9" s="9">
        <f>+G9/12</f>
        <v>8450</v>
      </c>
      <c r="F9" s="9"/>
      <c r="G9" s="216">
        <v>101400</v>
      </c>
    </row>
    <row r="10" spans="1:8">
      <c r="A10" s="200" t="s">
        <v>213</v>
      </c>
      <c r="B10" s="15"/>
      <c r="C10" s="15"/>
      <c r="D10" s="15"/>
      <c r="E10" s="9">
        <f>+G10/12</f>
        <v>2562.4244791666665</v>
      </c>
      <c r="F10" s="9"/>
      <c r="G10" s="215">
        <f>E18</f>
        <v>30749.09375</v>
      </c>
    </row>
    <row r="11" spans="1:8" ht="13.5" thickBot="1">
      <c r="A11" s="204"/>
      <c r="B11" s="205"/>
      <c r="C11" s="205"/>
      <c r="D11" s="205"/>
      <c r="E11" s="217">
        <f>SUM(E8:E10)</f>
        <v>14853.949479166666</v>
      </c>
      <c r="F11" s="217"/>
      <c r="G11" s="218">
        <f>SUM(G8:G10)</f>
        <v>178247.39374999999</v>
      </c>
    </row>
    <row r="13" spans="1:8">
      <c r="B13" s="107" t="s">
        <v>173</v>
      </c>
    </row>
    <row r="14" spans="1:8">
      <c r="A14" s="1">
        <v>105662</v>
      </c>
      <c r="B14" s="3">
        <v>921966</v>
      </c>
      <c r="C14">
        <v>0.05</v>
      </c>
      <c r="E14" s="13">
        <f>+B14*C14</f>
        <v>46098.3</v>
      </c>
    </row>
    <row r="15" spans="1:8">
      <c r="A15" s="1"/>
    </row>
    <row r="16" spans="1:8">
      <c r="A16" s="1">
        <v>105669</v>
      </c>
      <c r="B16" s="3">
        <v>101400</v>
      </c>
      <c r="C16" t="s">
        <v>212</v>
      </c>
      <c r="E16" s="13"/>
    </row>
    <row r="17" spans="1:5">
      <c r="B17" s="3"/>
      <c r="E17" s="13"/>
    </row>
    <row r="18" spans="1:5">
      <c r="A18" s="1">
        <v>107075</v>
      </c>
      <c r="B18" s="3">
        <v>983971</v>
      </c>
      <c r="C18">
        <v>3.125E-2</v>
      </c>
      <c r="E18" s="13">
        <f>+B18*C18</f>
        <v>30749.09375</v>
      </c>
    </row>
    <row r="19" spans="1:5">
      <c r="B19" s="3"/>
      <c r="E19" s="13"/>
    </row>
    <row r="22" spans="1:5" s="21" customFormat="1"/>
    <row r="23" spans="1:5">
      <c r="A23" s="61" t="s">
        <v>367</v>
      </c>
    </row>
    <row r="24" spans="1:5">
      <c r="A24" s="61" t="s">
        <v>365</v>
      </c>
    </row>
    <row r="25" spans="1:5">
      <c r="A25" s="61" t="s">
        <v>368</v>
      </c>
    </row>
    <row r="26" spans="1:5">
      <c r="B26" t="s">
        <v>238</v>
      </c>
      <c r="C26">
        <f>0.5/16</f>
        <v>3.125E-2</v>
      </c>
      <c r="E26" t="s">
        <v>256</v>
      </c>
    </row>
    <row r="27" spans="1:5">
      <c r="B27" t="s">
        <v>239</v>
      </c>
      <c r="C27">
        <f t="shared" ref="C27:C41" si="0">0.5/16</f>
        <v>3.125E-2</v>
      </c>
    </row>
    <row r="28" spans="1:5">
      <c r="B28" t="s">
        <v>240</v>
      </c>
      <c r="C28">
        <f t="shared" si="0"/>
        <v>3.125E-2</v>
      </c>
    </row>
    <row r="29" spans="1:5">
      <c r="B29" t="s">
        <v>241</v>
      </c>
      <c r="C29">
        <f t="shared" si="0"/>
        <v>3.125E-2</v>
      </c>
    </row>
    <row r="30" spans="1:5">
      <c r="B30" t="s">
        <v>242</v>
      </c>
      <c r="C30">
        <f t="shared" si="0"/>
        <v>3.125E-2</v>
      </c>
    </row>
    <row r="31" spans="1:5">
      <c r="B31" t="s">
        <v>244</v>
      </c>
      <c r="C31">
        <f t="shared" si="0"/>
        <v>3.125E-2</v>
      </c>
    </row>
    <row r="32" spans="1:5">
      <c r="B32" t="s">
        <v>245</v>
      </c>
      <c r="C32">
        <f t="shared" si="0"/>
        <v>3.125E-2</v>
      </c>
    </row>
    <row r="33" spans="2:5">
      <c r="B33" t="s">
        <v>246</v>
      </c>
      <c r="C33">
        <f t="shared" si="0"/>
        <v>3.125E-2</v>
      </c>
    </row>
    <row r="34" spans="2:5">
      <c r="B34" t="s">
        <v>247</v>
      </c>
      <c r="C34">
        <f t="shared" si="0"/>
        <v>3.125E-2</v>
      </c>
    </row>
    <row r="35" spans="2:5">
      <c r="B35" t="s">
        <v>248</v>
      </c>
      <c r="C35">
        <f t="shared" si="0"/>
        <v>3.125E-2</v>
      </c>
    </row>
    <row r="36" spans="2:5">
      <c r="B36" t="s">
        <v>249</v>
      </c>
      <c r="C36">
        <f t="shared" si="0"/>
        <v>3.125E-2</v>
      </c>
    </row>
    <row r="37" spans="2:5">
      <c r="B37" t="s">
        <v>23</v>
      </c>
      <c r="C37">
        <f t="shared" si="0"/>
        <v>3.125E-2</v>
      </c>
      <c r="E37" t="s">
        <v>255</v>
      </c>
    </row>
    <row r="38" spans="2:5">
      <c r="B38" t="s">
        <v>250</v>
      </c>
      <c r="C38">
        <f t="shared" si="0"/>
        <v>3.125E-2</v>
      </c>
    </row>
    <row r="39" spans="2:5">
      <c r="B39" t="s">
        <v>251</v>
      </c>
      <c r="C39">
        <f t="shared" si="0"/>
        <v>3.125E-2</v>
      </c>
    </row>
    <row r="40" spans="2:5">
      <c r="B40" t="s">
        <v>252</v>
      </c>
      <c r="C40">
        <f t="shared" si="0"/>
        <v>3.125E-2</v>
      </c>
    </row>
    <row r="41" spans="2:5">
      <c r="B41" t="s">
        <v>253</v>
      </c>
      <c r="C41">
        <f t="shared" si="0"/>
        <v>3.125E-2</v>
      </c>
    </row>
    <row r="42" spans="2:5">
      <c r="B42" t="s">
        <v>243</v>
      </c>
      <c r="C42" s="109">
        <v>0.5</v>
      </c>
      <c r="E42" t="s">
        <v>254</v>
      </c>
    </row>
    <row r="43" spans="2:5">
      <c r="B43" t="s">
        <v>10</v>
      </c>
      <c r="C43" s="110">
        <f>SUM(C26:C42)</f>
        <v>1</v>
      </c>
    </row>
  </sheetData>
  <phoneticPr fontId="3" type="noConversion"/>
  <pageMargins left="0.75" right="0.75" top="0.75" bottom="0.5" header="0.5" footer="0"/>
  <pageSetup scale="91" orientation="portrait" r:id="rId1"/>
  <headerFooter alignWithMargins="0">
    <oddFooter>&amp;L&amp;8&amp;F, &amp;A&amp;R&amp;8&amp;D   &amp;T</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128"/>
  <sheetViews>
    <sheetView zoomScaleNormal="100" workbookViewId="0">
      <pane xSplit="3" ySplit="5" topLeftCell="F6" activePane="bottomRight" state="frozen"/>
      <selection pane="topRight"/>
      <selection pane="bottomLeft"/>
      <selection pane="bottomRight" activeCell="F60" sqref="F60"/>
    </sheetView>
  </sheetViews>
  <sheetFormatPr defaultRowHeight="12.75"/>
  <cols>
    <col min="1" max="1" width="13.42578125" bestFit="1" customWidth="1"/>
    <col min="2" max="2" width="6.42578125" hidden="1" customWidth="1"/>
    <col min="3" max="3" width="28.7109375" bestFit="1" customWidth="1"/>
    <col min="4" max="4" width="11.28515625" hidden="1" customWidth="1"/>
    <col min="5" max="5" width="10.42578125" hidden="1" customWidth="1"/>
    <col min="6" max="6" width="8.85546875" style="41" customWidth="1"/>
    <col min="7" max="7" width="10.140625" style="41" bestFit="1" customWidth="1"/>
    <col min="8" max="8" width="11.85546875" hidden="1" customWidth="1"/>
    <col min="9" max="9" width="10.28515625" hidden="1" customWidth="1"/>
    <col min="10" max="10" width="11.85546875" hidden="1" customWidth="1"/>
    <col min="11" max="11" width="10.85546875" hidden="1" customWidth="1"/>
    <col min="12" max="12" width="11.85546875" hidden="1" customWidth="1"/>
    <col min="13" max="13" width="11.140625" hidden="1" customWidth="1"/>
    <col min="14" max="14" width="13.5703125" hidden="1" customWidth="1"/>
    <col min="15" max="15" width="15.140625" hidden="1" customWidth="1"/>
    <col min="16" max="16" width="13.5703125" hidden="1" customWidth="1"/>
    <col min="17" max="17" width="11.140625" hidden="1" customWidth="1"/>
    <col min="18" max="18" width="10.42578125" hidden="1" customWidth="1"/>
    <col min="19" max="20" width="14.85546875" hidden="1" customWidth="1"/>
    <col min="21" max="21" width="11.28515625" hidden="1" customWidth="1"/>
    <col min="22" max="22" width="0" hidden="1" customWidth="1"/>
    <col min="23" max="23" width="10.28515625" hidden="1" customWidth="1"/>
    <col min="24" max="24" width="0" hidden="1" customWidth="1"/>
  </cols>
  <sheetData>
    <row r="1" spans="1:25">
      <c r="A1" s="6" t="s">
        <v>93</v>
      </c>
      <c r="G1" s="116"/>
      <c r="X1" s="116"/>
      <c r="Y1" s="117"/>
    </row>
    <row r="2" spans="1:25">
      <c r="A2" s="6" t="s">
        <v>94</v>
      </c>
    </row>
    <row r="3" spans="1:25">
      <c r="A3" s="6" t="s">
        <v>95</v>
      </c>
    </row>
    <row r="5" spans="1:25" ht="38.25" hidden="1">
      <c r="A5" s="70" t="s">
        <v>35</v>
      </c>
      <c r="B5" s="70"/>
      <c r="C5" s="70" t="s">
        <v>36</v>
      </c>
      <c r="D5" s="70"/>
      <c r="E5" s="71" t="s">
        <v>96</v>
      </c>
      <c r="F5" s="84" t="s">
        <v>97</v>
      </c>
      <c r="G5" s="84" t="s">
        <v>98</v>
      </c>
      <c r="H5" s="71" t="s">
        <v>99</v>
      </c>
      <c r="I5" s="71" t="s">
        <v>100</v>
      </c>
      <c r="J5" s="71" t="s">
        <v>101</v>
      </c>
      <c r="K5" s="71" t="s">
        <v>102</v>
      </c>
      <c r="L5" s="71" t="s">
        <v>103</v>
      </c>
      <c r="M5" s="71" t="s">
        <v>104</v>
      </c>
      <c r="N5" s="71" t="s">
        <v>105</v>
      </c>
      <c r="O5" s="71" t="s">
        <v>106</v>
      </c>
      <c r="P5" s="71" t="s">
        <v>107</v>
      </c>
      <c r="Q5" s="71" t="s">
        <v>108</v>
      </c>
      <c r="R5" s="71" t="s">
        <v>109</v>
      </c>
      <c r="S5" s="71" t="s">
        <v>110</v>
      </c>
      <c r="T5" s="71" t="s">
        <v>111</v>
      </c>
      <c r="U5" s="71" t="s">
        <v>112</v>
      </c>
    </row>
    <row r="6" spans="1:25" hidden="1">
      <c r="A6" s="70">
        <v>103816</v>
      </c>
      <c r="B6" s="70" t="s">
        <v>113</v>
      </c>
      <c r="C6" s="70" t="s">
        <v>114</v>
      </c>
      <c r="D6" s="70"/>
      <c r="E6" s="72"/>
      <c r="F6" s="85"/>
      <c r="G6" s="85"/>
      <c r="H6" s="72"/>
      <c r="I6" s="72"/>
      <c r="J6" s="72"/>
      <c r="K6" s="72"/>
      <c r="L6" s="72"/>
      <c r="M6" s="72"/>
      <c r="N6" s="72"/>
      <c r="O6" s="72">
        <v>0.15973844085808256</v>
      </c>
      <c r="P6" s="72"/>
      <c r="Q6" s="72">
        <v>0.84026155914191747</v>
      </c>
      <c r="R6" s="72"/>
      <c r="S6" s="72"/>
      <c r="T6" s="72"/>
      <c r="U6" s="72">
        <f t="shared" ref="U6:U46" si="0">SUBTOTAL(9,E6:T6)</f>
        <v>1</v>
      </c>
    </row>
    <row r="7" spans="1:25" hidden="1">
      <c r="A7" s="70">
        <v>103817</v>
      </c>
      <c r="B7" s="70" t="s">
        <v>113</v>
      </c>
      <c r="C7" s="70" t="s">
        <v>115</v>
      </c>
      <c r="D7" s="70"/>
      <c r="E7" s="72"/>
      <c r="F7" s="85"/>
      <c r="G7" s="85"/>
      <c r="H7" s="72">
        <v>0.88095238094781936</v>
      </c>
      <c r="I7" s="72"/>
      <c r="J7" s="72"/>
      <c r="K7" s="72"/>
      <c r="L7" s="72"/>
      <c r="M7" s="72"/>
      <c r="N7" s="72"/>
      <c r="O7" s="72">
        <v>0.11904761905218068</v>
      </c>
      <c r="P7" s="72"/>
      <c r="Q7" s="72"/>
      <c r="R7" s="72"/>
      <c r="S7" s="72"/>
      <c r="T7" s="72"/>
      <c r="U7" s="72">
        <f t="shared" si="0"/>
        <v>1</v>
      </c>
    </row>
    <row r="8" spans="1:25" hidden="1">
      <c r="A8" s="70">
        <v>103818</v>
      </c>
      <c r="B8" s="70" t="s">
        <v>113</v>
      </c>
      <c r="C8" s="70" t="s">
        <v>116</v>
      </c>
      <c r="D8" s="70"/>
      <c r="E8" s="72"/>
      <c r="F8" s="85"/>
      <c r="G8" s="85"/>
      <c r="H8" s="72"/>
      <c r="I8" s="72"/>
      <c r="J8" s="72">
        <v>0.851135053795121</v>
      </c>
      <c r="K8" s="72"/>
      <c r="L8" s="72"/>
      <c r="M8" s="72"/>
      <c r="N8" s="72"/>
      <c r="O8" s="72">
        <v>0.148864946204879</v>
      </c>
      <c r="P8" s="72"/>
      <c r="Q8" s="72"/>
      <c r="R8" s="72"/>
      <c r="S8" s="72"/>
      <c r="T8" s="72"/>
      <c r="U8" s="72">
        <f t="shared" si="0"/>
        <v>1</v>
      </c>
    </row>
    <row r="9" spans="1:25" hidden="1">
      <c r="A9" s="70">
        <v>103819</v>
      </c>
      <c r="B9" s="70" t="s">
        <v>117</v>
      </c>
      <c r="C9" s="70" t="s">
        <v>118</v>
      </c>
      <c r="D9" s="70"/>
      <c r="E9" s="72">
        <v>0.05</v>
      </c>
      <c r="F9" s="85"/>
      <c r="G9" s="85"/>
      <c r="H9" s="72">
        <v>0.4</v>
      </c>
      <c r="I9" s="72"/>
      <c r="J9" s="72">
        <v>0.35</v>
      </c>
      <c r="K9" s="72"/>
      <c r="L9" s="72"/>
      <c r="M9" s="72"/>
      <c r="N9" s="72"/>
      <c r="O9" s="72"/>
      <c r="P9" s="72">
        <v>0.02</v>
      </c>
      <c r="Q9" s="72">
        <v>0.18</v>
      </c>
      <c r="R9" s="72"/>
      <c r="S9" s="72"/>
      <c r="T9" s="72"/>
      <c r="U9" s="72">
        <f t="shared" si="0"/>
        <v>1</v>
      </c>
    </row>
    <row r="10" spans="1:25" hidden="1">
      <c r="A10" s="70">
        <v>103820</v>
      </c>
      <c r="B10" s="70" t="s">
        <v>113</v>
      </c>
      <c r="C10" s="70" t="s">
        <v>119</v>
      </c>
      <c r="D10" s="70"/>
      <c r="E10" s="72">
        <v>3.5362089344306701E-2</v>
      </c>
      <c r="F10" s="85"/>
      <c r="G10" s="85"/>
      <c r="H10" s="72">
        <v>0.1338652131530467</v>
      </c>
      <c r="I10" s="72"/>
      <c r="J10" s="72">
        <v>0.1622052763693014</v>
      </c>
      <c r="K10" s="72"/>
      <c r="L10" s="72"/>
      <c r="M10" s="72">
        <v>0.40033517955600212</v>
      </c>
      <c r="N10" s="72"/>
      <c r="O10" s="72">
        <v>0.10649841866333534</v>
      </c>
      <c r="P10" s="72"/>
      <c r="Q10" s="72">
        <v>0.16173382291400765</v>
      </c>
      <c r="R10" s="72"/>
      <c r="S10" s="72"/>
      <c r="T10" s="72"/>
      <c r="U10" s="72">
        <f t="shared" si="0"/>
        <v>0.99999999999999989</v>
      </c>
    </row>
    <row r="11" spans="1:25" hidden="1">
      <c r="A11" s="70">
        <v>103821</v>
      </c>
      <c r="B11" s="70" t="s">
        <v>113</v>
      </c>
      <c r="C11" s="70" t="s">
        <v>120</v>
      </c>
      <c r="D11" s="70"/>
      <c r="E11" s="72"/>
      <c r="F11" s="85"/>
      <c r="G11" s="85"/>
      <c r="H11" s="72">
        <v>0.2</v>
      </c>
      <c r="I11" s="72">
        <v>0.2</v>
      </c>
      <c r="J11" s="72">
        <v>0.2</v>
      </c>
      <c r="K11" s="72"/>
      <c r="L11" s="72"/>
      <c r="M11" s="72">
        <v>0.2</v>
      </c>
      <c r="N11" s="72"/>
      <c r="O11" s="72"/>
      <c r="P11" s="72"/>
      <c r="Q11" s="72">
        <v>0.2</v>
      </c>
      <c r="R11" s="72"/>
      <c r="S11" s="72"/>
      <c r="T11" s="72"/>
      <c r="U11" s="72">
        <f t="shared" si="0"/>
        <v>1</v>
      </c>
    </row>
    <row r="12" spans="1:25" hidden="1">
      <c r="A12" s="70">
        <v>103822</v>
      </c>
      <c r="B12" s="70" t="s">
        <v>121</v>
      </c>
      <c r="C12" s="70" t="s">
        <v>122</v>
      </c>
      <c r="D12" s="70"/>
      <c r="E12" s="72"/>
      <c r="F12" s="85"/>
      <c r="G12" s="85"/>
      <c r="H12" s="72">
        <v>0.38</v>
      </c>
      <c r="I12" s="72"/>
      <c r="J12" s="72">
        <v>0.37</v>
      </c>
      <c r="K12" s="72"/>
      <c r="L12" s="72"/>
      <c r="M12" s="72"/>
      <c r="N12" s="72"/>
      <c r="O12" s="72"/>
      <c r="P12" s="72">
        <v>0.04</v>
      </c>
      <c r="Q12" s="72">
        <v>0.21</v>
      </c>
      <c r="R12" s="72"/>
      <c r="S12" s="72"/>
      <c r="T12" s="72"/>
      <c r="U12" s="72">
        <f t="shared" si="0"/>
        <v>1</v>
      </c>
    </row>
    <row r="13" spans="1:25" hidden="1">
      <c r="A13" s="70">
        <v>103823</v>
      </c>
      <c r="B13" s="70" t="s">
        <v>123</v>
      </c>
      <c r="C13" s="70" t="s">
        <v>124</v>
      </c>
      <c r="D13" s="70"/>
      <c r="E13" s="72"/>
      <c r="F13" s="85"/>
      <c r="G13" s="85"/>
      <c r="H13" s="72"/>
      <c r="I13" s="72"/>
      <c r="J13" s="72"/>
      <c r="K13" s="72">
        <v>0.94</v>
      </c>
      <c r="L13" s="72"/>
      <c r="M13" s="72"/>
      <c r="N13" s="72"/>
      <c r="O13" s="72"/>
      <c r="P13" s="72"/>
      <c r="Q13" s="72"/>
      <c r="R13" s="72">
        <v>0.06</v>
      </c>
      <c r="S13" s="72"/>
      <c r="T13" s="72"/>
      <c r="U13" s="72">
        <f t="shared" si="0"/>
        <v>1</v>
      </c>
    </row>
    <row r="14" spans="1:25" hidden="1">
      <c r="A14" s="70">
        <v>103824</v>
      </c>
      <c r="B14" s="70" t="s">
        <v>123</v>
      </c>
      <c r="C14" s="70" t="s">
        <v>125</v>
      </c>
      <c r="D14" s="70"/>
      <c r="E14" s="72"/>
      <c r="F14" s="85"/>
      <c r="G14" s="85"/>
      <c r="H14" s="72"/>
      <c r="I14" s="72"/>
      <c r="J14" s="72"/>
      <c r="K14" s="72"/>
      <c r="L14" s="72"/>
      <c r="M14" s="72"/>
      <c r="N14" s="72"/>
      <c r="O14" s="72"/>
      <c r="P14" s="72"/>
      <c r="Q14" s="72"/>
      <c r="R14" s="72">
        <v>1</v>
      </c>
      <c r="S14" s="72"/>
      <c r="T14" s="72"/>
      <c r="U14" s="72">
        <f t="shared" si="0"/>
        <v>1</v>
      </c>
    </row>
    <row r="15" spans="1:25" hidden="1">
      <c r="A15" s="70">
        <v>103825</v>
      </c>
      <c r="B15" s="70" t="s">
        <v>123</v>
      </c>
      <c r="C15" s="70" t="s">
        <v>126</v>
      </c>
      <c r="D15" s="70"/>
      <c r="E15" s="72"/>
      <c r="F15" s="85"/>
      <c r="G15" s="85"/>
      <c r="H15" s="72"/>
      <c r="I15" s="72"/>
      <c r="J15" s="72"/>
      <c r="K15" s="72">
        <v>0.59357456848169732</v>
      </c>
      <c r="L15" s="72"/>
      <c r="M15" s="72"/>
      <c r="N15" s="72"/>
      <c r="O15" s="72"/>
      <c r="P15" s="72"/>
      <c r="Q15" s="72"/>
      <c r="R15" s="72">
        <v>0.40642543151830274</v>
      </c>
      <c r="S15" s="72"/>
      <c r="T15" s="72"/>
      <c r="U15" s="72">
        <f t="shared" si="0"/>
        <v>1</v>
      </c>
    </row>
    <row r="16" spans="1:25" hidden="1">
      <c r="A16" s="70">
        <v>103826</v>
      </c>
      <c r="B16" s="70" t="s">
        <v>123</v>
      </c>
      <c r="C16" s="70" t="s">
        <v>127</v>
      </c>
      <c r="D16" s="70"/>
      <c r="E16" s="72"/>
      <c r="F16" s="85"/>
      <c r="G16" s="85"/>
      <c r="H16" s="72"/>
      <c r="I16" s="72"/>
      <c r="J16" s="72"/>
      <c r="K16" s="72">
        <v>1</v>
      </c>
      <c r="L16" s="72"/>
      <c r="M16" s="72"/>
      <c r="N16" s="72"/>
      <c r="O16" s="72"/>
      <c r="P16" s="72"/>
      <c r="Q16" s="72"/>
      <c r="R16" s="72"/>
      <c r="S16" s="72"/>
      <c r="T16" s="72"/>
      <c r="U16" s="72">
        <f t="shared" si="0"/>
        <v>1</v>
      </c>
    </row>
    <row r="17" spans="1:21" hidden="1">
      <c r="A17" s="70">
        <v>103827</v>
      </c>
      <c r="B17" s="70" t="s">
        <v>123</v>
      </c>
      <c r="C17" s="70" t="s">
        <v>128</v>
      </c>
      <c r="D17" s="70"/>
      <c r="E17" s="72"/>
      <c r="F17" s="85"/>
      <c r="G17" s="85"/>
      <c r="H17" s="72"/>
      <c r="I17" s="72"/>
      <c r="J17" s="72"/>
      <c r="K17" s="72">
        <v>0.62654072216321333</v>
      </c>
      <c r="L17" s="72"/>
      <c r="M17" s="72"/>
      <c r="N17" s="72"/>
      <c r="O17" s="72"/>
      <c r="P17" s="72"/>
      <c r="Q17" s="72"/>
      <c r="R17" s="72">
        <v>0.37345927783678656</v>
      </c>
      <c r="S17" s="72"/>
      <c r="T17" s="72"/>
      <c r="U17" s="72">
        <f t="shared" si="0"/>
        <v>0.99999999999999989</v>
      </c>
    </row>
    <row r="18" spans="1:21" hidden="1">
      <c r="A18" s="70">
        <v>103832</v>
      </c>
      <c r="B18" s="70" t="s">
        <v>121</v>
      </c>
      <c r="C18" s="70" t="s">
        <v>129</v>
      </c>
      <c r="D18" s="70"/>
      <c r="E18" s="72">
        <v>1</v>
      </c>
      <c r="F18" s="85"/>
      <c r="G18" s="85"/>
      <c r="H18" s="72"/>
      <c r="I18" s="72"/>
      <c r="J18" s="72"/>
      <c r="K18" s="72"/>
      <c r="L18" s="72"/>
      <c r="M18" s="72"/>
      <c r="N18" s="72"/>
      <c r="O18" s="72"/>
      <c r="P18" s="72"/>
      <c r="Q18" s="72"/>
      <c r="R18" s="72"/>
      <c r="S18" s="72"/>
      <c r="T18" s="72"/>
      <c r="U18" s="72">
        <f t="shared" si="0"/>
        <v>1</v>
      </c>
    </row>
    <row r="19" spans="1:21" hidden="1">
      <c r="A19" s="73">
        <v>103833</v>
      </c>
      <c r="B19" s="73" t="s">
        <v>113</v>
      </c>
      <c r="C19" s="73" t="s">
        <v>130</v>
      </c>
      <c r="D19" s="73"/>
      <c r="E19" s="72">
        <v>1</v>
      </c>
      <c r="F19" s="85"/>
      <c r="G19" s="85"/>
      <c r="H19" s="72"/>
      <c r="I19" s="72"/>
      <c r="J19" s="72"/>
      <c r="K19" s="72"/>
      <c r="L19" s="72"/>
      <c r="M19" s="72"/>
      <c r="N19" s="72"/>
      <c r="O19" s="72"/>
      <c r="P19" s="72"/>
      <c r="Q19" s="72"/>
      <c r="R19" s="72"/>
      <c r="S19" s="72"/>
      <c r="T19" s="72"/>
      <c r="U19" s="72">
        <f t="shared" si="0"/>
        <v>1</v>
      </c>
    </row>
    <row r="20" spans="1:21" hidden="1">
      <c r="A20" s="70">
        <v>103834</v>
      </c>
      <c r="B20" s="70" t="s">
        <v>121</v>
      </c>
      <c r="C20" s="70" t="s">
        <v>131</v>
      </c>
      <c r="D20" s="70"/>
      <c r="E20" s="72">
        <v>0.13</v>
      </c>
      <c r="F20" s="85"/>
      <c r="G20" s="85">
        <v>0.04</v>
      </c>
      <c r="H20" s="72">
        <v>0.13</v>
      </c>
      <c r="I20" s="72"/>
      <c r="J20" s="72">
        <v>0.14000000000000001</v>
      </c>
      <c r="K20" s="72">
        <v>0.14000000000000001</v>
      </c>
      <c r="L20" s="72"/>
      <c r="M20" s="72"/>
      <c r="N20" s="72"/>
      <c r="O20" s="72"/>
      <c r="P20" s="72">
        <v>0.04</v>
      </c>
      <c r="Q20" s="72">
        <v>0.14000000000000001</v>
      </c>
      <c r="R20" s="72">
        <v>0.14000000000000001</v>
      </c>
      <c r="S20" s="72"/>
      <c r="T20" s="72"/>
      <c r="U20" s="72">
        <f t="shared" si="0"/>
        <v>0.90000000000000013</v>
      </c>
    </row>
    <row r="21" spans="1:21" hidden="1">
      <c r="A21" s="70">
        <v>103835</v>
      </c>
      <c r="B21" s="70" t="s">
        <v>121</v>
      </c>
      <c r="C21" s="70" t="s">
        <v>132</v>
      </c>
      <c r="D21" s="70"/>
      <c r="E21" s="72">
        <v>0.72637545201107967</v>
      </c>
      <c r="F21" s="85"/>
      <c r="G21" s="85"/>
      <c r="H21" s="72">
        <v>0.16417472873773312</v>
      </c>
      <c r="I21" s="72"/>
      <c r="J21" s="72">
        <v>7.5246750752572089E-2</v>
      </c>
      <c r="K21" s="72"/>
      <c r="L21" s="72"/>
      <c r="M21" s="72"/>
      <c r="N21" s="72"/>
      <c r="O21" s="72"/>
      <c r="P21" s="72"/>
      <c r="Q21" s="72">
        <v>3.4203068498615027E-2</v>
      </c>
      <c r="R21" s="72"/>
      <c r="S21" s="72"/>
      <c r="T21" s="72"/>
      <c r="U21" s="72">
        <f t="shared" si="0"/>
        <v>0.99999999999999978</v>
      </c>
    </row>
    <row r="22" spans="1:21" hidden="1">
      <c r="A22" s="70">
        <v>103838</v>
      </c>
      <c r="B22" s="70" t="s">
        <v>133</v>
      </c>
      <c r="C22" s="70" t="s">
        <v>134</v>
      </c>
      <c r="D22" s="70"/>
      <c r="E22" s="72">
        <v>0.01</v>
      </c>
      <c r="F22" s="85"/>
      <c r="G22" s="85">
        <v>0.03</v>
      </c>
      <c r="H22" s="72">
        <v>0.01</v>
      </c>
      <c r="I22" s="72">
        <v>0.01</v>
      </c>
      <c r="J22" s="72">
        <v>0.01</v>
      </c>
      <c r="K22" s="72">
        <v>0.02</v>
      </c>
      <c r="L22" s="72"/>
      <c r="M22" s="72">
        <v>0.01</v>
      </c>
      <c r="N22" s="72"/>
      <c r="O22" s="72">
        <v>0.01</v>
      </c>
      <c r="P22" s="72">
        <v>0.01</v>
      </c>
      <c r="Q22" s="72">
        <v>0.01</v>
      </c>
      <c r="R22" s="72">
        <v>0.02</v>
      </c>
      <c r="S22" s="72">
        <v>0.01</v>
      </c>
      <c r="T22" s="72">
        <v>0.13</v>
      </c>
      <c r="U22" s="72">
        <f t="shared" si="0"/>
        <v>0.29000000000000004</v>
      </c>
    </row>
    <row r="23" spans="1:21" hidden="1">
      <c r="A23" s="70">
        <v>103841</v>
      </c>
      <c r="B23" s="70" t="s">
        <v>135</v>
      </c>
      <c r="C23" s="70" t="s">
        <v>136</v>
      </c>
      <c r="D23" s="70"/>
      <c r="E23" s="72">
        <v>0.03</v>
      </c>
      <c r="F23" s="85"/>
      <c r="G23" s="85"/>
      <c r="H23" s="72">
        <v>0.02</v>
      </c>
      <c r="I23" s="72"/>
      <c r="J23" s="72">
        <v>0.02</v>
      </c>
      <c r="K23" s="72">
        <v>0.02</v>
      </c>
      <c r="L23" s="72"/>
      <c r="M23" s="72">
        <v>0.02</v>
      </c>
      <c r="N23" s="72"/>
      <c r="O23" s="72"/>
      <c r="P23" s="72"/>
      <c r="Q23" s="72">
        <v>0.02</v>
      </c>
      <c r="R23" s="72">
        <v>1.4999999999999999E-2</v>
      </c>
      <c r="S23" s="72"/>
      <c r="T23" s="72"/>
      <c r="U23" s="72">
        <f t="shared" si="0"/>
        <v>0.14500000000000002</v>
      </c>
    </row>
    <row r="24" spans="1:21" hidden="1">
      <c r="A24" s="70">
        <v>103844</v>
      </c>
      <c r="B24" s="70" t="s">
        <v>121</v>
      </c>
      <c r="C24" s="70" t="s">
        <v>137</v>
      </c>
      <c r="D24" s="70"/>
      <c r="E24" s="72">
        <v>4.7500000000000001E-2</v>
      </c>
      <c r="F24" s="85"/>
      <c r="G24" s="85"/>
      <c r="H24" s="72">
        <v>0.27</v>
      </c>
      <c r="I24" s="72"/>
      <c r="J24" s="72">
        <v>0.3</v>
      </c>
      <c r="K24" s="72"/>
      <c r="L24" s="72"/>
      <c r="M24" s="72"/>
      <c r="N24" s="72"/>
      <c r="O24" s="72"/>
      <c r="P24" s="72"/>
      <c r="Q24" s="72">
        <v>0.18</v>
      </c>
      <c r="R24" s="72"/>
      <c r="S24" s="72"/>
      <c r="T24" s="72"/>
      <c r="U24" s="72">
        <f t="shared" si="0"/>
        <v>0.79749999999999988</v>
      </c>
    </row>
    <row r="25" spans="1:21" hidden="1">
      <c r="A25" s="70">
        <v>103845</v>
      </c>
      <c r="B25" s="70" t="s">
        <v>113</v>
      </c>
      <c r="C25" s="70" t="s">
        <v>138</v>
      </c>
      <c r="D25" s="70"/>
      <c r="E25" s="72">
        <v>0.18763227512885566</v>
      </c>
      <c r="F25" s="85"/>
      <c r="G25" s="85"/>
      <c r="H25" s="72">
        <v>0.23260582010908912</v>
      </c>
      <c r="I25" s="72"/>
      <c r="J25" s="72">
        <v>0.23260582010908912</v>
      </c>
      <c r="K25" s="72"/>
      <c r="L25" s="72"/>
      <c r="M25" s="72">
        <v>0.20449735450434395</v>
      </c>
      <c r="N25" s="72"/>
      <c r="O25" s="72"/>
      <c r="P25" s="72"/>
      <c r="Q25" s="72">
        <v>0.14265873014862224</v>
      </c>
      <c r="R25" s="72"/>
      <c r="S25" s="72"/>
      <c r="T25" s="72"/>
      <c r="U25" s="72">
        <f t="shared" si="0"/>
        <v>1</v>
      </c>
    </row>
    <row r="26" spans="1:21" hidden="1">
      <c r="A26" s="70">
        <v>103846</v>
      </c>
      <c r="B26" s="70" t="s">
        <v>113</v>
      </c>
      <c r="C26" s="70" t="s">
        <v>139</v>
      </c>
      <c r="D26" s="70"/>
      <c r="E26" s="72">
        <v>0.20000000000248286</v>
      </c>
      <c r="F26" s="85"/>
      <c r="G26" s="85"/>
      <c r="H26" s="72">
        <v>0.20000000000248286</v>
      </c>
      <c r="I26" s="72"/>
      <c r="J26" s="72">
        <v>0.20000000000248286</v>
      </c>
      <c r="K26" s="72"/>
      <c r="L26" s="72"/>
      <c r="M26" s="72">
        <v>0.19999999999006854</v>
      </c>
      <c r="N26" s="72"/>
      <c r="O26" s="72"/>
      <c r="P26" s="72"/>
      <c r="Q26" s="72">
        <v>0.20000000000248286</v>
      </c>
      <c r="R26" s="72"/>
      <c r="S26" s="72"/>
      <c r="T26" s="72"/>
      <c r="U26" s="72">
        <f t="shared" si="0"/>
        <v>1</v>
      </c>
    </row>
    <row r="27" spans="1:21" hidden="1">
      <c r="A27" s="70">
        <v>103852</v>
      </c>
      <c r="B27" s="70" t="s">
        <v>117</v>
      </c>
      <c r="C27" s="70" t="s">
        <v>140</v>
      </c>
      <c r="D27" s="70"/>
      <c r="E27" s="72"/>
      <c r="F27" s="85"/>
      <c r="G27" s="85"/>
      <c r="H27" s="72"/>
      <c r="I27" s="72"/>
      <c r="J27" s="72"/>
      <c r="K27" s="72"/>
      <c r="L27" s="72"/>
      <c r="M27" s="72"/>
      <c r="N27" s="72"/>
      <c r="O27" s="72"/>
      <c r="P27" s="72"/>
      <c r="Q27" s="72"/>
      <c r="R27" s="72"/>
      <c r="S27" s="72"/>
      <c r="T27" s="72"/>
      <c r="U27" s="72">
        <f t="shared" si="0"/>
        <v>0</v>
      </c>
    </row>
    <row r="28" spans="1:21" hidden="1">
      <c r="A28" s="70">
        <v>103855</v>
      </c>
      <c r="B28" s="70" t="s">
        <v>135</v>
      </c>
      <c r="C28" s="70" t="s">
        <v>141</v>
      </c>
      <c r="D28" s="70"/>
      <c r="E28" s="72">
        <v>0.03</v>
      </c>
      <c r="F28" s="85"/>
      <c r="G28" s="85"/>
      <c r="H28" s="72">
        <v>0.02</v>
      </c>
      <c r="I28" s="72"/>
      <c r="J28" s="72">
        <v>0.02</v>
      </c>
      <c r="K28" s="72">
        <v>0.08</v>
      </c>
      <c r="L28" s="72"/>
      <c r="M28" s="72">
        <v>0.32</v>
      </c>
      <c r="N28" s="72"/>
      <c r="O28" s="72"/>
      <c r="P28" s="72"/>
      <c r="Q28" s="72">
        <v>0.02</v>
      </c>
      <c r="R28" s="72">
        <v>0.06</v>
      </c>
      <c r="S28" s="72"/>
      <c r="T28" s="72"/>
      <c r="U28" s="72">
        <f t="shared" si="0"/>
        <v>0.55000000000000004</v>
      </c>
    </row>
    <row r="29" spans="1:21" hidden="1">
      <c r="A29" s="70">
        <v>103857</v>
      </c>
      <c r="B29" s="70" t="s">
        <v>113</v>
      </c>
      <c r="C29" s="70" t="s">
        <v>142</v>
      </c>
      <c r="D29" s="70"/>
      <c r="E29" s="72">
        <v>2.8468063446650996E-2</v>
      </c>
      <c r="F29" s="85"/>
      <c r="G29" s="85"/>
      <c r="H29" s="72">
        <v>0.56969494740271598</v>
      </c>
      <c r="I29" s="72"/>
      <c r="J29" s="72">
        <v>0.24675541348241739</v>
      </c>
      <c r="K29" s="72"/>
      <c r="L29" s="72"/>
      <c r="M29" s="72"/>
      <c r="N29" s="72"/>
      <c r="O29" s="72"/>
      <c r="P29" s="72"/>
      <c r="Q29" s="72">
        <v>0.15508157566821562</v>
      </c>
      <c r="R29" s="72"/>
      <c r="S29" s="72"/>
      <c r="T29" s="72"/>
      <c r="U29" s="72">
        <f t="shared" si="0"/>
        <v>1</v>
      </c>
    </row>
    <row r="30" spans="1:21" hidden="1">
      <c r="A30" s="70">
        <v>103858</v>
      </c>
      <c r="B30" s="70" t="s">
        <v>117</v>
      </c>
      <c r="C30" s="70" t="s">
        <v>143</v>
      </c>
      <c r="D30" s="70"/>
      <c r="E30" s="72">
        <v>0.20301870735469296</v>
      </c>
      <c r="F30" s="85"/>
      <c r="G30" s="85"/>
      <c r="H30" s="72">
        <v>0.15490580866975948</v>
      </c>
      <c r="I30" s="72"/>
      <c r="J30" s="72">
        <v>0.56426936144972284</v>
      </c>
      <c r="K30" s="72"/>
      <c r="L30" s="72"/>
      <c r="M30" s="72"/>
      <c r="N30" s="72"/>
      <c r="O30" s="72">
        <v>3.1249999940462521E-2</v>
      </c>
      <c r="P30" s="72"/>
      <c r="Q30" s="72">
        <v>4.6556122585362333E-2</v>
      </c>
      <c r="R30" s="72"/>
      <c r="S30" s="72"/>
      <c r="T30" s="72"/>
      <c r="U30" s="72">
        <f t="shared" si="0"/>
        <v>1</v>
      </c>
    </row>
    <row r="31" spans="1:21" hidden="1">
      <c r="A31" s="70">
        <v>103859</v>
      </c>
      <c r="B31" s="70" t="s">
        <v>117</v>
      </c>
      <c r="C31" s="70" t="s">
        <v>144</v>
      </c>
      <c r="D31" s="70"/>
      <c r="E31" s="72">
        <v>7.0000000000000007E-2</v>
      </c>
      <c r="F31" s="85"/>
      <c r="G31" s="85"/>
      <c r="H31" s="72">
        <v>0.49</v>
      </c>
      <c r="I31" s="72"/>
      <c r="J31" s="72">
        <v>0.22</v>
      </c>
      <c r="K31" s="72"/>
      <c r="L31" s="72"/>
      <c r="M31" s="72">
        <v>0.05</v>
      </c>
      <c r="N31" s="72"/>
      <c r="O31" s="72">
        <v>0.05</v>
      </c>
      <c r="P31" s="72"/>
      <c r="Q31" s="72">
        <v>0.12</v>
      </c>
      <c r="R31" s="72"/>
      <c r="S31" s="72"/>
      <c r="T31" s="72"/>
      <c r="U31" s="72">
        <f t="shared" si="0"/>
        <v>1</v>
      </c>
    </row>
    <row r="32" spans="1:21" hidden="1">
      <c r="A32" s="70">
        <v>103860</v>
      </c>
      <c r="B32" s="70" t="s">
        <v>145</v>
      </c>
      <c r="C32" s="70" t="s">
        <v>146</v>
      </c>
      <c r="D32" s="70"/>
      <c r="E32" s="72"/>
      <c r="F32" s="85"/>
      <c r="G32" s="85"/>
      <c r="H32" s="72">
        <v>0.02</v>
      </c>
      <c r="I32" s="72"/>
      <c r="J32" s="72">
        <v>0.02</v>
      </c>
      <c r="K32" s="72">
        <v>0.09</v>
      </c>
      <c r="L32" s="72"/>
      <c r="M32" s="72">
        <v>0.02</v>
      </c>
      <c r="N32" s="72"/>
      <c r="O32" s="72">
        <v>0</v>
      </c>
      <c r="P32" s="72"/>
      <c r="Q32" s="72">
        <v>0.02</v>
      </c>
      <c r="R32" s="72">
        <v>0.08</v>
      </c>
      <c r="S32" s="72"/>
      <c r="T32" s="72"/>
      <c r="U32" s="72">
        <f t="shared" si="0"/>
        <v>0.25</v>
      </c>
    </row>
    <row r="33" spans="1:22" hidden="1">
      <c r="A33" s="70">
        <v>103864</v>
      </c>
      <c r="B33" s="70" t="s">
        <v>145</v>
      </c>
      <c r="C33" s="70" t="s">
        <v>147</v>
      </c>
      <c r="D33" s="70"/>
      <c r="E33" s="72">
        <v>0.06</v>
      </c>
      <c r="F33" s="85"/>
      <c r="G33" s="85">
        <v>0.03</v>
      </c>
      <c r="H33" s="72">
        <v>7.0000000000000007E-2</v>
      </c>
      <c r="I33" s="72"/>
      <c r="J33" s="72">
        <v>7.0000000000000007E-2</v>
      </c>
      <c r="K33" s="72">
        <v>0.08</v>
      </c>
      <c r="L33" s="72"/>
      <c r="M33" s="72">
        <v>0.03</v>
      </c>
      <c r="N33" s="72">
        <v>0.03</v>
      </c>
      <c r="O33" s="72">
        <v>0.03</v>
      </c>
      <c r="P33" s="72"/>
      <c r="Q33" s="72">
        <v>7.0000000000000007E-2</v>
      </c>
      <c r="R33" s="72">
        <v>0.06</v>
      </c>
      <c r="S33" s="72"/>
      <c r="T33" s="72"/>
      <c r="U33" s="72">
        <f t="shared" si="0"/>
        <v>0.53</v>
      </c>
    </row>
    <row r="34" spans="1:22" hidden="1">
      <c r="A34" s="70">
        <v>103865</v>
      </c>
      <c r="B34" s="70" t="s">
        <v>121</v>
      </c>
      <c r="C34" s="70" t="s">
        <v>148</v>
      </c>
      <c r="D34" s="70"/>
      <c r="E34" s="72">
        <v>0.12</v>
      </c>
      <c r="F34" s="85"/>
      <c r="G34" s="85"/>
      <c r="H34" s="72">
        <v>0.35</v>
      </c>
      <c r="I34" s="72"/>
      <c r="J34" s="72">
        <v>0.21</v>
      </c>
      <c r="K34" s="72"/>
      <c r="L34" s="72"/>
      <c r="M34" s="72"/>
      <c r="N34" s="72"/>
      <c r="O34" s="72"/>
      <c r="P34" s="72"/>
      <c r="Q34" s="72">
        <v>0.12</v>
      </c>
      <c r="R34" s="72"/>
      <c r="S34" s="72"/>
      <c r="T34" s="72"/>
      <c r="U34" s="72">
        <f t="shared" si="0"/>
        <v>0.79999999999999993</v>
      </c>
    </row>
    <row r="35" spans="1:22" hidden="1">
      <c r="A35" s="70">
        <v>103866</v>
      </c>
      <c r="B35" s="70" t="s">
        <v>121</v>
      </c>
      <c r="C35" s="70" t="s">
        <v>149</v>
      </c>
      <c r="D35" s="70"/>
      <c r="E35" s="72"/>
      <c r="F35" s="85"/>
      <c r="G35" s="85"/>
      <c r="H35" s="72"/>
      <c r="I35" s="72"/>
      <c r="J35" s="72">
        <v>1</v>
      </c>
      <c r="K35" s="72"/>
      <c r="L35" s="72"/>
      <c r="M35" s="72"/>
      <c r="N35" s="72"/>
      <c r="O35" s="72"/>
      <c r="P35" s="72"/>
      <c r="Q35" s="72"/>
      <c r="R35" s="72"/>
      <c r="S35" s="72"/>
      <c r="T35" s="72"/>
      <c r="U35" s="72">
        <f t="shared" si="0"/>
        <v>1</v>
      </c>
    </row>
    <row r="36" spans="1:22" hidden="1">
      <c r="A36" s="70">
        <v>103867</v>
      </c>
      <c r="B36" s="70" t="s">
        <v>121</v>
      </c>
      <c r="C36" s="70" t="s">
        <v>150</v>
      </c>
      <c r="D36" s="70"/>
      <c r="E36" s="72"/>
      <c r="F36" s="85"/>
      <c r="G36" s="85"/>
      <c r="H36" s="72"/>
      <c r="I36" s="72"/>
      <c r="J36" s="72">
        <v>1</v>
      </c>
      <c r="K36" s="72"/>
      <c r="L36" s="72"/>
      <c r="M36" s="72"/>
      <c r="N36" s="72"/>
      <c r="O36" s="72"/>
      <c r="P36" s="72"/>
      <c r="Q36" s="72"/>
      <c r="R36" s="72"/>
      <c r="S36" s="72"/>
      <c r="T36" s="72"/>
      <c r="U36" s="72">
        <f t="shared" si="0"/>
        <v>1</v>
      </c>
    </row>
    <row r="37" spans="1:22" hidden="1">
      <c r="A37" s="70">
        <v>103868</v>
      </c>
      <c r="B37" s="70" t="s">
        <v>121</v>
      </c>
      <c r="C37" s="70" t="s">
        <v>151</v>
      </c>
      <c r="D37" s="70"/>
      <c r="E37" s="72"/>
      <c r="F37" s="85"/>
      <c r="G37" s="85"/>
      <c r="H37" s="72">
        <v>1</v>
      </c>
      <c r="I37" s="72"/>
      <c r="J37" s="72"/>
      <c r="K37" s="72"/>
      <c r="L37" s="72"/>
      <c r="M37" s="72"/>
      <c r="N37" s="72"/>
      <c r="O37" s="72"/>
      <c r="P37" s="72"/>
      <c r="Q37" s="72"/>
      <c r="R37" s="72"/>
      <c r="S37" s="72"/>
      <c r="T37" s="72"/>
      <c r="U37" s="72">
        <f t="shared" si="0"/>
        <v>1</v>
      </c>
    </row>
    <row r="38" spans="1:22" hidden="1">
      <c r="A38" s="70">
        <v>103869</v>
      </c>
      <c r="B38" s="70" t="s">
        <v>121</v>
      </c>
      <c r="C38" s="70" t="s">
        <v>152</v>
      </c>
      <c r="D38" s="70"/>
      <c r="E38" s="72"/>
      <c r="F38" s="85"/>
      <c r="G38" s="85"/>
      <c r="H38" s="72"/>
      <c r="I38" s="72"/>
      <c r="J38" s="72"/>
      <c r="K38" s="72"/>
      <c r="L38" s="72"/>
      <c r="M38" s="72"/>
      <c r="N38" s="72"/>
      <c r="O38" s="72"/>
      <c r="P38" s="72"/>
      <c r="Q38" s="72">
        <v>1</v>
      </c>
      <c r="R38" s="72"/>
      <c r="S38" s="72"/>
      <c r="T38" s="72"/>
      <c r="U38" s="72">
        <f t="shared" si="0"/>
        <v>1</v>
      </c>
    </row>
    <row r="39" spans="1:22" hidden="1">
      <c r="A39" s="70">
        <v>103870</v>
      </c>
      <c r="B39" s="70" t="s">
        <v>121</v>
      </c>
      <c r="C39" s="70" t="s">
        <v>153</v>
      </c>
      <c r="D39" s="70"/>
      <c r="E39" s="72">
        <v>0.16</v>
      </c>
      <c r="F39" s="85"/>
      <c r="G39" s="85">
        <v>0</v>
      </c>
      <c r="H39" s="72">
        <v>0.2</v>
      </c>
      <c r="I39" s="72"/>
      <c r="J39" s="72">
        <v>0.28000000000000003</v>
      </c>
      <c r="K39" s="72"/>
      <c r="L39" s="72"/>
      <c r="M39" s="72"/>
      <c r="N39" s="72"/>
      <c r="O39" s="72"/>
      <c r="P39" s="72"/>
      <c r="Q39" s="72">
        <v>0.16</v>
      </c>
      <c r="R39" s="72"/>
      <c r="S39" s="72"/>
      <c r="T39" s="72"/>
      <c r="U39" s="72">
        <f t="shared" si="0"/>
        <v>0.8</v>
      </c>
    </row>
    <row r="40" spans="1:22" hidden="1">
      <c r="A40" s="70">
        <v>103872</v>
      </c>
      <c r="B40" s="70" t="s">
        <v>121</v>
      </c>
      <c r="C40" s="70" t="s">
        <v>154</v>
      </c>
      <c r="D40" s="70"/>
      <c r="E40" s="72"/>
      <c r="F40" s="85"/>
      <c r="G40" s="85"/>
      <c r="H40" s="72">
        <v>1</v>
      </c>
      <c r="I40" s="72"/>
      <c r="J40" s="72"/>
      <c r="K40" s="72"/>
      <c r="L40" s="72"/>
      <c r="M40" s="72"/>
      <c r="N40" s="72"/>
      <c r="O40" s="72"/>
      <c r="P40" s="72"/>
      <c r="Q40" s="72"/>
      <c r="R40" s="72"/>
      <c r="S40" s="72"/>
      <c r="T40" s="72"/>
      <c r="U40" s="72">
        <f t="shared" si="0"/>
        <v>1</v>
      </c>
    </row>
    <row r="41" spans="1:22" hidden="1">
      <c r="A41" s="70">
        <v>103873</v>
      </c>
      <c r="B41" s="70" t="s">
        <v>133</v>
      </c>
      <c r="C41" s="70" t="s">
        <v>155</v>
      </c>
      <c r="D41" s="70"/>
      <c r="E41" s="72">
        <v>0.02</v>
      </c>
      <c r="F41" s="85"/>
      <c r="G41" s="85"/>
      <c r="H41" s="72"/>
      <c r="I41" s="72"/>
      <c r="J41" s="72"/>
      <c r="K41" s="72">
        <v>0.05</v>
      </c>
      <c r="L41" s="72">
        <v>0.11</v>
      </c>
      <c r="M41" s="72"/>
      <c r="N41" s="72"/>
      <c r="O41" s="72"/>
      <c r="P41" s="72"/>
      <c r="Q41" s="72"/>
      <c r="R41" s="72">
        <v>0.03</v>
      </c>
      <c r="S41" s="72"/>
      <c r="T41" s="72"/>
      <c r="U41" s="72">
        <f t="shared" si="0"/>
        <v>0.21</v>
      </c>
    </row>
    <row r="42" spans="1:22" hidden="1">
      <c r="A42" s="70">
        <v>103874</v>
      </c>
      <c r="B42" s="70" t="s">
        <v>117</v>
      </c>
      <c r="C42" s="70" t="s">
        <v>156</v>
      </c>
      <c r="D42" s="70"/>
      <c r="E42" s="72">
        <v>0.04</v>
      </c>
      <c r="F42" s="85"/>
      <c r="G42" s="85"/>
      <c r="H42" s="72">
        <v>0.25</v>
      </c>
      <c r="I42" s="72"/>
      <c r="J42" s="72">
        <v>0.19</v>
      </c>
      <c r="K42" s="72"/>
      <c r="L42" s="72"/>
      <c r="M42" s="72">
        <v>0.31</v>
      </c>
      <c r="N42" s="72"/>
      <c r="O42" s="72">
        <v>0.01</v>
      </c>
      <c r="P42" s="72"/>
      <c r="Q42" s="72">
        <v>0.09</v>
      </c>
      <c r="R42" s="72">
        <v>0</v>
      </c>
      <c r="S42" s="72"/>
      <c r="T42" s="72"/>
      <c r="U42" s="72">
        <f t="shared" si="0"/>
        <v>0.89</v>
      </c>
    </row>
    <row r="43" spans="1:22" hidden="1">
      <c r="A43" s="70">
        <v>103875</v>
      </c>
      <c r="B43" s="70" t="s">
        <v>117</v>
      </c>
      <c r="C43" s="70" t="s">
        <v>157</v>
      </c>
      <c r="D43" s="70"/>
      <c r="E43" s="72"/>
      <c r="F43" s="85"/>
      <c r="G43" s="85"/>
      <c r="H43" s="72"/>
      <c r="I43" s="72"/>
      <c r="J43" s="72"/>
      <c r="K43" s="72"/>
      <c r="L43" s="72"/>
      <c r="M43" s="72">
        <v>0.8</v>
      </c>
      <c r="N43" s="72"/>
      <c r="O43" s="72">
        <v>0.06</v>
      </c>
      <c r="P43" s="72"/>
      <c r="Q43" s="72"/>
      <c r="R43" s="72"/>
      <c r="S43" s="72"/>
      <c r="T43" s="72"/>
      <c r="U43" s="72">
        <f t="shared" si="0"/>
        <v>0.8600000000000001</v>
      </c>
    </row>
    <row r="44" spans="1:22" hidden="1">
      <c r="A44" s="70">
        <v>140112</v>
      </c>
      <c r="B44" s="70" t="s">
        <v>113</v>
      </c>
      <c r="C44" s="70" t="s">
        <v>158</v>
      </c>
      <c r="D44" s="70"/>
      <c r="E44" s="72"/>
      <c r="F44" s="85"/>
      <c r="G44" s="85"/>
      <c r="H44" s="72">
        <v>0.94</v>
      </c>
      <c r="I44" s="72"/>
      <c r="J44" s="72">
        <v>0</v>
      </c>
      <c r="K44" s="72"/>
      <c r="L44" s="72"/>
      <c r="M44" s="72"/>
      <c r="N44" s="72"/>
      <c r="O44" s="72"/>
      <c r="P44" s="72">
        <v>0.06</v>
      </c>
      <c r="Q44" s="72"/>
      <c r="R44" s="72"/>
      <c r="S44" s="72"/>
      <c r="T44" s="72"/>
      <c r="U44" s="72">
        <f t="shared" si="0"/>
        <v>1</v>
      </c>
    </row>
    <row r="45" spans="1:22" hidden="1">
      <c r="A45" s="70">
        <v>140238</v>
      </c>
      <c r="B45" s="70" t="s">
        <v>121</v>
      </c>
      <c r="C45" s="70" t="s">
        <v>158</v>
      </c>
      <c r="D45" s="70"/>
      <c r="E45" s="72">
        <v>5.0479142725708755E-2</v>
      </c>
      <c r="F45" s="85"/>
      <c r="G45" s="85"/>
      <c r="H45" s="72">
        <v>0.34076325553533943</v>
      </c>
      <c r="I45" s="72"/>
      <c r="J45" s="72">
        <v>0.45281963305898409</v>
      </c>
      <c r="K45" s="72"/>
      <c r="L45" s="72"/>
      <c r="M45" s="72"/>
      <c r="N45" s="72"/>
      <c r="O45" s="72"/>
      <c r="P45" s="72"/>
      <c r="Q45" s="72">
        <v>0.15593796867996779</v>
      </c>
      <c r="R45" s="72"/>
      <c r="S45" s="72"/>
      <c r="T45" s="72"/>
      <c r="U45" s="72">
        <f t="shared" si="0"/>
        <v>1</v>
      </c>
    </row>
    <row r="46" spans="1:22" hidden="1">
      <c r="A46" s="70">
        <v>140571</v>
      </c>
      <c r="B46" s="70" t="s">
        <v>113</v>
      </c>
      <c r="C46" s="70" t="s">
        <v>159</v>
      </c>
      <c r="D46" s="70"/>
      <c r="E46" s="72"/>
      <c r="F46" s="85"/>
      <c r="G46" s="85"/>
      <c r="H46" s="72">
        <v>0.2</v>
      </c>
      <c r="I46" s="72">
        <v>0.2</v>
      </c>
      <c r="J46" s="72">
        <v>0.2</v>
      </c>
      <c r="K46" s="72"/>
      <c r="L46" s="72"/>
      <c r="M46" s="72">
        <v>0.2</v>
      </c>
      <c r="N46" s="72"/>
      <c r="O46" s="72"/>
      <c r="P46" s="72"/>
      <c r="Q46" s="72">
        <v>0.2</v>
      </c>
      <c r="R46" s="72"/>
      <c r="S46" s="72"/>
      <c r="T46" s="72"/>
      <c r="U46" s="72">
        <f t="shared" si="0"/>
        <v>1</v>
      </c>
    </row>
    <row r="47" spans="1:22" hidden="1"/>
    <row r="48" spans="1:22" hidden="1">
      <c r="A48" s="70">
        <v>103847</v>
      </c>
      <c r="B48" s="70" t="s">
        <v>113</v>
      </c>
      <c r="C48" s="70" t="s">
        <v>160</v>
      </c>
      <c r="D48" s="70"/>
      <c r="E48" s="72"/>
      <c r="F48" s="85"/>
      <c r="G48" s="85"/>
      <c r="H48" s="72"/>
      <c r="I48" s="72">
        <v>1</v>
      </c>
      <c r="J48" s="72"/>
      <c r="K48" s="72"/>
      <c r="L48" s="72"/>
      <c r="M48" s="72"/>
      <c r="N48" s="72"/>
      <c r="O48" s="72"/>
      <c r="P48" s="72"/>
      <c r="Q48" s="72"/>
      <c r="R48" s="72"/>
      <c r="S48" s="72"/>
      <c r="T48" s="72"/>
      <c r="U48" s="72">
        <f t="shared" ref="U48:U57" si="1">SUBTOTAL(9,E48:T48)</f>
        <v>1</v>
      </c>
      <c r="V48" s="74">
        <v>1</v>
      </c>
    </row>
    <row r="49" spans="1:22" hidden="1">
      <c r="A49" s="70">
        <v>140572</v>
      </c>
      <c r="B49" s="70" t="s">
        <v>123</v>
      </c>
      <c r="C49" s="70" t="s">
        <v>161</v>
      </c>
      <c r="D49" s="70"/>
      <c r="E49" s="72"/>
      <c r="F49" s="85"/>
      <c r="G49" s="85"/>
      <c r="H49" s="72"/>
      <c r="I49" s="72"/>
      <c r="J49" s="72"/>
      <c r="K49" s="72"/>
      <c r="L49" s="72"/>
      <c r="M49" s="72"/>
      <c r="N49" s="72"/>
      <c r="O49" s="72"/>
      <c r="P49" s="72"/>
      <c r="Q49" s="72"/>
      <c r="R49" s="72"/>
      <c r="S49" s="72">
        <v>1</v>
      </c>
      <c r="T49" s="72"/>
      <c r="U49" s="72">
        <f t="shared" si="1"/>
        <v>1</v>
      </c>
      <c r="V49" s="74">
        <v>1</v>
      </c>
    </row>
    <row r="50" spans="1:22" hidden="1">
      <c r="A50" s="70">
        <v>103853</v>
      </c>
      <c r="B50" s="70" t="s">
        <v>162</v>
      </c>
      <c r="C50" s="70" t="s">
        <v>163</v>
      </c>
      <c r="D50" s="70"/>
      <c r="E50" s="72"/>
      <c r="F50" s="85"/>
      <c r="G50" s="85"/>
      <c r="H50" s="72">
        <v>0.01</v>
      </c>
      <c r="I50" s="72"/>
      <c r="J50" s="72">
        <v>0.01</v>
      </c>
      <c r="K50" s="72"/>
      <c r="L50" s="72"/>
      <c r="M50" s="72"/>
      <c r="N50" s="72"/>
      <c r="O50" s="72"/>
      <c r="P50" s="72"/>
      <c r="Q50" s="72">
        <v>0.01</v>
      </c>
      <c r="R50" s="72"/>
      <c r="S50" s="72"/>
      <c r="T50" s="72"/>
      <c r="U50" s="72">
        <f t="shared" si="1"/>
        <v>0.03</v>
      </c>
      <c r="V50" s="74">
        <v>0.03</v>
      </c>
    </row>
    <row r="51" spans="1:22" hidden="1">
      <c r="A51" s="70">
        <v>103851</v>
      </c>
      <c r="B51" s="70" t="s">
        <v>162</v>
      </c>
      <c r="C51" s="70" t="s">
        <v>164</v>
      </c>
      <c r="D51" s="70"/>
      <c r="E51" s="72">
        <v>0.13650000000000001</v>
      </c>
      <c r="F51" s="85"/>
      <c r="G51" s="85"/>
      <c r="H51" s="72">
        <v>0.2248</v>
      </c>
      <c r="I51" s="72">
        <v>6.9999999999999999E-4</v>
      </c>
      <c r="J51" s="72">
        <v>0.27309299999999997</v>
      </c>
      <c r="K51" s="72">
        <v>5.1900000000000002E-2</v>
      </c>
      <c r="L51" s="72"/>
      <c r="M51" s="72">
        <v>5.4899999999999997E-2</v>
      </c>
      <c r="N51" s="72">
        <v>5.9999999999999995E-4</v>
      </c>
      <c r="O51" s="72">
        <v>1.9E-3</v>
      </c>
      <c r="P51" s="72">
        <v>7.6E-3</v>
      </c>
      <c r="Q51" s="72">
        <v>0.13435</v>
      </c>
      <c r="R51" s="72">
        <v>3.3599999999999998E-2</v>
      </c>
      <c r="S51" s="72">
        <v>2.8999999999999998E-3</v>
      </c>
      <c r="T51" s="72"/>
      <c r="U51" s="72">
        <f t="shared" si="1"/>
        <v>0.92284299999999997</v>
      </c>
      <c r="V51" s="75">
        <v>0.93479999999999996</v>
      </c>
    </row>
    <row r="52" spans="1:22" hidden="1">
      <c r="A52" s="70">
        <v>103839</v>
      </c>
      <c r="B52" s="70" t="s">
        <v>165</v>
      </c>
      <c r="C52" s="70" t="s">
        <v>166</v>
      </c>
      <c r="D52" s="70"/>
      <c r="E52" s="72"/>
      <c r="F52" s="85"/>
      <c r="G52" s="85"/>
      <c r="H52" s="72">
        <v>0.01</v>
      </c>
      <c r="I52" s="72"/>
      <c r="J52" s="72">
        <v>0.01</v>
      </c>
      <c r="K52" s="72">
        <v>0.01</v>
      </c>
      <c r="L52" s="72"/>
      <c r="M52" s="72">
        <v>0.01</v>
      </c>
      <c r="N52" s="72"/>
      <c r="O52" s="72"/>
      <c r="P52" s="72"/>
      <c r="Q52" s="72"/>
      <c r="R52" s="72">
        <v>0.01</v>
      </c>
      <c r="S52" s="72"/>
      <c r="T52" s="72"/>
      <c r="U52" s="72">
        <f t="shared" si="1"/>
        <v>0.05</v>
      </c>
      <c r="V52" s="76">
        <v>0.05</v>
      </c>
    </row>
    <row r="53" spans="1:22" hidden="1">
      <c r="A53" s="70">
        <v>140337</v>
      </c>
      <c r="B53" s="70" t="s">
        <v>133</v>
      </c>
      <c r="C53" s="70" t="s">
        <v>167</v>
      </c>
      <c r="D53" s="70"/>
      <c r="E53" s="72"/>
      <c r="F53" s="85"/>
      <c r="G53" s="85">
        <v>0.03</v>
      </c>
      <c r="H53" s="72">
        <v>0.04</v>
      </c>
      <c r="I53" s="72">
        <v>0.01</v>
      </c>
      <c r="J53" s="72">
        <v>0.04</v>
      </c>
      <c r="K53" s="72">
        <v>0.04</v>
      </c>
      <c r="L53" s="72"/>
      <c r="M53" s="72">
        <v>0.03</v>
      </c>
      <c r="N53" s="72"/>
      <c r="O53" s="72"/>
      <c r="P53" s="72">
        <v>0.01</v>
      </c>
      <c r="Q53" s="72">
        <v>0.03</v>
      </c>
      <c r="R53" s="72">
        <v>0.03</v>
      </c>
      <c r="S53" s="72">
        <v>0.01</v>
      </c>
      <c r="T53" s="72">
        <v>0.03</v>
      </c>
      <c r="U53" s="72">
        <f t="shared" si="1"/>
        <v>0.30000000000000004</v>
      </c>
      <c r="V53" s="76">
        <v>0.3</v>
      </c>
    </row>
    <row r="54" spans="1:22" hidden="1">
      <c r="A54" s="70">
        <v>140338</v>
      </c>
      <c r="B54" s="70" t="s">
        <v>133</v>
      </c>
      <c r="C54" s="70" t="s">
        <v>168</v>
      </c>
      <c r="D54" s="70"/>
      <c r="E54" s="72">
        <v>0.01</v>
      </c>
      <c r="F54" s="85"/>
      <c r="G54" s="85">
        <v>0.03</v>
      </c>
      <c r="H54" s="72">
        <v>0.02</v>
      </c>
      <c r="I54" s="72">
        <v>0.01</v>
      </c>
      <c r="J54" s="72">
        <v>0.03</v>
      </c>
      <c r="K54" s="72">
        <v>0.02</v>
      </c>
      <c r="L54" s="72"/>
      <c r="M54" s="72">
        <v>0.02</v>
      </c>
      <c r="N54" s="72"/>
      <c r="O54" s="72"/>
      <c r="P54" s="72">
        <v>0.01</v>
      </c>
      <c r="Q54" s="72">
        <v>0.03</v>
      </c>
      <c r="R54" s="72">
        <v>0.02</v>
      </c>
      <c r="S54" s="72">
        <v>0.02</v>
      </c>
      <c r="T54" s="72">
        <v>0.03</v>
      </c>
      <c r="U54" s="72">
        <f t="shared" si="1"/>
        <v>0.24999999999999997</v>
      </c>
      <c r="V54" s="76">
        <v>0.25</v>
      </c>
    </row>
    <row r="55" spans="1:22" hidden="1">
      <c r="A55" s="70">
        <v>103861</v>
      </c>
      <c r="B55" s="70" t="s">
        <v>169</v>
      </c>
      <c r="C55" s="70" t="s">
        <v>170</v>
      </c>
      <c r="D55" s="70"/>
      <c r="E55" s="72">
        <v>0.03</v>
      </c>
      <c r="F55" s="85"/>
      <c r="G55" s="85">
        <v>0.01</v>
      </c>
      <c r="H55" s="72">
        <v>0.06</v>
      </c>
      <c r="I55" s="72"/>
      <c r="J55" s="72">
        <v>0.06</v>
      </c>
      <c r="K55" s="72">
        <v>7.0000000000000007E-2</v>
      </c>
      <c r="L55" s="72"/>
      <c r="M55" s="72">
        <v>0.03</v>
      </c>
      <c r="N55" s="72">
        <v>0.01</v>
      </c>
      <c r="O55" s="72">
        <v>0.01</v>
      </c>
      <c r="P55" s="72"/>
      <c r="Q55" s="72">
        <v>0.05</v>
      </c>
      <c r="R55" s="72">
        <v>0.05</v>
      </c>
      <c r="S55" s="72"/>
      <c r="T55" s="72"/>
      <c r="U55" s="72">
        <f t="shared" si="1"/>
        <v>0.38</v>
      </c>
      <c r="V55" s="76">
        <v>0.38</v>
      </c>
    </row>
    <row r="56" spans="1:22" hidden="1">
      <c r="A56" s="70">
        <v>103856</v>
      </c>
      <c r="B56" s="70" t="s">
        <v>169</v>
      </c>
      <c r="C56" s="70" t="s">
        <v>171</v>
      </c>
      <c r="D56" s="70"/>
      <c r="E56" s="72">
        <v>0.04</v>
      </c>
      <c r="F56" s="85"/>
      <c r="G56" s="85">
        <v>0.01</v>
      </c>
      <c r="H56" s="72">
        <v>0.06</v>
      </c>
      <c r="I56" s="72"/>
      <c r="J56" s="72">
        <v>0.06</v>
      </c>
      <c r="K56" s="72">
        <v>0.03</v>
      </c>
      <c r="L56" s="72"/>
      <c r="M56" s="72">
        <v>0.03</v>
      </c>
      <c r="N56" s="72"/>
      <c r="O56" s="72">
        <v>0.01</v>
      </c>
      <c r="P56" s="72"/>
      <c r="Q56" s="72">
        <v>0.04</v>
      </c>
      <c r="R56" s="72">
        <v>0.02</v>
      </c>
      <c r="S56" s="72"/>
      <c r="T56" s="72"/>
      <c r="U56" s="72">
        <f t="shared" si="1"/>
        <v>0.3</v>
      </c>
      <c r="V56" s="76">
        <v>0.3</v>
      </c>
    </row>
    <row r="57" spans="1:22" hidden="1">
      <c r="A57" s="77"/>
      <c r="B57" s="77"/>
      <c r="C57" s="77" t="s">
        <v>172</v>
      </c>
      <c r="D57" s="77"/>
      <c r="E57" s="72">
        <f t="shared" ref="E57:T57" si="2">+E122/$U122</f>
        <v>7.6252282573914115E-2</v>
      </c>
      <c r="F57" s="85">
        <f t="shared" si="2"/>
        <v>0</v>
      </c>
      <c r="G57" s="85">
        <f t="shared" si="2"/>
        <v>3.9209146952029865E-3</v>
      </c>
      <c r="H57" s="72">
        <f t="shared" si="2"/>
        <v>0.21702661046863145</v>
      </c>
      <c r="I57" s="72">
        <f t="shared" si="2"/>
        <v>9.1755688415831784E-3</v>
      </c>
      <c r="J57" s="72">
        <f t="shared" si="2"/>
        <v>0.22517659396118841</v>
      </c>
      <c r="K57" s="72">
        <f t="shared" si="2"/>
        <v>0.12125444664312174</v>
      </c>
      <c r="L57" s="72">
        <f t="shared" si="2"/>
        <v>1.2136467001767769E-3</v>
      </c>
      <c r="M57" s="72">
        <f t="shared" si="2"/>
        <v>9.1759613685571589E-2</v>
      </c>
      <c r="N57" s="72">
        <f t="shared" si="2"/>
        <v>4.9257389534850351E-4</v>
      </c>
      <c r="O57" s="72">
        <f t="shared" si="2"/>
        <v>1.7218854734939542E-2</v>
      </c>
      <c r="P57" s="72">
        <f t="shared" si="2"/>
        <v>6.8565198097006478E-3</v>
      </c>
      <c r="Q57" s="72">
        <f t="shared" si="2"/>
        <v>0.13941218221755175</v>
      </c>
      <c r="R57" s="72">
        <f t="shared" si="2"/>
        <v>6.3478421931577836E-2</v>
      </c>
      <c r="S57" s="72">
        <f t="shared" si="2"/>
        <v>2.1921801086256201E-2</v>
      </c>
      <c r="T57" s="72">
        <f t="shared" si="2"/>
        <v>4.8399687552351141E-3</v>
      </c>
      <c r="U57" s="72">
        <f t="shared" si="1"/>
        <v>0.99999999999999978</v>
      </c>
      <c r="V57" s="76"/>
    </row>
    <row r="58" spans="1:22" hidden="1">
      <c r="E58" s="74"/>
      <c r="F58" s="86"/>
      <c r="G58" s="86"/>
      <c r="H58" s="74"/>
      <c r="I58" s="74"/>
      <c r="J58" s="74"/>
      <c r="K58" s="74"/>
      <c r="L58" s="74"/>
      <c r="M58" s="74"/>
      <c r="N58" s="74"/>
      <c r="O58" s="74"/>
      <c r="P58" s="74"/>
      <c r="Q58" s="74"/>
      <c r="R58" s="74"/>
      <c r="S58" s="74"/>
      <c r="T58" s="74"/>
      <c r="U58" s="74"/>
    </row>
    <row r="59" spans="1:22" hidden="1"/>
    <row r="60" spans="1:22" ht="51">
      <c r="A60" s="70" t="s">
        <v>35</v>
      </c>
      <c r="B60" s="70"/>
      <c r="C60" s="70" t="s">
        <v>36</v>
      </c>
      <c r="D60" s="71" t="s">
        <v>173</v>
      </c>
      <c r="E60" s="71" t="s">
        <v>96</v>
      </c>
      <c r="F60" s="84" t="s">
        <v>97</v>
      </c>
      <c r="G60" s="84" t="s">
        <v>98</v>
      </c>
      <c r="H60" s="71" t="s">
        <v>99</v>
      </c>
      <c r="I60" s="71" t="s">
        <v>100</v>
      </c>
      <c r="J60" s="71" t="s">
        <v>101</v>
      </c>
      <c r="K60" s="71" t="s">
        <v>102</v>
      </c>
      <c r="L60" s="71" t="s">
        <v>103</v>
      </c>
      <c r="M60" s="71" t="s">
        <v>104</v>
      </c>
      <c r="N60" s="71" t="s">
        <v>105</v>
      </c>
      <c r="O60" s="71" t="s">
        <v>106</v>
      </c>
      <c r="P60" s="71" t="s">
        <v>107</v>
      </c>
      <c r="Q60" s="71" t="s">
        <v>108</v>
      </c>
      <c r="R60" s="71" t="s">
        <v>109</v>
      </c>
      <c r="S60" s="71" t="s">
        <v>174</v>
      </c>
      <c r="T60" s="71" t="s">
        <v>111</v>
      </c>
      <c r="U60" s="71" t="s">
        <v>112</v>
      </c>
    </row>
    <row r="61" spans="1:22">
      <c r="A61" s="78" t="s">
        <v>175</v>
      </c>
      <c r="B61" s="70"/>
      <c r="C61" s="70"/>
      <c r="D61" s="79"/>
      <c r="E61" s="79"/>
      <c r="F61" s="87"/>
      <c r="G61" s="87"/>
      <c r="H61" s="79"/>
      <c r="I61" s="79"/>
      <c r="J61" s="79"/>
      <c r="K61" s="79"/>
      <c r="L61" s="79"/>
      <c r="M61" s="79"/>
      <c r="N61" s="79"/>
      <c r="O61" s="79"/>
      <c r="P61" s="79"/>
      <c r="Q61" s="79"/>
      <c r="R61" s="79"/>
      <c r="S61" s="79"/>
      <c r="T61" s="79"/>
      <c r="U61" s="79"/>
    </row>
    <row r="62" spans="1:22" ht="12.75" hidden="1" customHeight="1">
      <c r="A62" s="70">
        <v>103822</v>
      </c>
      <c r="B62" s="70" t="s">
        <v>121</v>
      </c>
      <c r="C62" s="70" t="s">
        <v>122</v>
      </c>
      <c r="D62" s="60">
        <v>1975619</v>
      </c>
      <c r="E62" s="5">
        <f t="shared" ref="E62:T62" si="3">+$D62*E12</f>
        <v>0</v>
      </c>
      <c r="F62" s="69">
        <f t="shared" si="3"/>
        <v>0</v>
      </c>
      <c r="G62" s="69">
        <f t="shared" si="3"/>
        <v>0</v>
      </c>
      <c r="H62" s="5">
        <f t="shared" si="3"/>
        <v>750735.22</v>
      </c>
      <c r="I62" s="5">
        <f t="shared" si="3"/>
        <v>0</v>
      </c>
      <c r="J62" s="5">
        <f t="shared" si="3"/>
        <v>730979.03</v>
      </c>
      <c r="K62" s="5">
        <f t="shared" si="3"/>
        <v>0</v>
      </c>
      <c r="L62" s="5">
        <f t="shared" si="3"/>
        <v>0</v>
      </c>
      <c r="M62" s="5">
        <f t="shared" si="3"/>
        <v>0</v>
      </c>
      <c r="N62" s="5">
        <f t="shared" si="3"/>
        <v>0</v>
      </c>
      <c r="O62" s="5">
        <f t="shared" si="3"/>
        <v>0</v>
      </c>
      <c r="P62" s="5">
        <f t="shared" si="3"/>
        <v>79024.759999999995</v>
      </c>
      <c r="Q62" s="5">
        <f t="shared" si="3"/>
        <v>414879.99</v>
      </c>
      <c r="R62" s="5">
        <f t="shared" si="3"/>
        <v>0</v>
      </c>
      <c r="S62" s="5">
        <f t="shared" si="3"/>
        <v>0</v>
      </c>
      <c r="T62" s="5">
        <f t="shared" si="3"/>
        <v>0</v>
      </c>
      <c r="U62" s="5">
        <f t="shared" ref="U62:U74" si="4">SUM(E62:T62)</f>
        <v>1975619</v>
      </c>
    </row>
    <row r="63" spans="1:22" ht="12.75" hidden="1" customHeight="1">
      <c r="A63" s="70">
        <v>103832</v>
      </c>
      <c r="B63" s="70" t="s">
        <v>121</v>
      </c>
      <c r="C63" s="70" t="s">
        <v>129</v>
      </c>
      <c r="D63" s="5">
        <v>359854</v>
      </c>
      <c r="E63" s="5">
        <f t="shared" ref="E63:T63" si="5">+$D63*E18</f>
        <v>359854</v>
      </c>
      <c r="F63" s="69">
        <f t="shared" si="5"/>
        <v>0</v>
      </c>
      <c r="G63" s="69">
        <f t="shared" si="5"/>
        <v>0</v>
      </c>
      <c r="H63" s="5">
        <f t="shared" si="5"/>
        <v>0</v>
      </c>
      <c r="I63" s="5">
        <f t="shared" si="5"/>
        <v>0</v>
      </c>
      <c r="J63" s="5">
        <f t="shared" si="5"/>
        <v>0</v>
      </c>
      <c r="K63" s="5">
        <f t="shared" si="5"/>
        <v>0</v>
      </c>
      <c r="L63" s="5">
        <f t="shared" si="5"/>
        <v>0</v>
      </c>
      <c r="M63" s="5">
        <f t="shared" si="5"/>
        <v>0</v>
      </c>
      <c r="N63" s="5">
        <f t="shared" si="5"/>
        <v>0</v>
      </c>
      <c r="O63" s="5">
        <f t="shared" si="5"/>
        <v>0</v>
      </c>
      <c r="P63" s="5">
        <f t="shared" si="5"/>
        <v>0</v>
      </c>
      <c r="Q63" s="5">
        <f t="shared" si="5"/>
        <v>0</v>
      </c>
      <c r="R63" s="5">
        <f t="shared" si="5"/>
        <v>0</v>
      </c>
      <c r="S63" s="5">
        <f t="shared" si="5"/>
        <v>0</v>
      </c>
      <c r="T63" s="5">
        <f t="shared" si="5"/>
        <v>0</v>
      </c>
      <c r="U63" s="5">
        <f t="shared" si="4"/>
        <v>359854</v>
      </c>
    </row>
    <row r="64" spans="1:22">
      <c r="A64" s="70">
        <v>103834</v>
      </c>
      <c r="B64" s="70" t="s">
        <v>121</v>
      </c>
      <c r="C64" s="70" t="s">
        <v>131</v>
      </c>
      <c r="D64" s="5">
        <v>710775</v>
      </c>
      <c r="E64" s="5">
        <f t="shared" ref="E64:T64" si="6">+$D64*E20</f>
        <v>92400.75</v>
      </c>
      <c r="F64" s="69">
        <f t="shared" si="6"/>
        <v>0</v>
      </c>
      <c r="G64" s="69">
        <f t="shared" si="6"/>
        <v>28431</v>
      </c>
      <c r="H64" s="5">
        <f t="shared" si="6"/>
        <v>92400.75</v>
      </c>
      <c r="I64" s="5">
        <f t="shared" si="6"/>
        <v>0</v>
      </c>
      <c r="J64" s="5">
        <f t="shared" si="6"/>
        <v>99508.500000000015</v>
      </c>
      <c r="K64" s="5">
        <f t="shared" si="6"/>
        <v>99508.500000000015</v>
      </c>
      <c r="L64" s="5">
        <f t="shared" si="6"/>
        <v>0</v>
      </c>
      <c r="M64" s="5">
        <f t="shared" si="6"/>
        <v>0</v>
      </c>
      <c r="N64" s="5">
        <f t="shared" si="6"/>
        <v>0</v>
      </c>
      <c r="O64" s="5">
        <f t="shared" si="6"/>
        <v>0</v>
      </c>
      <c r="P64" s="5">
        <f t="shared" si="6"/>
        <v>28431</v>
      </c>
      <c r="Q64" s="5">
        <f t="shared" si="6"/>
        <v>99508.500000000015</v>
      </c>
      <c r="R64" s="5">
        <f t="shared" si="6"/>
        <v>99508.500000000015</v>
      </c>
      <c r="S64" s="5">
        <f t="shared" si="6"/>
        <v>0</v>
      </c>
      <c r="T64" s="5">
        <f t="shared" si="6"/>
        <v>0</v>
      </c>
      <c r="U64" s="5">
        <f t="shared" si="4"/>
        <v>639697.5</v>
      </c>
    </row>
    <row r="65" spans="1:21" ht="12.75" hidden="1" customHeight="1">
      <c r="A65" s="70">
        <v>103835</v>
      </c>
      <c r="B65" s="70" t="s">
        <v>121</v>
      </c>
      <c r="C65" s="70" t="s">
        <v>132</v>
      </c>
      <c r="D65" s="5">
        <v>0</v>
      </c>
      <c r="E65" s="5">
        <f t="shared" ref="E65:T65" si="7">+$D65*E21</f>
        <v>0</v>
      </c>
      <c r="F65" s="69">
        <f t="shared" si="7"/>
        <v>0</v>
      </c>
      <c r="G65" s="69">
        <f t="shared" si="7"/>
        <v>0</v>
      </c>
      <c r="H65" s="5">
        <f t="shared" si="7"/>
        <v>0</v>
      </c>
      <c r="I65" s="5">
        <f t="shared" si="7"/>
        <v>0</v>
      </c>
      <c r="J65" s="5">
        <f t="shared" si="7"/>
        <v>0</v>
      </c>
      <c r="K65" s="5">
        <f t="shared" si="7"/>
        <v>0</v>
      </c>
      <c r="L65" s="5">
        <f t="shared" si="7"/>
        <v>0</v>
      </c>
      <c r="M65" s="5">
        <f t="shared" si="7"/>
        <v>0</v>
      </c>
      <c r="N65" s="5">
        <f t="shared" si="7"/>
        <v>0</v>
      </c>
      <c r="O65" s="5">
        <f t="shared" si="7"/>
        <v>0</v>
      </c>
      <c r="P65" s="5">
        <f t="shared" si="7"/>
        <v>0</v>
      </c>
      <c r="Q65" s="5">
        <f t="shared" si="7"/>
        <v>0</v>
      </c>
      <c r="R65" s="5">
        <f t="shared" si="7"/>
        <v>0</v>
      </c>
      <c r="S65" s="5">
        <f t="shared" si="7"/>
        <v>0</v>
      </c>
      <c r="T65" s="5">
        <f t="shared" si="7"/>
        <v>0</v>
      </c>
      <c r="U65" s="5">
        <f t="shared" si="4"/>
        <v>0</v>
      </c>
    </row>
    <row r="66" spans="1:21" ht="12.75" hidden="1" customHeight="1">
      <c r="A66" s="70">
        <v>103844</v>
      </c>
      <c r="B66" s="70" t="s">
        <v>121</v>
      </c>
      <c r="C66" s="70" t="s">
        <v>137</v>
      </c>
      <c r="D66" s="5">
        <v>496293</v>
      </c>
      <c r="E66" s="5">
        <f t="shared" ref="E66:T66" si="8">+$D66*E24</f>
        <v>23573.9175</v>
      </c>
      <c r="F66" s="69">
        <f t="shared" si="8"/>
        <v>0</v>
      </c>
      <c r="G66" s="69">
        <f t="shared" si="8"/>
        <v>0</v>
      </c>
      <c r="H66" s="5">
        <f t="shared" si="8"/>
        <v>133999.11000000002</v>
      </c>
      <c r="I66" s="5">
        <f t="shared" si="8"/>
        <v>0</v>
      </c>
      <c r="J66" s="5">
        <f t="shared" si="8"/>
        <v>148887.9</v>
      </c>
      <c r="K66" s="5">
        <f t="shared" si="8"/>
        <v>0</v>
      </c>
      <c r="L66" s="5">
        <f t="shared" si="8"/>
        <v>0</v>
      </c>
      <c r="M66" s="5">
        <f t="shared" si="8"/>
        <v>0</v>
      </c>
      <c r="N66" s="5">
        <f t="shared" si="8"/>
        <v>0</v>
      </c>
      <c r="O66" s="5">
        <f t="shared" si="8"/>
        <v>0</v>
      </c>
      <c r="P66" s="5">
        <f t="shared" si="8"/>
        <v>0</v>
      </c>
      <c r="Q66" s="5">
        <f t="shared" si="8"/>
        <v>89332.739999999991</v>
      </c>
      <c r="R66" s="5">
        <f t="shared" si="8"/>
        <v>0</v>
      </c>
      <c r="S66" s="5">
        <f t="shared" si="8"/>
        <v>0</v>
      </c>
      <c r="T66" s="5">
        <f t="shared" si="8"/>
        <v>0</v>
      </c>
      <c r="U66" s="5">
        <f t="shared" si="4"/>
        <v>395793.66749999998</v>
      </c>
    </row>
    <row r="67" spans="1:21" ht="12.75" hidden="1" customHeight="1">
      <c r="A67" s="70">
        <v>103865</v>
      </c>
      <c r="B67" s="70" t="s">
        <v>121</v>
      </c>
      <c r="C67" s="70" t="s">
        <v>148</v>
      </c>
      <c r="D67" s="5">
        <v>518080</v>
      </c>
      <c r="E67" s="5">
        <f t="shared" ref="E67:T67" si="9">+$D67*E34</f>
        <v>62169.599999999999</v>
      </c>
      <c r="F67" s="69">
        <f t="shared" si="9"/>
        <v>0</v>
      </c>
      <c r="G67" s="69">
        <f t="shared" si="9"/>
        <v>0</v>
      </c>
      <c r="H67" s="5">
        <f t="shared" si="9"/>
        <v>181328</v>
      </c>
      <c r="I67" s="5">
        <f t="shared" si="9"/>
        <v>0</v>
      </c>
      <c r="J67" s="5">
        <f t="shared" si="9"/>
        <v>108796.8</v>
      </c>
      <c r="K67" s="5">
        <f t="shared" si="9"/>
        <v>0</v>
      </c>
      <c r="L67" s="5">
        <f t="shared" si="9"/>
        <v>0</v>
      </c>
      <c r="M67" s="5">
        <f t="shared" si="9"/>
        <v>0</v>
      </c>
      <c r="N67" s="5">
        <f t="shared" si="9"/>
        <v>0</v>
      </c>
      <c r="O67" s="5">
        <f t="shared" si="9"/>
        <v>0</v>
      </c>
      <c r="P67" s="5">
        <f t="shared" si="9"/>
        <v>0</v>
      </c>
      <c r="Q67" s="5">
        <f t="shared" si="9"/>
        <v>62169.599999999999</v>
      </c>
      <c r="R67" s="5">
        <f t="shared" si="9"/>
        <v>0</v>
      </c>
      <c r="S67" s="5">
        <f t="shared" si="9"/>
        <v>0</v>
      </c>
      <c r="T67" s="5">
        <f t="shared" si="9"/>
        <v>0</v>
      </c>
      <c r="U67" s="5">
        <f t="shared" si="4"/>
        <v>414464</v>
      </c>
    </row>
    <row r="68" spans="1:21" ht="12.75" hidden="1" customHeight="1">
      <c r="A68" s="70">
        <v>103866</v>
      </c>
      <c r="B68" s="70" t="s">
        <v>121</v>
      </c>
      <c r="C68" s="70" t="s">
        <v>149</v>
      </c>
      <c r="D68" s="5">
        <v>826624</v>
      </c>
      <c r="E68" s="5">
        <f t="shared" ref="E68:T68" si="10">+$D68*E35</f>
        <v>0</v>
      </c>
      <c r="F68" s="69">
        <f t="shared" si="10"/>
        <v>0</v>
      </c>
      <c r="G68" s="69">
        <f t="shared" si="10"/>
        <v>0</v>
      </c>
      <c r="H68" s="5">
        <f t="shared" si="10"/>
        <v>0</v>
      </c>
      <c r="I68" s="5">
        <f t="shared" si="10"/>
        <v>0</v>
      </c>
      <c r="J68" s="5">
        <f t="shared" si="10"/>
        <v>826624</v>
      </c>
      <c r="K68" s="5">
        <f t="shared" si="10"/>
        <v>0</v>
      </c>
      <c r="L68" s="5">
        <f t="shared" si="10"/>
        <v>0</v>
      </c>
      <c r="M68" s="5">
        <f t="shared" si="10"/>
        <v>0</v>
      </c>
      <c r="N68" s="5">
        <f t="shared" si="10"/>
        <v>0</v>
      </c>
      <c r="O68" s="5">
        <f t="shared" si="10"/>
        <v>0</v>
      </c>
      <c r="P68" s="5">
        <f t="shared" si="10"/>
        <v>0</v>
      </c>
      <c r="Q68" s="5">
        <f t="shared" si="10"/>
        <v>0</v>
      </c>
      <c r="R68" s="5">
        <f t="shared" si="10"/>
        <v>0</v>
      </c>
      <c r="S68" s="5">
        <f t="shared" si="10"/>
        <v>0</v>
      </c>
      <c r="T68" s="5">
        <f t="shared" si="10"/>
        <v>0</v>
      </c>
      <c r="U68" s="5">
        <f t="shared" si="4"/>
        <v>826624</v>
      </c>
    </row>
    <row r="69" spans="1:21" ht="12.75" hidden="1" customHeight="1">
      <c r="A69" s="70">
        <v>103867</v>
      </c>
      <c r="B69" s="70" t="s">
        <v>121</v>
      </c>
      <c r="C69" s="70" t="s">
        <v>150</v>
      </c>
      <c r="D69" s="5">
        <v>1023036</v>
      </c>
      <c r="E69" s="5">
        <f t="shared" ref="E69:T69" si="11">+$D69*E36</f>
        <v>0</v>
      </c>
      <c r="F69" s="69">
        <f t="shared" si="11"/>
        <v>0</v>
      </c>
      <c r="G69" s="69">
        <f t="shared" si="11"/>
        <v>0</v>
      </c>
      <c r="H69" s="5">
        <f t="shared" si="11"/>
        <v>0</v>
      </c>
      <c r="I69" s="5">
        <f t="shared" si="11"/>
        <v>0</v>
      </c>
      <c r="J69" s="5">
        <f t="shared" si="11"/>
        <v>1023036</v>
      </c>
      <c r="K69" s="5">
        <f t="shared" si="11"/>
        <v>0</v>
      </c>
      <c r="L69" s="5">
        <f t="shared" si="11"/>
        <v>0</v>
      </c>
      <c r="M69" s="5">
        <f t="shared" si="11"/>
        <v>0</v>
      </c>
      <c r="N69" s="5">
        <f t="shared" si="11"/>
        <v>0</v>
      </c>
      <c r="O69" s="5">
        <f t="shared" si="11"/>
        <v>0</v>
      </c>
      <c r="P69" s="5">
        <f t="shared" si="11"/>
        <v>0</v>
      </c>
      <c r="Q69" s="5">
        <f t="shared" si="11"/>
        <v>0</v>
      </c>
      <c r="R69" s="5">
        <f t="shared" si="11"/>
        <v>0</v>
      </c>
      <c r="S69" s="5">
        <f t="shared" si="11"/>
        <v>0</v>
      </c>
      <c r="T69" s="5">
        <f t="shared" si="11"/>
        <v>0</v>
      </c>
      <c r="U69" s="5">
        <f t="shared" si="4"/>
        <v>1023036</v>
      </c>
    </row>
    <row r="70" spans="1:21" ht="12.75" hidden="1" customHeight="1">
      <c r="A70" s="70">
        <v>103868</v>
      </c>
      <c r="B70" s="70" t="s">
        <v>121</v>
      </c>
      <c r="C70" s="70" t="s">
        <v>151</v>
      </c>
      <c r="D70" s="5">
        <v>1333527</v>
      </c>
      <c r="E70" s="5">
        <f t="shared" ref="E70:T70" si="12">+$D70*E37</f>
        <v>0</v>
      </c>
      <c r="F70" s="69">
        <f t="shared" si="12"/>
        <v>0</v>
      </c>
      <c r="G70" s="69">
        <f t="shared" si="12"/>
        <v>0</v>
      </c>
      <c r="H70" s="5">
        <f t="shared" si="12"/>
        <v>1333527</v>
      </c>
      <c r="I70" s="5">
        <f t="shared" si="12"/>
        <v>0</v>
      </c>
      <c r="J70" s="5">
        <f t="shared" si="12"/>
        <v>0</v>
      </c>
      <c r="K70" s="5">
        <f t="shared" si="12"/>
        <v>0</v>
      </c>
      <c r="L70" s="5">
        <f t="shared" si="12"/>
        <v>0</v>
      </c>
      <c r="M70" s="5">
        <f t="shared" si="12"/>
        <v>0</v>
      </c>
      <c r="N70" s="5">
        <f t="shared" si="12"/>
        <v>0</v>
      </c>
      <c r="O70" s="5">
        <f t="shared" si="12"/>
        <v>0</v>
      </c>
      <c r="P70" s="5">
        <f t="shared" si="12"/>
        <v>0</v>
      </c>
      <c r="Q70" s="5">
        <f t="shared" si="12"/>
        <v>0</v>
      </c>
      <c r="R70" s="5">
        <f t="shared" si="12"/>
        <v>0</v>
      </c>
      <c r="S70" s="5">
        <f t="shared" si="12"/>
        <v>0</v>
      </c>
      <c r="T70" s="5">
        <f t="shared" si="12"/>
        <v>0</v>
      </c>
      <c r="U70" s="5">
        <f t="shared" si="4"/>
        <v>1333527</v>
      </c>
    </row>
    <row r="71" spans="1:21" ht="12.75" hidden="1" customHeight="1">
      <c r="A71" s="70">
        <v>103869</v>
      </c>
      <c r="B71" s="70" t="s">
        <v>121</v>
      </c>
      <c r="C71" s="70" t="s">
        <v>152</v>
      </c>
      <c r="D71" s="5">
        <v>1312405</v>
      </c>
      <c r="E71" s="5">
        <f t="shared" ref="E71:T71" si="13">+$D71*E38</f>
        <v>0</v>
      </c>
      <c r="F71" s="69">
        <f t="shared" si="13"/>
        <v>0</v>
      </c>
      <c r="G71" s="69">
        <f t="shared" si="13"/>
        <v>0</v>
      </c>
      <c r="H71" s="5">
        <f t="shared" si="13"/>
        <v>0</v>
      </c>
      <c r="I71" s="5">
        <f t="shared" si="13"/>
        <v>0</v>
      </c>
      <c r="J71" s="5">
        <f t="shared" si="13"/>
        <v>0</v>
      </c>
      <c r="K71" s="5">
        <f t="shared" si="13"/>
        <v>0</v>
      </c>
      <c r="L71" s="5">
        <f t="shared" si="13"/>
        <v>0</v>
      </c>
      <c r="M71" s="5">
        <f t="shared" si="13"/>
        <v>0</v>
      </c>
      <c r="N71" s="5">
        <f t="shared" si="13"/>
        <v>0</v>
      </c>
      <c r="O71" s="5">
        <f t="shared" si="13"/>
        <v>0</v>
      </c>
      <c r="P71" s="5">
        <f t="shared" si="13"/>
        <v>0</v>
      </c>
      <c r="Q71" s="5">
        <f t="shared" si="13"/>
        <v>1312405</v>
      </c>
      <c r="R71" s="5">
        <f t="shared" si="13"/>
        <v>0</v>
      </c>
      <c r="S71" s="5">
        <f t="shared" si="13"/>
        <v>0</v>
      </c>
      <c r="T71" s="5">
        <f t="shared" si="13"/>
        <v>0</v>
      </c>
      <c r="U71" s="5">
        <f t="shared" si="4"/>
        <v>1312405</v>
      </c>
    </row>
    <row r="72" spans="1:21" ht="12.75" hidden="1" customHeight="1">
      <c r="A72" s="70">
        <v>103870</v>
      </c>
      <c r="B72" s="70" t="s">
        <v>121</v>
      </c>
      <c r="C72" s="70" t="s">
        <v>153</v>
      </c>
      <c r="D72" s="5">
        <v>698073</v>
      </c>
      <c r="E72" s="5">
        <f t="shared" ref="E72:T72" si="14">+$D72*E39</f>
        <v>111691.68000000001</v>
      </c>
      <c r="F72" s="69">
        <f t="shared" si="14"/>
        <v>0</v>
      </c>
      <c r="G72" s="69">
        <f t="shared" si="14"/>
        <v>0</v>
      </c>
      <c r="H72" s="5">
        <f t="shared" si="14"/>
        <v>139614.6</v>
      </c>
      <c r="I72" s="5">
        <f t="shared" si="14"/>
        <v>0</v>
      </c>
      <c r="J72" s="5">
        <f t="shared" si="14"/>
        <v>195460.44000000003</v>
      </c>
      <c r="K72" s="5">
        <f t="shared" si="14"/>
        <v>0</v>
      </c>
      <c r="L72" s="5">
        <f t="shared" si="14"/>
        <v>0</v>
      </c>
      <c r="M72" s="5">
        <f t="shared" si="14"/>
        <v>0</v>
      </c>
      <c r="N72" s="5">
        <f t="shared" si="14"/>
        <v>0</v>
      </c>
      <c r="O72" s="5">
        <f t="shared" si="14"/>
        <v>0</v>
      </c>
      <c r="P72" s="5">
        <f t="shared" si="14"/>
        <v>0</v>
      </c>
      <c r="Q72" s="5">
        <f t="shared" si="14"/>
        <v>111691.68000000001</v>
      </c>
      <c r="R72" s="5">
        <f t="shared" si="14"/>
        <v>0</v>
      </c>
      <c r="S72" s="5">
        <f t="shared" si="14"/>
        <v>0</v>
      </c>
      <c r="T72" s="5">
        <f t="shared" si="14"/>
        <v>0</v>
      </c>
      <c r="U72" s="5">
        <f t="shared" si="4"/>
        <v>558458.40000000014</v>
      </c>
    </row>
    <row r="73" spans="1:21" ht="12.75" hidden="1" customHeight="1">
      <c r="A73" s="70">
        <v>103872</v>
      </c>
      <c r="B73" s="70" t="s">
        <v>121</v>
      </c>
      <c r="C73" s="70" t="s">
        <v>154</v>
      </c>
      <c r="D73" s="5">
        <v>114094</v>
      </c>
      <c r="E73" s="5">
        <f t="shared" ref="E73:T73" si="15">+$D73*E40</f>
        <v>0</v>
      </c>
      <c r="F73" s="69">
        <f t="shared" si="15"/>
        <v>0</v>
      </c>
      <c r="G73" s="69">
        <f t="shared" si="15"/>
        <v>0</v>
      </c>
      <c r="H73" s="5">
        <f t="shared" si="15"/>
        <v>114094</v>
      </c>
      <c r="I73" s="5">
        <f t="shared" si="15"/>
        <v>0</v>
      </c>
      <c r="J73" s="5">
        <f t="shared" si="15"/>
        <v>0</v>
      </c>
      <c r="K73" s="5">
        <f t="shared" si="15"/>
        <v>0</v>
      </c>
      <c r="L73" s="5">
        <f t="shared" si="15"/>
        <v>0</v>
      </c>
      <c r="M73" s="5">
        <f t="shared" si="15"/>
        <v>0</v>
      </c>
      <c r="N73" s="5">
        <f t="shared" si="15"/>
        <v>0</v>
      </c>
      <c r="O73" s="5">
        <f t="shared" si="15"/>
        <v>0</v>
      </c>
      <c r="P73" s="5">
        <f t="shared" si="15"/>
        <v>0</v>
      </c>
      <c r="Q73" s="5">
        <f t="shared" si="15"/>
        <v>0</v>
      </c>
      <c r="R73" s="5">
        <f t="shared" si="15"/>
        <v>0</v>
      </c>
      <c r="S73" s="5">
        <f t="shared" si="15"/>
        <v>0</v>
      </c>
      <c r="T73" s="5">
        <f t="shared" si="15"/>
        <v>0</v>
      </c>
      <c r="U73" s="5">
        <f t="shared" si="4"/>
        <v>114094</v>
      </c>
    </row>
    <row r="74" spans="1:21" ht="12.75" hidden="1" customHeight="1">
      <c r="A74" s="70">
        <v>140238</v>
      </c>
      <c r="B74" s="70" t="s">
        <v>121</v>
      </c>
      <c r="C74" s="70" t="s">
        <v>158</v>
      </c>
      <c r="D74" s="5">
        <v>571878</v>
      </c>
      <c r="E74" s="5">
        <f t="shared" ref="E74:T74" si="16">+$D74*E45</f>
        <v>28867.911183692871</v>
      </c>
      <c r="F74" s="69">
        <f t="shared" si="16"/>
        <v>0</v>
      </c>
      <c r="G74" s="69">
        <f t="shared" si="16"/>
        <v>0</v>
      </c>
      <c r="H74" s="5">
        <f t="shared" si="16"/>
        <v>194875.00904903884</v>
      </c>
      <c r="I74" s="5">
        <f t="shared" si="16"/>
        <v>0</v>
      </c>
      <c r="J74" s="5">
        <f t="shared" si="16"/>
        <v>258957.58611450571</v>
      </c>
      <c r="K74" s="5">
        <f t="shared" si="16"/>
        <v>0</v>
      </c>
      <c r="L74" s="5">
        <f t="shared" si="16"/>
        <v>0</v>
      </c>
      <c r="M74" s="5">
        <f t="shared" si="16"/>
        <v>0</v>
      </c>
      <c r="N74" s="5">
        <f t="shared" si="16"/>
        <v>0</v>
      </c>
      <c r="O74" s="5">
        <f t="shared" si="16"/>
        <v>0</v>
      </c>
      <c r="P74" s="5">
        <f t="shared" si="16"/>
        <v>0</v>
      </c>
      <c r="Q74" s="5">
        <f t="shared" si="16"/>
        <v>89177.493652762612</v>
      </c>
      <c r="R74" s="5">
        <f t="shared" si="16"/>
        <v>0</v>
      </c>
      <c r="S74" s="5">
        <f t="shared" si="16"/>
        <v>0</v>
      </c>
      <c r="T74" s="5">
        <f t="shared" si="16"/>
        <v>0</v>
      </c>
      <c r="U74" s="5">
        <f t="shared" si="4"/>
        <v>571878</v>
      </c>
    </row>
    <row r="75" spans="1:21">
      <c r="A75" s="78" t="s">
        <v>176</v>
      </c>
      <c r="B75" s="70"/>
      <c r="C75" s="70"/>
      <c r="D75" s="5"/>
      <c r="E75" s="5"/>
      <c r="F75" s="69"/>
      <c r="G75" s="69"/>
      <c r="H75" s="5"/>
      <c r="I75" s="5"/>
      <c r="J75" s="5"/>
      <c r="K75" s="5"/>
      <c r="L75" s="5"/>
      <c r="M75" s="5"/>
      <c r="N75" s="5"/>
      <c r="O75" s="5"/>
      <c r="P75" s="5"/>
      <c r="Q75" s="5"/>
      <c r="R75" s="5"/>
      <c r="S75" s="5"/>
      <c r="T75" s="5"/>
      <c r="U75" s="5"/>
    </row>
    <row r="76" spans="1:21" ht="12.75" hidden="1" customHeight="1">
      <c r="A76" s="70">
        <v>103845</v>
      </c>
      <c r="B76" s="70" t="s">
        <v>113</v>
      </c>
      <c r="C76" s="70" t="s">
        <v>138</v>
      </c>
      <c r="D76" s="5">
        <v>356912</v>
      </c>
      <c r="E76" s="5">
        <f t="shared" ref="E76:T76" si="17">+$D76*E25</f>
        <v>66968.210580790139</v>
      </c>
      <c r="F76" s="69">
        <f t="shared" si="17"/>
        <v>0</v>
      </c>
      <c r="G76" s="69">
        <f t="shared" si="17"/>
        <v>0</v>
      </c>
      <c r="H76" s="5">
        <f t="shared" si="17"/>
        <v>83019.808466775212</v>
      </c>
      <c r="I76" s="5">
        <f t="shared" si="17"/>
        <v>0</v>
      </c>
      <c r="J76" s="5">
        <f t="shared" si="17"/>
        <v>83019.808466775212</v>
      </c>
      <c r="K76" s="5">
        <f t="shared" si="17"/>
        <v>0</v>
      </c>
      <c r="L76" s="5">
        <f t="shared" si="17"/>
        <v>0</v>
      </c>
      <c r="M76" s="5">
        <f t="shared" si="17"/>
        <v>72987.5597908544</v>
      </c>
      <c r="N76" s="5">
        <f t="shared" si="17"/>
        <v>0</v>
      </c>
      <c r="O76" s="5">
        <f t="shared" si="17"/>
        <v>0</v>
      </c>
      <c r="P76" s="5">
        <f t="shared" si="17"/>
        <v>0</v>
      </c>
      <c r="Q76" s="5">
        <f t="shared" si="17"/>
        <v>50916.612694805059</v>
      </c>
      <c r="R76" s="5">
        <f t="shared" si="17"/>
        <v>0</v>
      </c>
      <c r="S76" s="5">
        <f t="shared" si="17"/>
        <v>0</v>
      </c>
      <c r="T76" s="5">
        <f t="shared" si="17"/>
        <v>0</v>
      </c>
      <c r="U76" s="5">
        <f t="shared" ref="U76:U87" si="18">SUM(E76:T76)</f>
        <v>356912.00000000006</v>
      </c>
    </row>
    <row r="77" spans="1:21" ht="12.75" hidden="1" customHeight="1">
      <c r="A77" s="70">
        <v>103846</v>
      </c>
      <c r="B77" s="70" t="s">
        <v>113</v>
      </c>
      <c r="C77" s="70" t="s">
        <v>139</v>
      </c>
      <c r="D77" s="5">
        <v>830137</v>
      </c>
      <c r="E77" s="5">
        <f t="shared" ref="E77:T77" si="19">+$D77*E26</f>
        <v>166027.4000020611</v>
      </c>
      <c r="F77" s="69">
        <f t="shared" si="19"/>
        <v>0</v>
      </c>
      <c r="G77" s="69">
        <f t="shared" si="19"/>
        <v>0</v>
      </c>
      <c r="H77" s="5">
        <f t="shared" si="19"/>
        <v>166027.4000020611</v>
      </c>
      <c r="I77" s="5">
        <f t="shared" si="19"/>
        <v>0</v>
      </c>
      <c r="J77" s="5">
        <f t="shared" si="19"/>
        <v>166027.4000020611</v>
      </c>
      <c r="K77" s="5">
        <f t="shared" si="19"/>
        <v>0</v>
      </c>
      <c r="L77" s="5">
        <f t="shared" si="19"/>
        <v>0</v>
      </c>
      <c r="M77" s="5">
        <f t="shared" si="19"/>
        <v>166027.39999175552</v>
      </c>
      <c r="N77" s="5">
        <f t="shared" si="19"/>
        <v>0</v>
      </c>
      <c r="O77" s="5">
        <f t="shared" si="19"/>
        <v>0</v>
      </c>
      <c r="P77" s="5">
        <f t="shared" si="19"/>
        <v>0</v>
      </c>
      <c r="Q77" s="5">
        <f t="shared" si="19"/>
        <v>166027.4000020611</v>
      </c>
      <c r="R77" s="5">
        <f t="shared" si="19"/>
        <v>0</v>
      </c>
      <c r="S77" s="5">
        <f t="shared" si="19"/>
        <v>0</v>
      </c>
      <c r="T77" s="5">
        <f t="shared" si="19"/>
        <v>0</v>
      </c>
      <c r="U77" s="5">
        <f t="shared" si="18"/>
        <v>830137</v>
      </c>
    </row>
    <row r="78" spans="1:21" ht="12.75" hidden="1" customHeight="1">
      <c r="A78" s="73">
        <v>103833</v>
      </c>
      <c r="B78" s="73" t="s">
        <v>113</v>
      </c>
      <c r="C78" s="73" t="s">
        <v>130</v>
      </c>
      <c r="D78" s="5">
        <v>693705</v>
      </c>
      <c r="E78" s="5">
        <f t="shared" ref="E78:T78" si="20">+$D78*E19</f>
        <v>693705</v>
      </c>
      <c r="F78" s="69">
        <f t="shared" si="20"/>
        <v>0</v>
      </c>
      <c r="G78" s="69">
        <f t="shared" si="20"/>
        <v>0</v>
      </c>
      <c r="H78" s="5">
        <f t="shared" si="20"/>
        <v>0</v>
      </c>
      <c r="I78" s="5">
        <f t="shared" si="20"/>
        <v>0</v>
      </c>
      <c r="J78" s="5">
        <f t="shared" si="20"/>
        <v>0</v>
      </c>
      <c r="K78" s="5">
        <f t="shared" si="20"/>
        <v>0</v>
      </c>
      <c r="L78" s="5">
        <f t="shared" si="20"/>
        <v>0</v>
      </c>
      <c r="M78" s="5">
        <f t="shared" si="20"/>
        <v>0</v>
      </c>
      <c r="N78" s="5">
        <f t="shared" si="20"/>
        <v>0</v>
      </c>
      <c r="O78" s="5">
        <f t="shared" si="20"/>
        <v>0</v>
      </c>
      <c r="P78" s="5">
        <f t="shared" si="20"/>
        <v>0</v>
      </c>
      <c r="Q78" s="5">
        <f t="shared" si="20"/>
        <v>0</v>
      </c>
      <c r="R78" s="5">
        <f t="shared" si="20"/>
        <v>0</v>
      </c>
      <c r="S78" s="5">
        <f t="shared" si="20"/>
        <v>0</v>
      </c>
      <c r="T78" s="5">
        <f t="shared" si="20"/>
        <v>0</v>
      </c>
      <c r="U78" s="5">
        <f t="shared" si="18"/>
        <v>693705</v>
      </c>
    </row>
    <row r="79" spans="1:21" ht="12.75" hidden="1" customHeight="1">
      <c r="A79" s="70">
        <v>103816</v>
      </c>
      <c r="B79" s="70" t="s">
        <v>113</v>
      </c>
      <c r="C79" s="70" t="s">
        <v>114</v>
      </c>
      <c r="D79" s="5">
        <v>603825</v>
      </c>
      <c r="E79" s="5">
        <f t="shared" ref="E79:T79" si="21">+$D79*E6</f>
        <v>0</v>
      </c>
      <c r="F79" s="69">
        <f t="shared" si="21"/>
        <v>0</v>
      </c>
      <c r="G79" s="69">
        <f t="shared" si="21"/>
        <v>0</v>
      </c>
      <c r="H79" s="5">
        <f t="shared" si="21"/>
        <v>0</v>
      </c>
      <c r="I79" s="5">
        <f t="shared" si="21"/>
        <v>0</v>
      </c>
      <c r="J79" s="5">
        <f t="shared" si="21"/>
        <v>0</v>
      </c>
      <c r="K79" s="5">
        <f t="shared" si="21"/>
        <v>0</v>
      </c>
      <c r="L79" s="5">
        <f t="shared" si="21"/>
        <v>0</v>
      </c>
      <c r="M79" s="5">
        <f t="shared" si="21"/>
        <v>0</v>
      </c>
      <c r="N79" s="5">
        <f t="shared" si="21"/>
        <v>0</v>
      </c>
      <c r="O79" s="5">
        <f t="shared" si="21"/>
        <v>96454.064051131703</v>
      </c>
      <c r="P79" s="5">
        <f t="shared" si="21"/>
        <v>0</v>
      </c>
      <c r="Q79" s="5">
        <f t="shared" si="21"/>
        <v>507370.93594886834</v>
      </c>
      <c r="R79" s="5">
        <f t="shared" si="21"/>
        <v>0</v>
      </c>
      <c r="S79" s="5">
        <f t="shared" si="21"/>
        <v>0</v>
      </c>
      <c r="T79" s="5">
        <f t="shared" si="21"/>
        <v>0</v>
      </c>
      <c r="U79" s="5">
        <f t="shared" si="18"/>
        <v>603825</v>
      </c>
    </row>
    <row r="80" spans="1:21" ht="12.75" hidden="1" customHeight="1">
      <c r="A80" s="70">
        <v>103817</v>
      </c>
      <c r="B80" s="70" t="s">
        <v>113</v>
      </c>
      <c r="C80" s="70" t="s">
        <v>115</v>
      </c>
      <c r="D80" s="5">
        <v>759825</v>
      </c>
      <c r="E80" s="5">
        <f t="shared" ref="E80:T80" si="22">+$D80*E7</f>
        <v>0</v>
      </c>
      <c r="F80" s="69">
        <f t="shared" si="22"/>
        <v>0</v>
      </c>
      <c r="G80" s="69">
        <f t="shared" si="22"/>
        <v>0</v>
      </c>
      <c r="H80" s="5">
        <f t="shared" si="22"/>
        <v>669369.64285367681</v>
      </c>
      <c r="I80" s="5">
        <f t="shared" si="22"/>
        <v>0</v>
      </c>
      <c r="J80" s="5">
        <f t="shared" si="22"/>
        <v>0</v>
      </c>
      <c r="K80" s="5">
        <f t="shared" si="22"/>
        <v>0</v>
      </c>
      <c r="L80" s="5">
        <f t="shared" si="22"/>
        <v>0</v>
      </c>
      <c r="M80" s="5">
        <f t="shared" si="22"/>
        <v>0</v>
      </c>
      <c r="N80" s="5">
        <f t="shared" si="22"/>
        <v>0</v>
      </c>
      <c r="O80" s="5">
        <f t="shared" si="22"/>
        <v>90455.357146323193</v>
      </c>
      <c r="P80" s="5">
        <f t="shared" si="22"/>
        <v>0</v>
      </c>
      <c r="Q80" s="5">
        <f t="shared" si="22"/>
        <v>0</v>
      </c>
      <c r="R80" s="5">
        <f t="shared" si="22"/>
        <v>0</v>
      </c>
      <c r="S80" s="5">
        <f t="shared" si="22"/>
        <v>0</v>
      </c>
      <c r="T80" s="5">
        <f t="shared" si="22"/>
        <v>0</v>
      </c>
      <c r="U80" s="5">
        <f t="shared" si="18"/>
        <v>759825</v>
      </c>
    </row>
    <row r="81" spans="1:24" ht="12.75" hidden="1" customHeight="1">
      <c r="A81" s="70">
        <v>103818</v>
      </c>
      <c r="B81" s="70" t="s">
        <v>113</v>
      </c>
      <c r="C81" s="70" t="s">
        <v>116</v>
      </c>
      <c r="D81" s="5">
        <v>924160</v>
      </c>
      <c r="E81" s="5">
        <f t="shared" ref="E81:T81" si="23">+$D81*E8</f>
        <v>0</v>
      </c>
      <c r="F81" s="69">
        <f t="shared" si="23"/>
        <v>0</v>
      </c>
      <c r="G81" s="69">
        <f t="shared" si="23"/>
        <v>0</v>
      </c>
      <c r="H81" s="5">
        <f t="shared" si="23"/>
        <v>0</v>
      </c>
      <c r="I81" s="5">
        <f t="shared" si="23"/>
        <v>0</v>
      </c>
      <c r="J81" s="5">
        <f t="shared" si="23"/>
        <v>786584.97131529904</v>
      </c>
      <c r="K81" s="5">
        <f t="shared" si="23"/>
        <v>0</v>
      </c>
      <c r="L81" s="5">
        <f t="shared" si="23"/>
        <v>0</v>
      </c>
      <c r="M81" s="5">
        <f t="shared" si="23"/>
        <v>0</v>
      </c>
      <c r="N81" s="5">
        <f t="shared" si="23"/>
        <v>0</v>
      </c>
      <c r="O81" s="5">
        <f t="shared" si="23"/>
        <v>137575.02868470098</v>
      </c>
      <c r="P81" s="5">
        <f t="shared" si="23"/>
        <v>0</v>
      </c>
      <c r="Q81" s="5">
        <f t="shared" si="23"/>
        <v>0</v>
      </c>
      <c r="R81" s="5">
        <f t="shared" si="23"/>
        <v>0</v>
      </c>
      <c r="S81" s="5">
        <f t="shared" si="23"/>
        <v>0</v>
      </c>
      <c r="T81" s="5">
        <f t="shared" si="23"/>
        <v>0</v>
      </c>
      <c r="U81" s="5">
        <f t="shared" si="18"/>
        <v>924160</v>
      </c>
    </row>
    <row r="82" spans="1:24" ht="12.75" hidden="1" customHeight="1">
      <c r="A82" s="70">
        <v>103820</v>
      </c>
      <c r="B82" s="70" t="s">
        <v>113</v>
      </c>
      <c r="C82" s="70" t="s">
        <v>119</v>
      </c>
      <c r="D82" s="5">
        <v>1076842</v>
      </c>
      <c r="E82" s="5">
        <f t="shared" ref="E82:T82" si="24">+$D82*E10</f>
        <v>38079.383013701918</v>
      </c>
      <c r="F82" s="69">
        <f t="shared" si="24"/>
        <v>0</v>
      </c>
      <c r="G82" s="69">
        <f t="shared" si="24"/>
        <v>0</v>
      </c>
      <c r="H82" s="5">
        <f t="shared" si="24"/>
        <v>144151.68386215312</v>
      </c>
      <c r="I82" s="5">
        <f t="shared" si="24"/>
        <v>0</v>
      </c>
      <c r="J82" s="5">
        <f t="shared" si="24"/>
        <v>174669.45421607126</v>
      </c>
      <c r="K82" s="5">
        <f t="shared" si="24"/>
        <v>0</v>
      </c>
      <c r="L82" s="5">
        <f t="shared" si="24"/>
        <v>0</v>
      </c>
      <c r="M82" s="5">
        <f t="shared" si="24"/>
        <v>431097.73542344442</v>
      </c>
      <c r="N82" s="5">
        <f t="shared" si="24"/>
        <v>0</v>
      </c>
      <c r="O82" s="5">
        <f t="shared" si="24"/>
        <v>114681.97015026335</v>
      </c>
      <c r="P82" s="5">
        <f t="shared" si="24"/>
        <v>0</v>
      </c>
      <c r="Q82" s="5">
        <f t="shared" si="24"/>
        <v>174161.77333436583</v>
      </c>
      <c r="R82" s="5">
        <f t="shared" si="24"/>
        <v>0</v>
      </c>
      <c r="S82" s="5">
        <f t="shared" si="24"/>
        <v>0</v>
      </c>
      <c r="T82" s="5">
        <f t="shared" si="24"/>
        <v>0</v>
      </c>
      <c r="U82" s="5">
        <f t="shared" si="18"/>
        <v>1076842</v>
      </c>
    </row>
    <row r="83" spans="1:24" ht="12.75" hidden="1" customHeight="1">
      <c r="A83" s="70">
        <v>103821</v>
      </c>
      <c r="B83" s="70" t="s">
        <v>113</v>
      </c>
      <c r="C83" s="70" t="s">
        <v>120</v>
      </c>
      <c r="D83" s="5">
        <v>694714</v>
      </c>
      <c r="E83" s="5">
        <f t="shared" ref="E83:T83" si="25">+$D83*E11</f>
        <v>0</v>
      </c>
      <c r="F83" s="69">
        <f t="shared" si="25"/>
        <v>0</v>
      </c>
      <c r="G83" s="69">
        <f t="shared" si="25"/>
        <v>0</v>
      </c>
      <c r="H83" s="5">
        <f t="shared" si="25"/>
        <v>138942.80000000002</v>
      </c>
      <c r="I83" s="5">
        <f t="shared" si="25"/>
        <v>138942.80000000002</v>
      </c>
      <c r="J83" s="5">
        <f t="shared" si="25"/>
        <v>138942.80000000002</v>
      </c>
      <c r="K83" s="5">
        <f t="shared" si="25"/>
        <v>0</v>
      </c>
      <c r="L83" s="5">
        <f t="shared" si="25"/>
        <v>0</v>
      </c>
      <c r="M83" s="5">
        <f t="shared" si="25"/>
        <v>138942.80000000002</v>
      </c>
      <c r="N83" s="5">
        <f t="shared" si="25"/>
        <v>0</v>
      </c>
      <c r="O83" s="5">
        <f t="shared" si="25"/>
        <v>0</v>
      </c>
      <c r="P83" s="5">
        <f t="shared" si="25"/>
        <v>0</v>
      </c>
      <c r="Q83" s="5">
        <f t="shared" si="25"/>
        <v>138942.80000000002</v>
      </c>
      <c r="R83" s="5">
        <f t="shared" si="25"/>
        <v>0</v>
      </c>
      <c r="S83" s="5">
        <f t="shared" si="25"/>
        <v>0</v>
      </c>
      <c r="T83" s="5">
        <f t="shared" si="25"/>
        <v>0</v>
      </c>
      <c r="U83" s="5">
        <f t="shared" si="18"/>
        <v>694714.00000000012</v>
      </c>
    </row>
    <row r="84" spans="1:24" ht="12.75" hidden="1" customHeight="1">
      <c r="A84" s="70">
        <v>103847</v>
      </c>
      <c r="B84" s="70" t="s">
        <v>113</v>
      </c>
      <c r="C84" s="70" t="s">
        <v>160</v>
      </c>
      <c r="D84" s="5">
        <v>113241</v>
      </c>
      <c r="E84" s="5">
        <f t="shared" ref="E84:T84" si="26">+$D84*E48</f>
        <v>0</v>
      </c>
      <c r="F84" s="69">
        <f t="shared" si="26"/>
        <v>0</v>
      </c>
      <c r="G84" s="69">
        <f t="shared" si="26"/>
        <v>0</v>
      </c>
      <c r="H84" s="5">
        <f t="shared" si="26"/>
        <v>0</v>
      </c>
      <c r="I84" s="5">
        <f t="shared" si="26"/>
        <v>113241</v>
      </c>
      <c r="J84" s="5">
        <f t="shared" si="26"/>
        <v>0</v>
      </c>
      <c r="K84" s="5">
        <f t="shared" si="26"/>
        <v>0</v>
      </c>
      <c r="L84" s="5">
        <f t="shared" si="26"/>
        <v>0</v>
      </c>
      <c r="M84" s="5">
        <f t="shared" si="26"/>
        <v>0</v>
      </c>
      <c r="N84" s="5">
        <f t="shared" si="26"/>
        <v>0</v>
      </c>
      <c r="O84" s="5">
        <f t="shared" si="26"/>
        <v>0</v>
      </c>
      <c r="P84" s="5">
        <f t="shared" si="26"/>
        <v>0</v>
      </c>
      <c r="Q84" s="5">
        <f t="shared" si="26"/>
        <v>0</v>
      </c>
      <c r="R84" s="5">
        <f t="shared" si="26"/>
        <v>0</v>
      </c>
      <c r="S84" s="5">
        <f t="shared" si="26"/>
        <v>0</v>
      </c>
      <c r="T84" s="5">
        <f t="shared" si="26"/>
        <v>0</v>
      </c>
      <c r="U84" s="5">
        <f t="shared" si="18"/>
        <v>113241</v>
      </c>
    </row>
    <row r="85" spans="1:24" ht="12.75" hidden="1" customHeight="1">
      <c r="A85" s="70">
        <v>103857</v>
      </c>
      <c r="B85" s="70" t="s">
        <v>113</v>
      </c>
      <c r="C85" s="70" t="s">
        <v>142</v>
      </c>
      <c r="D85" s="5">
        <v>205425</v>
      </c>
      <c r="E85" s="5">
        <f t="shared" ref="E85:T85" si="27">+$D85*E29</f>
        <v>5848.0519335282806</v>
      </c>
      <c r="F85" s="69">
        <f t="shared" si="27"/>
        <v>0</v>
      </c>
      <c r="G85" s="69">
        <f t="shared" si="27"/>
        <v>0</v>
      </c>
      <c r="H85" s="5">
        <f t="shared" si="27"/>
        <v>117029.58457020293</v>
      </c>
      <c r="I85" s="5">
        <f t="shared" si="27"/>
        <v>0</v>
      </c>
      <c r="J85" s="5">
        <f t="shared" si="27"/>
        <v>50689.730814625589</v>
      </c>
      <c r="K85" s="5">
        <f t="shared" si="27"/>
        <v>0</v>
      </c>
      <c r="L85" s="5">
        <f t="shared" si="27"/>
        <v>0</v>
      </c>
      <c r="M85" s="5">
        <f t="shared" si="27"/>
        <v>0</v>
      </c>
      <c r="N85" s="5">
        <f t="shared" si="27"/>
        <v>0</v>
      </c>
      <c r="O85" s="5">
        <f t="shared" si="27"/>
        <v>0</v>
      </c>
      <c r="P85" s="5">
        <f t="shared" si="27"/>
        <v>0</v>
      </c>
      <c r="Q85" s="5">
        <f t="shared" si="27"/>
        <v>31857.632681643194</v>
      </c>
      <c r="R85" s="5">
        <f t="shared" si="27"/>
        <v>0</v>
      </c>
      <c r="S85" s="5">
        <f t="shared" si="27"/>
        <v>0</v>
      </c>
      <c r="T85" s="5">
        <f t="shared" si="27"/>
        <v>0</v>
      </c>
      <c r="U85" s="5">
        <f t="shared" si="18"/>
        <v>205425</v>
      </c>
    </row>
    <row r="86" spans="1:24" ht="12.75" hidden="1" customHeight="1">
      <c r="A86" s="70">
        <v>140112</v>
      </c>
      <c r="B86" s="70" t="s">
        <v>113</v>
      </c>
      <c r="C86" s="70" t="s">
        <v>158</v>
      </c>
      <c r="D86" s="5">
        <v>96041</v>
      </c>
      <c r="E86" s="5">
        <f t="shared" ref="E86:T86" si="28">+$D86*E44</f>
        <v>0</v>
      </c>
      <c r="F86" s="69">
        <f t="shared" si="28"/>
        <v>0</v>
      </c>
      <c r="G86" s="69">
        <f t="shared" si="28"/>
        <v>0</v>
      </c>
      <c r="H86" s="5">
        <f t="shared" si="28"/>
        <v>90278.54</v>
      </c>
      <c r="I86" s="5">
        <f t="shared" si="28"/>
        <v>0</v>
      </c>
      <c r="J86" s="5">
        <f t="shared" si="28"/>
        <v>0</v>
      </c>
      <c r="K86" s="5">
        <f t="shared" si="28"/>
        <v>0</v>
      </c>
      <c r="L86" s="5">
        <f t="shared" si="28"/>
        <v>0</v>
      </c>
      <c r="M86" s="5">
        <f t="shared" si="28"/>
        <v>0</v>
      </c>
      <c r="N86" s="5">
        <f t="shared" si="28"/>
        <v>0</v>
      </c>
      <c r="O86" s="5">
        <f t="shared" si="28"/>
        <v>0</v>
      </c>
      <c r="P86" s="5">
        <f t="shared" si="28"/>
        <v>5762.46</v>
      </c>
      <c r="Q86" s="5">
        <f t="shared" si="28"/>
        <v>0</v>
      </c>
      <c r="R86" s="5">
        <f t="shared" si="28"/>
        <v>0</v>
      </c>
      <c r="S86" s="5">
        <f t="shared" si="28"/>
        <v>0</v>
      </c>
      <c r="T86" s="5">
        <f t="shared" si="28"/>
        <v>0</v>
      </c>
      <c r="U86" s="5">
        <f t="shared" si="18"/>
        <v>96041</v>
      </c>
    </row>
    <row r="87" spans="1:24" ht="12.75" hidden="1" customHeight="1">
      <c r="A87" s="70">
        <v>140571</v>
      </c>
      <c r="B87" s="70" t="s">
        <v>113</v>
      </c>
      <c r="C87" s="70" t="s">
        <v>159</v>
      </c>
      <c r="D87" s="5">
        <v>218625</v>
      </c>
      <c r="E87" s="5">
        <f t="shared" ref="E87:T87" si="29">+$D87*E46</f>
        <v>0</v>
      </c>
      <c r="F87" s="69">
        <f t="shared" si="29"/>
        <v>0</v>
      </c>
      <c r="G87" s="69">
        <f t="shared" si="29"/>
        <v>0</v>
      </c>
      <c r="H87" s="5">
        <f t="shared" si="29"/>
        <v>43725</v>
      </c>
      <c r="I87" s="5">
        <f t="shared" si="29"/>
        <v>43725</v>
      </c>
      <c r="J87" s="5">
        <f t="shared" si="29"/>
        <v>43725</v>
      </c>
      <c r="K87" s="5">
        <f t="shared" si="29"/>
        <v>0</v>
      </c>
      <c r="L87" s="5">
        <f t="shared" si="29"/>
        <v>0</v>
      </c>
      <c r="M87" s="5">
        <f t="shared" si="29"/>
        <v>43725</v>
      </c>
      <c r="N87" s="5">
        <f t="shared" si="29"/>
        <v>0</v>
      </c>
      <c r="O87" s="5">
        <f t="shared" si="29"/>
        <v>0</v>
      </c>
      <c r="P87" s="5">
        <f t="shared" si="29"/>
        <v>0</v>
      </c>
      <c r="Q87" s="5">
        <f t="shared" si="29"/>
        <v>43725</v>
      </c>
      <c r="R87" s="5">
        <f t="shared" si="29"/>
        <v>0</v>
      </c>
      <c r="S87" s="5">
        <f t="shared" si="29"/>
        <v>0</v>
      </c>
      <c r="T87" s="5">
        <f t="shared" si="29"/>
        <v>0</v>
      </c>
      <c r="U87" s="5">
        <f t="shared" si="18"/>
        <v>218625</v>
      </c>
    </row>
    <row r="88" spans="1:24">
      <c r="A88" s="78" t="s">
        <v>177</v>
      </c>
      <c r="B88" s="70"/>
      <c r="C88" s="70"/>
      <c r="D88" s="5"/>
      <c r="E88" s="5"/>
      <c r="F88" s="69"/>
      <c r="G88" s="69"/>
      <c r="H88" s="5"/>
      <c r="I88" s="5"/>
      <c r="J88" s="5"/>
      <c r="K88" s="5"/>
      <c r="L88" s="5"/>
      <c r="M88" s="5"/>
      <c r="N88" s="5"/>
      <c r="O88" s="5"/>
      <c r="P88" s="5"/>
      <c r="Q88" s="5"/>
      <c r="R88" s="5"/>
      <c r="S88" s="5"/>
      <c r="T88" s="5"/>
      <c r="U88" s="5"/>
    </row>
    <row r="89" spans="1:24" ht="12.75" hidden="1" customHeight="1">
      <c r="A89" s="70">
        <v>103858</v>
      </c>
      <c r="B89" s="70" t="s">
        <v>117</v>
      </c>
      <c r="C89" s="70" t="s">
        <v>143</v>
      </c>
      <c r="D89" s="5">
        <v>182884</v>
      </c>
      <c r="E89" s="5">
        <f t="shared" ref="E89:T89" si="30">+$D89*E30</f>
        <v>37128.873275855665</v>
      </c>
      <c r="F89" s="69">
        <f t="shared" si="30"/>
        <v>0</v>
      </c>
      <c r="G89" s="69">
        <f t="shared" si="30"/>
        <v>0</v>
      </c>
      <c r="H89" s="5">
        <f t="shared" si="30"/>
        <v>28329.793912760291</v>
      </c>
      <c r="I89" s="5">
        <f t="shared" si="30"/>
        <v>0</v>
      </c>
      <c r="J89" s="5">
        <f t="shared" si="30"/>
        <v>103195.83789937111</v>
      </c>
      <c r="K89" s="5">
        <f t="shared" si="30"/>
        <v>0</v>
      </c>
      <c r="L89" s="5">
        <f t="shared" si="30"/>
        <v>0</v>
      </c>
      <c r="M89" s="5">
        <f t="shared" si="30"/>
        <v>0</v>
      </c>
      <c r="N89" s="5">
        <f t="shared" si="30"/>
        <v>0</v>
      </c>
      <c r="O89" s="5">
        <f t="shared" si="30"/>
        <v>5715.1249891115476</v>
      </c>
      <c r="P89" s="5">
        <f t="shared" si="30"/>
        <v>0</v>
      </c>
      <c r="Q89" s="5">
        <f t="shared" si="30"/>
        <v>8514.3699229014055</v>
      </c>
      <c r="R89" s="5">
        <f t="shared" si="30"/>
        <v>0</v>
      </c>
      <c r="S89" s="5">
        <f t="shared" si="30"/>
        <v>0</v>
      </c>
      <c r="T89" s="5">
        <f t="shared" si="30"/>
        <v>0</v>
      </c>
      <c r="U89" s="5">
        <f t="shared" ref="U89:U94" si="31">SUM(E89:T89)</f>
        <v>182884.00000000003</v>
      </c>
    </row>
    <row r="90" spans="1:24" ht="12.75" hidden="1" customHeight="1">
      <c r="A90" s="70">
        <v>103859</v>
      </c>
      <c r="B90" s="70" t="s">
        <v>117</v>
      </c>
      <c r="C90" s="70" t="s">
        <v>144</v>
      </c>
      <c r="D90" s="5">
        <v>807008</v>
      </c>
      <c r="E90" s="5">
        <f t="shared" ref="E90:T90" si="32">+$D90*E31</f>
        <v>56490.560000000005</v>
      </c>
      <c r="F90" s="69">
        <f t="shared" si="32"/>
        <v>0</v>
      </c>
      <c r="G90" s="69">
        <f t="shared" si="32"/>
        <v>0</v>
      </c>
      <c r="H90" s="5">
        <f t="shared" si="32"/>
        <v>395433.92</v>
      </c>
      <c r="I90" s="5">
        <f t="shared" si="32"/>
        <v>0</v>
      </c>
      <c r="J90" s="5">
        <f t="shared" si="32"/>
        <v>177541.76000000001</v>
      </c>
      <c r="K90" s="5">
        <f t="shared" si="32"/>
        <v>0</v>
      </c>
      <c r="L90" s="5">
        <f t="shared" si="32"/>
        <v>0</v>
      </c>
      <c r="M90" s="5">
        <f t="shared" si="32"/>
        <v>40350.400000000001</v>
      </c>
      <c r="N90" s="5">
        <f t="shared" si="32"/>
        <v>0</v>
      </c>
      <c r="O90" s="5">
        <f t="shared" si="32"/>
        <v>40350.400000000001</v>
      </c>
      <c r="P90" s="5">
        <f t="shared" si="32"/>
        <v>0</v>
      </c>
      <c r="Q90" s="5">
        <f t="shared" si="32"/>
        <v>96840.959999999992</v>
      </c>
      <c r="R90" s="5">
        <f t="shared" si="32"/>
        <v>0</v>
      </c>
      <c r="S90" s="5">
        <f t="shared" si="32"/>
        <v>0</v>
      </c>
      <c r="T90" s="5">
        <f t="shared" si="32"/>
        <v>0</v>
      </c>
      <c r="U90" s="5">
        <f t="shared" si="31"/>
        <v>807008</v>
      </c>
      <c r="X90" s="80"/>
    </row>
    <row r="91" spans="1:24" ht="12.75" hidden="1" customHeight="1">
      <c r="A91" s="70">
        <v>103819</v>
      </c>
      <c r="B91" s="70" t="s">
        <v>117</v>
      </c>
      <c r="C91" s="70" t="s">
        <v>118</v>
      </c>
      <c r="D91" s="5">
        <v>3414132</v>
      </c>
      <c r="E91" s="5">
        <f t="shared" ref="E91:T91" si="33">+$D91*E9</f>
        <v>170706.6</v>
      </c>
      <c r="F91" s="69">
        <f t="shared" si="33"/>
        <v>0</v>
      </c>
      <c r="G91" s="69">
        <f t="shared" si="33"/>
        <v>0</v>
      </c>
      <c r="H91" s="5">
        <f t="shared" si="33"/>
        <v>1365652.8</v>
      </c>
      <c r="I91" s="5">
        <f t="shared" si="33"/>
        <v>0</v>
      </c>
      <c r="J91" s="5">
        <f t="shared" si="33"/>
        <v>1194946.2</v>
      </c>
      <c r="K91" s="5">
        <f t="shared" si="33"/>
        <v>0</v>
      </c>
      <c r="L91" s="5">
        <f t="shared" si="33"/>
        <v>0</v>
      </c>
      <c r="M91" s="5">
        <f t="shared" si="33"/>
        <v>0</v>
      </c>
      <c r="N91" s="5">
        <f t="shared" si="33"/>
        <v>0</v>
      </c>
      <c r="O91" s="5">
        <f t="shared" si="33"/>
        <v>0</v>
      </c>
      <c r="P91" s="5">
        <f t="shared" si="33"/>
        <v>68282.64</v>
      </c>
      <c r="Q91" s="5">
        <f t="shared" si="33"/>
        <v>614543.76</v>
      </c>
      <c r="R91" s="5">
        <f t="shared" si="33"/>
        <v>0</v>
      </c>
      <c r="S91" s="5">
        <f t="shared" si="33"/>
        <v>0</v>
      </c>
      <c r="T91" s="5">
        <f t="shared" si="33"/>
        <v>0</v>
      </c>
      <c r="U91" s="5">
        <f t="shared" si="31"/>
        <v>3414132</v>
      </c>
    </row>
    <row r="92" spans="1:24" ht="12.75" hidden="1" customHeight="1">
      <c r="A92" s="70">
        <v>103852</v>
      </c>
      <c r="B92" s="70" t="s">
        <v>117</v>
      </c>
      <c r="C92" s="70" t="s">
        <v>140</v>
      </c>
      <c r="D92" s="5">
        <v>402531</v>
      </c>
      <c r="E92" s="5">
        <f t="shared" ref="E92:T92" si="34">+$D92*E27</f>
        <v>0</v>
      </c>
      <c r="F92" s="69">
        <f t="shared" si="34"/>
        <v>0</v>
      </c>
      <c r="G92" s="69">
        <f t="shared" si="34"/>
        <v>0</v>
      </c>
      <c r="H92" s="5">
        <f t="shared" si="34"/>
        <v>0</v>
      </c>
      <c r="I92" s="5">
        <f t="shared" si="34"/>
        <v>0</v>
      </c>
      <c r="J92" s="5">
        <f t="shared" si="34"/>
        <v>0</v>
      </c>
      <c r="K92" s="5">
        <f t="shared" si="34"/>
        <v>0</v>
      </c>
      <c r="L92" s="5">
        <f t="shared" si="34"/>
        <v>0</v>
      </c>
      <c r="M92" s="5">
        <f t="shared" si="34"/>
        <v>0</v>
      </c>
      <c r="N92" s="5">
        <f t="shared" si="34"/>
        <v>0</v>
      </c>
      <c r="O92" s="5">
        <f t="shared" si="34"/>
        <v>0</v>
      </c>
      <c r="P92" s="5">
        <f t="shared" si="34"/>
        <v>0</v>
      </c>
      <c r="Q92" s="5">
        <f t="shared" si="34"/>
        <v>0</v>
      </c>
      <c r="R92" s="5">
        <f t="shared" si="34"/>
        <v>0</v>
      </c>
      <c r="S92" s="5">
        <f t="shared" si="34"/>
        <v>0</v>
      </c>
      <c r="T92" s="5">
        <f t="shared" si="34"/>
        <v>0</v>
      </c>
      <c r="U92" s="5">
        <f t="shared" si="31"/>
        <v>0</v>
      </c>
    </row>
    <row r="93" spans="1:24" ht="12.75" hidden="1" customHeight="1">
      <c r="A93" s="70">
        <v>103874</v>
      </c>
      <c r="B93" s="70" t="s">
        <v>117</v>
      </c>
      <c r="C93" s="70" t="s">
        <v>156</v>
      </c>
      <c r="D93" s="5">
        <v>1060036</v>
      </c>
      <c r="E93" s="5">
        <f t="shared" ref="E93:T93" si="35">+$D93*E42</f>
        <v>42401.440000000002</v>
      </c>
      <c r="F93" s="69">
        <f t="shared" si="35"/>
        <v>0</v>
      </c>
      <c r="G93" s="69">
        <f t="shared" si="35"/>
        <v>0</v>
      </c>
      <c r="H93" s="5">
        <f t="shared" si="35"/>
        <v>265009</v>
      </c>
      <c r="I93" s="5">
        <f t="shared" si="35"/>
        <v>0</v>
      </c>
      <c r="J93" s="5">
        <f t="shared" si="35"/>
        <v>201406.84</v>
      </c>
      <c r="K93" s="5">
        <f t="shared" si="35"/>
        <v>0</v>
      </c>
      <c r="L93" s="5">
        <f t="shared" si="35"/>
        <v>0</v>
      </c>
      <c r="M93" s="5">
        <f t="shared" si="35"/>
        <v>328611.15999999997</v>
      </c>
      <c r="N93" s="5">
        <f t="shared" si="35"/>
        <v>0</v>
      </c>
      <c r="O93" s="5">
        <f t="shared" si="35"/>
        <v>10600.36</v>
      </c>
      <c r="P93" s="5">
        <f t="shared" si="35"/>
        <v>0</v>
      </c>
      <c r="Q93" s="5">
        <f t="shared" si="35"/>
        <v>95403.239999999991</v>
      </c>
      <c r="R93" s="5">
        <f t="shared" si="35"/>
        <v>0</v>
      </c>
      <c r="S93" s="5">
        <f t="shared" si="35"/>
        <v>0</v>
      </c>
      <c r="T93" s="5">
        <f t="shared" si="35"/>
        <v>0</v>
      </c>
      <c r="U93" s="5">
        <f t="shared" si="31"/>
        <v>943432.03999999992</v>
      </c>
    </row>
    <row r="94" spans="1:24" ht="12.75" hidden="1" customHeight="1">
      <c r="A94" s="70">
        <v>103875</v>
      </c>
      <c r="B94" s="70" t="s">
        <v>117</v>
      </c>
      <c r="C94" s="70" t="s">
        <v>157</v>
      </c>
      <c r="D94" s="5">
        <v>1346138</v>
      </c>
      <c r="E94" s="5">
        <f t="shared" ref="E94:T94" si="36">+$D94*E43</f>
        <v>0</v>
      </c>
      <c r="F94" s="69">
        <f t="shared" si="36"/>
        <v>0</v>
      </c>
      <c r="G94" s="69">
        <f t="shared" si="36"/>
        <v>0</v>
      </c>
      <c r="H94" s="5">
        <f t="shared" si="36"/>
        <v>0</v>
      </c>
      <c r="I94" s="5">
        <f t="shared" si="36"/>
        <v>0</v>
      </c>
      <c r="J94" s="5">
        <f t="shared" si="36"/>
        <v>0</v>
      </c>
      <c r="K94" s="5">
        <f t="shared" si="36"/>
        <v>0</v>
      </c>
      <c r="L94" s="5">
        <f t="shared" si="36"/>
        <v>0</v>
      </c>
      <c r="M94" s="5">
        <f t="shared" si="36"/>
        <v>1076910.4000000001</v>
      </c>
      <c r="N94" s="5">
        <f t="shared" si="36"/>
        <v>0</v>
      </c>
      <c r="O94" s="5">
        <f t="shared" si="36"/>
        <v>80768.28</v>
      </c>
      <c r="P94" s="5">
        <f t="shared" si="36"/>
        <v>0</v>
      </c>
      <c r="Q94" s="5">
        <f t="shared" si="36"/>
        <v>0</v>
      </c>
      <c r="R94" s="5">
        <f t="shared" si="36"/>
        <v>0</v>
      </c>
      <c r="S94" s="5">
        <f t="shared" si="36"/>
        <v>0</v>
      </c>
      <c r="T94" s="5">
        <f t="shared" si="36"/>
        <v>0</v>
      </c>
      <c r="U94" s="5">
        <f t="shared" si="31"/>
        <v>1157678.6800000002</v>
      </c>
    </row>
    <row r="95" spans="1:24">
      <c r="A95" s="78" t="s">
        <v>178</v>
      </c>
      <c r="B95" s="70"/>
      <c r="C95" s="70"/>
      <c r="D95" s="5"/>
      <c r="E95" s="5"/>
      <c r="F95" s="69"/>
      <c r="G95" s="69"/>
      <c r="H95" s="5"/>
      <c r="I95" s="5"/>
      <c r="J95" s="5"/>
      <c r="K95" s="5"/>
      <c r="L95" s="5"/>
      <c r="M95" s="5"/>
      <c r="N95" s="5"/>
      <c r="O95" s="5"/>
      <c r="P95" s="5"/>
      <c r="Q95" s="5"/>
      <c r="R95" s="5"/>
      <c r="S95" s="5"/>
      <c r="T95" s="5"/>
      <c r="U95" s="5"/>
    </row>
    <row r="96" spans="1:24" ht="12.75" hidden="1" customHeight="1">
      <c r="A96" s="70">
        <v>103823</v>
      </c>
      <c r="B96" s="70" t="s">
        <v>123</v>
      </c>
      <c r="C96" s="70" t="s">
        <v>124</v>
      </c>
      <c r="D96" s="5">
        <v>1181132</v>
      </c>
      <c r="E96" s="5">
        <f t="shared" ref="E96:T96" si="37">+$D96*E13</f>
        <v>0</v>
      </c>
      <c r="F96" s="69">
        <f t="shared" si="37"/>
        <v>0</v>
      </c>
      <c r="G96" s="69">
        <f t="shared" si="37"/>
        <v>0</v>
      </c>
      <c r="H96" s="5">
        <f t="shared" si="37"/>
        <v>0</v>
      </c>
      <c r="I96" s="5">
        <f t="shared" si="37"/>
        <v>0</v>
      </c>
      <c r="J96" s="5">
        <f t="shared" si="37"/>
        <v>0</v>
      </c>
      <c r="K96" s="5">
        <f t="shared" si="37"/>
        <v>1110264.0799999998</v>
      </c>
      <c r="L96" s="5">
        <f t="shared" si="37"/>
        <v>0</v>
      </c>
      <c r="M96" s="5">
        <f t="shared" si="37"/>
        <v>0</v>
      </c>
      <c r="N96" s="5">
        <f t="shared" si="37"/>
        <v>0</v>
      </c>
      <c r="O96" s="5">
        <f t="shared" si="37"/>
        <v>0</v>
      </c>
      <c r="P96" s="5">
        <f t="shared" si="37"/>
        <v>0</v>
      </c>
      <c r="Q96" s="5">
        <f t="shared" si="37"/>
        <v>0</v>
      </c>
      <c r="R96" s="5">
        <f t="shared" si="37"/>
        <v>70867.92</v>
      </c>
      <c r="S96" s="5">
        <f t="shared" si="37"/>
        <v>0</v>
      </c>
      <c r="T96" s="5">
        <f t="shared" si="37"/>
        <v>0</v>
      </c>
      <c r="U96" s="5">
        <f t="shared" ref="U96:U101" si="38">SUM(E96:T96)</f>
        <v>1181131.9999999998</v>
      </c>
    </row>
    <row r="97" spans="1:21" ht="12.75" hidden="1" customHeight="1">
      <c r="A97" s="70">
        <v>103824</v>
      </c>
      <c r="B97" s="70" t="s">
        <v>123</v>
      </c>
      <c r="C97" s="70" t="s">
        <v>125</v>
      </c>
      <c r="D97" s="5">
        <v>519997</v>
      </c>
      <c r="E97" s="5">
        <f t="shared" ref="E97:T97" si="39">+$D97*E14</f>
        <v>0</v>
      </c>
      <c r="F97" s="69">
        <f t="shared" si="39"/>
        <v>0</v>
      </c>
      <c r="G97" s="69">
        <f t="shared" si="39"/>
        <v>0</v>
      </c>
      <c r="H97" s="5">
        <f t="shared" si="39"/>
        <v>0</v>
      </c>
      <c r="I97" s="5">
        <f t="shared" si="39"/>
        <v>0</v>
      </c>
      <c r="J97" s="5">
        <f t="shared" si="39"/>
        <v>0</v>
      </c>
      <c r="K97" s="5">
        <f t="shared" si="39"/>
        <v>0</v>
      </c>
      <c r="L97" s="5">
        <f t="shared" si="39"/>
        <v>0</v>
      </c>
      <c r="M97" s="5">
        <f t="shared" si="39"/>
        <v>0</v>
      </c>
      <c r="N97" s="5">
        <f t="shared" si="39"/>
        <v>0</v>
      </c>
      <c r="O97" s="5">
        <f t="shared" si="39"/>
        <v>0</v>
      </c>
      <c r="P97" s="5">
        <f t="shared" si="39"/>
        <v>0</v>
      </c>
      <c r="Q97" s="5">
        <f t="shared" si="39"/>
        <v>0</v>
      </c>
      <c r="R97" s="5">
        <f t="shared" si="39"/>
        <v>519997</v>
      </c>
      <c r="S97" s="5">
        <f t="shared" si="39"/>
        <v>0</v>
      </c>
      <c r="T97" s="5">
        <f t="shared" si="39"/>
        <v>0</v>
      </c>
      <c r="U97" s="5">
        <f t="shared" si="38"/>
        <v>519997</v>
      </c>
    </row>
    <row r="98" spans="1:21" ht="12.75" hidden="1" customHeight="1">
      <c r="A98" s="70">
        <v>103825</v>
      </c>
      <c r="B98" s="70" t="s">
        <v>123</v>
      </c>
      <c r="C98" s="70" t="s">
        <v>126</v>
      </c>
      <c r="D98" s="5">
        <v>956512</v>
      </c>
      <c r="E98" s="5">
        <f t="shared" ref="E98:T98" si="40">+$D98*E15</f>
        <v>0</v>
      </c>
      <c r="F98" s="69">
        <f t="shared" si="40"/>
        <v>0</v>
      </c>
      <c r="G98" s="69">
        <f t="shared" si="40"/>
        <v>0</v>
      </c>
      <c r="H98" s="5">
        <f t="shared" si="40"/>
        <v>0</v>
      </c>
      <c r="I98" s="5">
        <f t="shared" si="40"/>
        <v>0</v>
      </c>
      <c r="J98" s="5">
        <f t="shared" si="40"/>
        <v>0</v>
      </c>
      <c r="K98" s="5">
        <f t="shared" si="40"/>
        <v>567761.19764756528</v>
      </c>
      <c r="L98" s="5">
        <f t="shared" si="40"/>
        <v>0</v>
      </c>
      <c r="M98" s="5">
        <f t="shared" si="40"/>
        <v>0</v>
      </c>
      <c r="N98" s="5">
        <f t="shared" si="40"/>
        <v>0</v>
      </c>
      <c r="O98" s="5">
        <f t="shared" si="40"/>
        <v>0</v>
      </c>
      <c r="P98" s="5">
        <f t="shared" si="40"/>
        <v>0</v>
      </c>
      <c r="Q98" s="5">
        <f t="shared" si="40"/>
        <v>0</v>
      </c>
      <c r="R98" s="5">
        <f t="shared" si="40"/>
        <v>388750.80235243478</v>
      </c>
      <c r="S98" s="5">
        <f t="shared" si="40"/>
        <v>0</v>
      </c>
      <c r="T98" s="5">
        <f t="shared" si="40"/>
        <v>0</v>
      </c>
      <c r="U98" s="5">
        <f t="shared" si="38"/>
        <v>956512</v>
      </c>
    </row>
    <row r="99" spans="1:21" ht="12.75" hidden="1" customHeight="1">
      <c r="A99" s="70">
        <v>103826</v>
      </c>
      <c r="B99" s="70" t="s">
        <v>123</v>
      </c>
      <c r="C99" s="70" t="s">
        <v>127</v>
      </c>
      <c r="D99" s="5">
        <v>834952</v>
      </c>
      <c r="E99" s="5">
        <f t="shared" ref="E99:T99" si="41">+$D99*E16</f>
        <v>0</v>
      </c>
      <c r="F99" s="69">
        <f t="shared" si="41"/>
        <v>0</v>
      </c>
      <c r="G99" s="69">
        <f t="shared" si="41"/>
        <v>0</v>
      </c>
      <c r="H99" s="5">
        <f t="shared" si="41"/>
        <v>0</v>
      </c>
      <c r="I99" s="5">
        <f t="shared" si="41"/>
        <v>0</v>
      </c>
      <c r="J99" s="5">
        <f t="shared" si="41"/>
        <v>0</v>
      </c>
      <c r="K99" s="5">
        <f t="shared" si="41"/>
        <v>834952</v>
      </c>
      <c r="L99" s="5">
        <f t="shared" si="41"/>
        <v>0</v>
      </c>
      <c r="M99" s="5">
        <f t="shared" si="41"/>
        <v>0</v>
      </c>
      <c r="N99" s="5">
        <f t="shared" si="41"/>
        <v>0</v>
      </c>
      <c r="O99" s="5">
        <f t="shared" si="41"/>
        <v>0</v>
      </c>
      <c r="P99" s="5">
        <f t="shared" si="41"/>
        <v>0</v>
      </c>
      <c r="Q99" s="5">
        <f t="shared" si="41"/>
        <v>0</v>
      </c>
      <c r="R99" s="5">
        <f t="shared" si="41"/>
        <v>0</v>
      </c>
      <c r="S99" s="5">
        <f t="shared" si="41"/>
        <v>0</v>
      </c>
      <c r="T99" s="5">
        <f t="shared" si="41"/>
        <v>0</v>
      </c>
      <c r="U99" s="5">
        <f t="shared" si="38"/>
        <v>834952</v>
      </c>
    </row>
    <row r="100" spans="1:21" ht="12.75" hidden="1" customHeight="1">
      <c r="A100" s="70">
        <v>103827</v>
      </c>
      <c r="B100" s="70" t="s">
        <v>123</v>
      </c>
      <c r="C100" s="70" t="s">
        <v>128</v>
      </c>
      <c r="D100" s="5">
        <v>1328638</v>
      </c>
      <c r="E100" s="5">
        <f t="shared" ref="E100:T100" si="42">+$D100*E17</f>
        <v>0</v>
      </c>
      <c r="F100" s="69">
        <f t="shared" si="42"/>
        <v>0</v>
      </c>
      <c r="G100" s="69">
        <f t="shared" si="42"/>
        <v>0</v>
      </c>
      <c r="H100" s="5">
        <f t="shared" si="42"/>
        <v>0</v>
      </c>
      <c r="I100" s="5">
        <f t="shared" si="42"/>
        <v>0</v>
      </c>
      <c r="J100" s="5">
        <f t="shared" si="42"/>
        <v>0</v>
      </c>
      <c r="K100" s="5">
        <f t="shared" si="42"/>
        <v>832445.81201348745</v>
      </c>
      <c r="L100" s="5">
        <f t="shared" si="42"/>
        <v>0</v>
      </c>
      <c r="M100" s="5">
        <f t="shared" si="42"/>
        <v>0</v>
      </c>
      <c r="N100" s="5">
        <f t="shared" si="42"/>
        <v>0</v>
      </c>
      <c r="O100" s="5">
        <f t="shared" si="42"/>
        <v>0</v>
      </c>
      <c r="P100" s="5">
        <f t="shared" si="42"/>
        <v>0</v>
      </c>
      <c r="Q100" s="5">
        <f t="shared" si="42"/>
        <v>0</v>
      </c>
      <c r="R100" s="5">
        <f t="shared" si="42"/>
        <v>496192.18798651244</v>
      </c>
      <c r="S100" s="5">
        <f t="shared" si="42"/>
        <v>0</v>
      </c>
      <c r="T100" s="5">
        <f t="shared" si="42"/>
        <v>0</v>
      </c>
      <c r="U100" s="5">
        <f t="shared" si="38"/>
        <v>1328638</v>
      </c>
    </row>
    <row r="101" spans="1:21" ht="12.75" hidden="1" customHeight="1">
      <c r="A101" s="70">
        <v>140572</v>
      </c>
      <c r="B101" s="70" t="s">
        <v>123</v>
      </c>
      <c r="C101" s="70" t="s">
        <v>161</v>
      </c>
      <c r="D101" s="5">
        <v>735310</v>
      </c>
      <c r="E101" s="5">
        <f t="shared" ref="E101:T101" si="43">+$D101*E49</f>
        <v>0</v>
      </c>
      <c r="F101" s="69">
        <f t="shared" si="43"/>
        <v>0</v>
      </c>
      <c r="G101" s="69">
        <f t="shared" si="43"/>
        <v>0</v>
      </c>
      <c r="H101" s="5">
        <f t="shared" si="43"/>
        <v>0</v>
      </c>
      <c r="I101" s="5">
        <f t="shared" si="43"/>
        <v>0</v>
      </c>
      <c r="J101" s="5">
        <f t="shared" si="43"/>
        <v>0</v>
      </c>
      <c r="K101" s="5">
        <f t="shared" si="43"/>
        <v>0</v>
      </c>
      <c r="L101" s="5">
        <f t="shared" si="43"/>
        <v>0</v>
      </c>
      <c r="M101" s="5">
        <f t="shared" si="43"/>
        <v>0</v>
      </c>
      <c r="N101" s="5">
        <f t="shared" si="43"/>
        <v>0</v>
      </c>
      <c r="O101" s="5">
        <f t="shared" si="43"/>
        <v>0</v>
      </c>
      <c r="P101" s="5">
        <f t="shared" si="43"/>
        <v>0</v>
      </c>
      <c r="Q101" s="5">
        <f t="shared" si="43"/>
        <v>0</v>
      </c>
      <c r="R101" s="5">
        <f t="shared" si="43"/>
        <v>0</v>
      </c>
      <c r="S101" s="5">
        <f t="shared" si="43"/>
        <v>735310</v>
      </c>
      <c r="T101" s="5">
        <f t="shared" si="43"/>
        <v>0</v>
      </c>
      <c r="U101" s="5">
        <f t="shared" si="38"/>
        <v>735310</v>
      </c>
    </row>
    <row r="102" spans="1:21">
      <c r="A102" s="78" t="s">
        <v>179</v>
      </c>
      <c r="B102" s="70"/>
      <c r="C102" s="70"/>
      <c r="D102" s="5"/>
      <c r="E102" s="5"/>
      <c r="F102" s="69"/>
      <c r="G102" s="69"/>
      <c r="H102" s="5"/>
      <c r="I102" s="5"/>
      <c r="J102" s="5"/>
      <c r="K102" s="5"/>
      <c r="L102" s="5"/>
      <c r="M102" s="5"/>
      <c r="N102" s="5"/>
      <c r="O102" s="5"/>
      <c r="P102" s="5"/>
      <c r="Q102" s="5"/>
      <c r="R102" s="5"/>
      <c r="S102" s="5"/>
      <c r="T102" s="5"/>
      <c r="U102" s="5"/>
    </row>
    <row r="103" spans="1:21" hidden="1">
      <c r="A103" s="70">
        <v>103839</v>
      </c>
      <c r="B103" s="70" t="s">
        <v>165</v>
      </c>
      <c r="C103" s="70" t="s">
        <v>166</v>
      </c>
      <c r="D103" s="5">
        <v>356109</v>
      </c>
      <c r="E103" s="5">
        <f t="shared" ref="E103:T103" si="44">+$D103*E52</f>
        <v>0</v>
      </c>
      <c r="F103" s="69">
        <f t="shared" si="44"/>
        <v>0</v>
      </c>
      <c r="G103" s="69">
        <f t="shared" si="44"/>
        <v>0</v>
      </c>
      <c r="H103" s="5">
        <f t="shared" si="44"/>
        <v>3561.09</v>
      </c>
      <c r="I103" s="5">
        <f t="shared" si="44"/>
        <v>0</v>
      </c>
      <c r="J103" s="5">
        <f t="shared" si="44"/>
        <v>3561.09</v>
      </c>
      <c r="K103" s="5">
        <f t="shared" si="44"/>
        <v>3561.09</v>
      </c>
      <c r="L103" s="5">
        <f t="shared" si="44"/>
        <v>0</v>
      </c>
      <c r="M103" s="5">
        <f t="shared" si="44"/>
        <v>3561.09</v>
      </c>
      <c r="N103" s="5">
        <f t="shared" si="44"/>
        <v>0</v>
      </c>
      <c r="O103" s="5">
        <f t="shared" si="44"/>
        <v>0</v>
      </c>
      <c r="P103" s="5">
        <f t="shared" si="44"/>
        <v>0</v>
      </c>
      <c r="Q103" s="5">
        <f t="shared" si="44"/>
        <v>0</v>
      </c>
      <c r="R103" s="5">
        <f t="shared" si="44"/>
        <v>3561.09</v>
      </c>
      <c r="S103" s="5">
        <f t="shared" si="44"/>
        <v>0</v>
      </c>
      <c r="T103" s="5">
        <f t="shared" si="44"/>
        <v>0</v>
      </c>
      <c r="U103" s="5">
        <f>SUM(E103:T103)</f>
        <v>17805.45</v>
      </c>
    </row>
    <row r="104" spans="1:21">
      <c r="A104" s="81" t="s">
        <v>180</v>
      </c>
      <c r="B104" s="70"/>
      <c r="C104" s="70"/>
      <c r="D104" s="5"/>
      <c r="E104" s="5"/>
      <c r="F104" s="69"/>
      <c r="G104" s="69"/>
      <c r="H104" s="5"/>
      <c r="I104" s="5"/>
      <c r="J104" s="5"/>
      <c r="K104" s="5"/>
      <c r="L104" s="5"/>
      <c r="M104" s="5"/>
      <c r="N104" s="5"/>
      <c r="O104" s="5"/>
      <c r="P104" s="5"/>
      <c r="Q104" s="5"/>
      <c r="R104" s="5"/>
      <c r="S104" s="5"/>
      <c r="T104" s="5"/>
      <c r="U104" s="5"/>
    </row>
    <row r="105" spans="1:21">
      <c r="A105" s="70">
        <v>103838</v>
      </c>
      <c r="B105" s="70" t="s">
        <v>133</v>
      </c>
      <c r="C105" s="70" t="s">
        <v>134</v>
      </c>
      <c r="D105" s="5">
        <v>845270</v>
      </c>
      <c r="E105" s="5">
        <f t="shared" ref="E105:T105" si="45">+$D105*E22</f>
        <v>8452.7000000000007</v>
      </c>
      <c r="F105" s="69">
        <f t="shared" si="45"/>
        <v>0</v>
      </c>
      <c r="G105" s="69">
        <f t="shared" si="45"/>
        <v>25358.1</v>
      </c>
      <c r="H105" s="5">
        <f t="shared" si="45"/>
        <v>8452.7000000000007</v>
      </c>
      <c r="I105" s="5">
        <f t="shared" si="45"/>
        <v>8452.7000000000007</v>
      </c>
      <c r="J105" s="5">
        <f t="shared" si="45"/>
        <v>8452.7000000000007</v>
      </c>
      <c r="K105" s="5">
        <f t="shared" si="45"/>
        <v>16905.400000000001</v>
      </c>
      <c r="L105" s="5">
        <f t="shared" si="45"/>
        <v>0</v>
      </c>
      <c r="M105" s="5">
        <f t="shared" si="45"/>
        <v>8452.7000000000007</v>
      </c>
      <c r="N105" s="5">
        <f t="shared" si="45"/>
        <v>0</v>
      </c>
      <c r="O105" s="5">
        <f t="shared" si="45"/>
        <v>8452.7000000000007</v>
      </c>
      <c r="P105" s="5">
        <f t="shared" si="45"/>
        <v>8452.7000000000007</v>
      </c>
      <c r="Q105" s="5">
        <f t="shared" si="45"/>
        <v>8452.7000000000007</v>
      </c>
      <c r="R105" s="5">
        <f t="shared" si="45"/>
        <v>16905.400000000001</v>
      </c>
      <c r="S105" s="5">
        <f t="shared" si="45"/>
        <v>8452.7000000000007</v>
      </c>
      <c r="T105" s="5">
        <f t="shared" si="45"/>
        <v>109885.1</v>
      </c>
      <c r="U105" s="5">
        <f>SUM(E105:T105)</f>
        <v>245128.3</v>
      </c>
    </row>
    <row r="106" spans="1:21" ht="13.5" hidden="1" customHeight="1">
      <c r="A106" s="70">
        <v>103873</v>
      </c>
      <c r="B106" s="70" t="s">
        <v>133</v>
      </c>
      <c r="C106" s="70" t="s">
        <v>155</v>
      </c>
      <c r="D106" s="5">
        <v>395254</v>
      </c>
      <c r="E106" s="5">
        <f t="shared" ref="E106:T106" si="46">+$D106*E41</f>
        <v>7905.08</v>
      </c>
      <c r="F106" s="69">
        <f t="shared" si="46"/>
        <v>0</v>
      </c>
      <c r="G106" s="69">
        <f t="shared" si="46"/>
        <v>0</v>
      </c>
      <c r="H106" s="5">
        <f t="shared" si="46"/>
        <v>0</v>
      </c>
      <c r="I106" s="5">
        <f t="shared" si="46"/>
        <v>0</v>
      </c>
      <c r="J106" s="5">
        <f t="shared" si="46"/>
        <v>0</v>
      </c>
      <c r="K106" s="5">
        <f t="shared" si="46"/>
        <v>19762.7</v>
      </c>
      <c r="L106" s="5">
        <f t="shared" si="46"/>
        <v>43477.94</v>
      </c>
      <c r="M106" s="5">
        <f t="shared" si="46"/>
        <v>0</v>
      </c>
      <c r="N106" s="5">
        <f t="shared" si="46"/>
        <v>0</v>
      </c>
      <c r="O106" s="5">
        <f t="shared" si="46"/>
        <v>0</v>
      </c>
      <c r="P106" s="5">
        <f t="shared" si="46"/>
        <v>0</v>
      </c>
      <c r="Q106" s="5">
        <f t="shared" si="46"/>
        <v>0</v>
      </c>
      <c r="R106" s="5">
        <f t="shared" si="46"/>
        <v>11857.619999999999</v>
      </c>
      <c r="S106" s="5">
        <f t="shared" si="46"/>
        <v>0</v>
      </c>
      <c r="T106" s="5">
        <f t="shared" si="46"/>
        <v>0</v>
      </c>
      <c r="U106" s="5">
        <f>SUM(E106:T106)</f>
        <v>83003.34</v>
      </c>
    </row>
    <row r="107" spans="1:21">
      <c r="A107" s="70">
        <v>140337</v>
      </c>
      <c r="B107" s="70" t="s">
        <v>133</v>
      </c>
      <c r="C107" s="70" t="s">
        <v>167</v>
      </c>
      <c r="D107" s="5">
        <v>1393432</v>
      </c>
      <c r="E107" s="5">
        <f t="shared" ref="E107:T107" si="47">+$D107*E53</f>
        <v>0</v>
      </c>
      <c r="F107" s="69">
        <f t="shared" si="47"/>
        <v>0</v>
      </c>
      <c r="G107" s="69">
        <f t="shared" si="47"/>
        <v>41802.959999999999</v>
      </c>
      <c r="H107" s="5">
        <f t="shared" si="47"/>
        <v>55737.279999999999</v>
      </c>
      <c r="I107" s="5">
        <f t="shared" si="47"/>
        <v>13934.32</v>
      </c>
      <c r="J107" s="5">
        <f t="shared" si="47"/>
        <v>55737.279999999999</v>
      </c>
      <c r="K107" s="5">
        <f t="shared" si="47"/>
        <v>55737.279999999999</v>
      </c>
      <c r="L107" s="5">
        <f t="shared" si="47"/>
        <v>0</v>
      </c>
      <c r="M107" s="5">
        <f t="shared" si="47"/>
        <v>41802.959999999999</v>
      </c>
      <c r="N107" s="5">
        <f t="shared" si="47"/>
        <v>0</v>
      </c>
      <c r="O107" s="5">
        <f t="shared" si="47"/>
        <v>0</v>
      </c>
      <c r="P107" s="5">
        <f t="shared" si="47"/>
        <v>13934.32</v>
      </c>
      <c r="Q107" s="5">
        <f t="shared" si="47"/>
        <v>41802.959999999999</v>
      </c>
      <c r="R107" s="5">
        <f t="shared" si="47"/>
        <v>41802.959999999999</v>
      </c>
      <c r="S107" s="5">
        <f t="shared" si="47"/>
        <v>13934.32</v>
      </c>
      <c r="T107" s="5">
        <f t="shared" si="47"/>
        <v>41802.959999999999</v>
      </c>
      <c r="U107" s="5">
        <f>SUM(E107:T107)</f>
        <v>418029.60000000009</v>
      </c>
    </row>
    <row r="108" spans="1:21">
      <c r="A108" s="70">
        <v>140338</v>
      </c>
      <c r="B108" s="70" t="s">
        <v>133</v>
      </c>
      <c r="C108" s="70" t="s">
        <v>168</v>
      </c>
      <c r="D108" s="5">
        <v>723334</v>
      </c>
      <c r="E108" s="5">
        <f t="shared" ref="E108:T108" si="48">+$D108*E54</f>
        <v>7233.34</v>
      </c>
      <c r="F108" s="69">
        <f t="shared" si="48"/>
        <v>0</v>
      </c>
      <c r="G108" s="69">
        <f t="shared" si="48"/>
        <v>21700.02</v>
      </c>
      <c r="H108" s="5">
        <f t="shared" si="48"/>
        <v>14466.68</v>
      </c>
      <c r="I108" s="5">
        <f t="shared" si="48"/>
        <v>7233.34</v>
      </c>
      <c r="J108" s="5">
        <f t="shared" si="48"/>
        <v>21700.02</v>
      </c>
      <c r="K108" s="5">
        <f t="shared" si="48"/>
        <v>14466.68</v>
      </c>
      <c r="L108" s="5">
        <f t="shared" si="48"/>
        <v>0</v>
      </c>
      <c r="M108" s="5">
        <f t="shared" si="48"/>
        <v>14466.68</v>
      </c>
      <c r="N108" s="5">
        <f t="shared" si="48"/>
        <v>0</v>
      </c>
      <c r="O108" s="5">
        <f t="shared" si="48"/>
        <v>0</v>
      </c>
      <c r="P108" s="5">
        <f t="shared" si="48"/>
        <v>7233.34</v>
      </c>
      <c r="Q108" s="5">
        <f t="shared" si="48"/>
        <v>21700.02</v>
      </c>
      <c r="R108" s="5">
        <f t="shared" si="48"/>
        <v>14466.68</v>
      </c>
      <c r="S108" s="5">
        <f t="shared" si="48"/>
        <v>14466.68</v>
      </c>
      <c r="T108" s="5">
        <f t="shared" si="48"/>
        <v>21700.02</v>
      </c>
      <c r="U108" s="5">
        <f>SUM(E108:T108)</f>
        <v>180833.5</v>
      </c>
    </row>
    <row r="109" spans="1:21">
      <c r="A109" s="81" t="s">
        <v>181</v>
      </c>
      <c r="B109" s="70"/>
      <c r="C109" s="70"/>
      <c r="D109" s="5"/>
      <c r="E109" s="5"/>
      <c r="F109" s="69"/>
      <c r="G109" s="69"/>
      <c r="H109" s="5"/>
      <c r="I109" s="5"/>
      <c r="J109" s="5"/>
      <c r="K109" s="5"/>
      <c r="L109" s="5"/>
      <c r="M109" s="5"/>
      <c r="N109" s="5"/>
      <c r="O109" s="5"/>
      <c r="P109" s="5"/>
      <c r="Q109" s="5"/>
      <c r="R109" s="5"/>
      <c r="S109" s="5"/>
      <c r="T109" s="5"/>
      <c r="U109" s="5"/>
    </row>
    <row r="110" spans="1:21" hidden="1">
      <c r="A110" s="70">
        <v>103860</v>
      </c>
      <c r="B110" s="70" t="s">
        <v>145</v>
      </c>
      <c r="C110" s="70" t="s">
        <v>146</v>
      </c>
      <c r="D110" s="5">
        <v>3661730</v>
      </c>
      <c r="E110" s="5">
        <f t="shared" ref="E110:T110" si="49">+$D110*E32</f>
        <v>0</v>
      </c>
      <c r="F110" s="69">
        <f t="shared" si="49"/>
        <v>0</v>
      </c>
      <c r="G110" s="69">
        <f t="shared" si="49"/>
        <v>0</v>
      </c>
      <c r="H110" s="5">
        <f t="shared" si="49"/>
        <v>73234.600000000006</v>
      </c>
      <c r="I110" s="5">
        <f t="shared" si="49"/>
        <v>0</v>
      </c>
      <c r="J110" s="5">
        <f t="shared" si="49"/>
        <v>73234.600000000006</v>
      </c>
      <c r="K110" s="5">
        <f t="shared" si="49"/>
        <v>329555.7</v>
      </c>
      <c r="L110" s="5">
        <f t="shared" si="49"/>
        <v>0</v>
      </c>
      <c r="M110" s="5">
        <f t="shared" si="49"/>
        <v>73234.600000000006</v>
      </c>
      <c r="N110" s="5">
        <f t="shared" si="49"/>
        <v>0</v>
      </c>
      <c r="O110" s="5">
        <f t="shared" si="49"/>
        <v>0</v>
      </c>
      <c r="P110" s="5">
        <f t="shared" si="49"/>
        <v>0</v>
      </c>
      <c r="Q110" s="5">
        <f t="shared" si="49"/>
        <v>73234.600000000006</v>
      </c>
      <c r="R110" s="5">
        <f t="shared" si="49"/>
        <v>292938.40000000002</v>
      </c>
      <c r="S110" s="5">
        <f t="shared" si="49"/>
        <v>0</v>
      </c>
      <c r="T110" s="5">
        <f t="shared" si="49"/>
        <v>0</v>
      </c>
      <c r="U110" s="5">
        <f>SUM(E110:T110)</f>
        <v>915432.5</v>
      </c>
    </row>
    <row r="111" spans="1:21">
      <c r="A111" s="70">
        <v>103861</v>
      </c>
      <c r="B111" s="70" t="s">
        <v>169</v>
      </c>
      <c r="C111" s="70" t="s">
        <v>170</v>
      </c>
      <c r="D111" s="5">
        <v>294676</v>
      </c>
      <c r="E111" s="5">
        <f t="shared" ref="E111:T111" si="50">+$D111*E55</f>
        <v>8840.2799999999988</v>
      </c>
      <c r="F111" s="69">
        <f t="shared" si="50"/>
        <v>0</v>
      </c>
      <c r="G111" s="69">
        <f t="shared" si="50"/>
        <v>2946.76</v>
      </c>
      <c r="H111" s="5">
        <f t="shared" si="50"/>
        <v>17680.559999999998</v>
      </c>
      <c r="I111" s="5">
        <f t="shared" si="50"/>
        <v>0</v>
      </c>
      <c r="J111" s="5">
        <f t="shared" si="50"/>
        <v>17680.559999999998</v>
      </c>
      <c r="K111" s="5">
        <f t="shared" si="50"/>
        <v>20627.320000000003</v>
      </c>
      <c r="L111" s="5">
        <f t="shared" si="50"/>
        <v>0</v>
      </c>
      <c r="M111" s="5">
        <f t="shared" si="50"/>
        <v>8840.2799999999988</v>
      </c>
      <c r="N111" s="5">
        <f t="shared" si="50"/>
        <v>2946.76</v>
      </c>
      <c r="O111" s="5">
        <f t="shared" si="50"/>
        <v>2946.76</v>
      </c>
      <c r="P111" s="5">
        <f t="shared" si="50"/>
        <v>0</v>
      </c>
      <c r="Q111" s="5">
        <f t="shared" si="50"/>
        <v>14733.800000000001</v>
      </c>
      <c r="R111" s="5">
        <f t="shared" si="50"/>
        <v>14733.800000000001</v>
      </c>
      <c r="S111" s="5">
        <f t="shared" si="50"/>
        <v>0</v>
      </c>
      <c r="T111" s="5">
        <f t="shared" si="50"/>
        <v>0</v>
      </c>
      <c r="U111" s="5">
        <f>SUM(E111:T111)</f>
        <v>111976.87999999999</v>
      </c>
    </row>
    <row r="112" spans="1:21">
      <c r="A112" s="70">
        <v>103856</v>
      </c>
      <c r="B112" s="70" t="s">
        <v>169</v>
      </c>
      <c r="C112" s="70" t="s">
        <v>171</v>
      </c>
      <c r="D112" s="5">
        <v>824987</v>
      </c>
      <c r="E112" s="5">
        <f t="shared" ref="E112:T112" si="51">+$D112*E56</f>
        <v>32999.480000000003</v>
      </c>
      <c r="F112" s="69">
        <f t="shared" si="51"/>
        <v>0</v>
      </c>
      <c r="G112" s="69">
        <f t="shared" si="51"/>
        <v>8249.8700000000008</v>
      </c>
      <c r="H112" s="5">
        <f t="shared" si="51"/>
        <v>49499.22</v>
      </c>
      <c r="I112" s="5">
        <f t="shared" si="51"/>
        <v>0</v>
      </c>
      <c r="J112" s="5">
        <f t="shared" si="51"/>
        <v>49499.22</v>
      </c>
      <c r="K112" s="5">
        <f t="shared" si="51"/>
        <v>24749.61</v>
      </c>
      <c r="L112" s="5">
        <f t="shared" si="51"/>
        <v>0</v>
      </c>
      <c r="M112" s="5">
        <f t="shared" si="51"/>
        <v>24749.61</v>
      </c>
      <c r="N112" s="5">
        <f t="shared" si="51"/>
        <v>0</v>
      </c>
      <c r="O112" s="5">
        <f t="shared" si="51"/>
        <v>8249.8700000000008</v>
      </c>
      <c r="P112" s="5">
        <f t="shared" si="51"/>
        <v>0</v>
      </c>
      <c r="Q112" s="5">
        <f t="shared" si="51"/>
        <v>32999.480000000003</v>
      </c>
      <c r="R112" s="5">
        <f t="shared" si="51"/>
        <v>16499.740000000002</v>
      </c>
      <c r="S112" s="5">
        <f t="shared" si="51"/>
        <v>0</v>
      </c>
      <c r="T112" s="5">
        <f t="shared" si="51"/>
        <v>0</v>
      </c>
      <c r="U112" s="5">
        <f>SUM(E112:T112)</f>
        <v>247496.1</v>
      </c>
    </row>
    <row r="113" spans="1:58">
      <c r="A113" s="70">
        <v>103864</v>
      </c>
      <c r="B113" s="70" t="s">
        <v>145</v>
      </c>
      <c r="C113" s="70" t="s">
        <v>147</v>
      </c>
      <c r="D113" s="5">
        <v>399166</v>
      </c>
      <c r="E113" s="5">
        <f t="shared" ref="E113:T113" si="52">+$D113*E33</f>
        <v>23949.96</v>
      </c>
      <c r="F113" s="69">
        <f t="shared" si="52"/>
        <v>0</v>
      </c>
      <c r="G113" s="69">
        <f t="shared" si="52"/>
        <v>11974.98</v>
      </c>
      <c r="H113" s="5">
        <f t="shared" si="52"/>
        <v>27941.620000000003</v>
      </c>
      <c r="I113" s="5">
        <f t="shared" si="52"/>
        <v>0</v>
      </c>
      <c r="J113" s="5">
        <f t="shared" si="52"/>
        <v>27941.620000000003</v>
      </c>
      <c r="K113" s="5">
        <f t="shared" si="52"/>
        <v>31933.280000000002</v>
      </c>
      <c r="L113" s="5">
        <f t="shared" si="52"/>
        <v>0</v>
      </c>
      <c r="M113" s="5">
        <f t="shared" si="52"/>
        <v>11974.98</v>
      </c>
      <c r="N113" s="5">
        <f t="shared" si="52"/>
        <v>11974.98</v>
      </c>
      <c r="O113" s="5">
        <f t="shared" si="52"/>
        <v>11974.98</v>
      </c>
      <c r="P113" s="5">
        <f t="shared" si="52"/>
        <v>0</v>
      </c>
      <c r="Q113" s="5">
        <f t="shared" si="52"/>
        <v>27941.620000000003</v>
      </c>
      <c r="R113" s="5">
        <f t="shared" si="52"/>
        <v>23949.96</v>
      </c>
      <c r="S113" s="5">
        <f t="shared" si="52"/>
        <v>0</v>
      </c>
      <c r="T113" s="5">
        <f t="shared" si="52"/>
        <v>0</v>
      </c>
      <c r="U113" s="5">
        <f>SUM(E113:T113)</f>
        <v>211557.98</v>
      </c>
    </row>
    <row r="114" spans="1:58">
      <c r="A114" s="81" t="s">
        <v>182</v>
      </c>
      <c r="B114" s="70"/>
      <c r="C114" s="70"/>
      <c r="D114" s="5"/>
      <c r="E114" s="5"/>
      <c r="F114" s="69"/>
      <c r="G114" s="69"/>
      <c r="H114" s="5"/>
      <c r="I114" s="5"/>
      <c r="J114" s="5"/>
      <c r="K114" s="5"/>
      <c r="L114" s="5"/>
      <c r="M114" s="5"/>
      <c r="N114" s="5"/>
      <c r="O114" s="5"/>
      <c r="P114" s="5"/>
      <c r="Q114" s="5"/>
      <c r="R114" s="5"/>
      <c r="S114" s="5"/>
      <c r="T114" s="5"/>
      <c r="U114" s="5"/>
    </row>
    <row r="115" spans="1:58" hidden="1">
      <c r="A115" s="70">
        <v>103841</v>
      </c>
      <c r="B115" s="70" t="s">
        <v>135</v>
      </c>
      <c r="C115" s="70" t="s">
        <v>136</v>
      </c>
      <c r="D115" s="5">
        <v>527254</v>
      </c>
      <c r="E115" s="5">
        <f t="shared" ref="E115:T115" si="53">+$D115*E23</f>
        <v>15817.619999999999</v>
      </c>
      <c r="F115" s="69">
        <f t="shared" si="53"/>
        <v>0</v>
      </c>
      <c r="G115" s="69">
        <f t="shared" si="53"/>
        <v>0</v>
      </c>
      <c r="H115" s="5">
        <f t="shared" si="53"/>
        <v>10545.08</v>
      </c>
      <c r="I115" s="5">
        <f t="shared" si="53"/>
        <v>0</v>
      </c>
      <c r="J115" s="5">
        <f t="shared" si="53"/>
        <v>10545.08</v>
      </c>
      <c r="K115" s="5">
        <f t="shared" si="53"/>
        <v>10545.08</v>
      </c>
      <c r="L115" s="5">
        <f t="shared" si="53"/>
        <v>0</v>
      </c>
      <c r="M115" s="5">
        <f t="shared" si="53"/>
        <v>10545.08</v>
      </c>
      <c r="N115" s="5">
        <f t="shared" si="53"/>
        <v>0</v>
      </c>
      <c r="O115" s="5">
        <f t="shared" si="53"/>
        <v>0</v>
      </c>
      <c r="P115" s="5">
        <f t="shared" si="53"/>
        <v>0</v>
      </c>
      <c r="Q115" s="5">
        <f t="shared" si="53"/>
        <v>10545.08</v>
      </c>
      <c r="R115" s="5">
        <f t="shared" si="53"/>
        <v>7908.8099999999995</v>
      </c>
      <c r="S115" s="5">
        <f t="shared" si="53"/>
        <v>0</v>
      </c>
      <c r="T115" s="5">
        <f t="shared" si="53"/>
        <v>0</v>
      </c>
      <c r="U115" s="5">
        <f>SUM(E115:T115)</f>
        <v>76451.83</v>
      </c>
    </row>
    <row r="116" spans="1:58" hidden="1">
      <c r="A116" s="70">
        <v>103855</v>
      </c>
      <c r="B116" s="70" t="s">
        <v>135</v>
      </c>
      <c r="C116" s="70" t="s">
        <v>141</v>
      </c>
      <c r="D116" s="5">
        <v>1692685</v>
      </c>
      <c r="E116" s="5">
        <f t="shared" ref="E116:T116" si="54">+$D116*E28</f>
        <v>50780.549999999996</v>
      </c>
      <c r="F116" s="69">
        <f t="shared" si="54"/>
        <v>0</v>
      </c>
      <c r="G116" s="69">
        <f t="shared" si="54"/>
        <v>0</v>
      </c>
      <c r="H116" s="5">
        <f t="shared" si="54"/>
        <v>33853.699999999997</v>
      </c>
      <c r="I116" s="5">
        <f t="shared" si="54"/>
        <v>0</v>
      </c>
      <c r="J116" s="5">
        <f t="shared" si="54"/>
        <v>33853.699999999997</v>
      </c>
      <c r="K116" s="5">
        <f t="shared" si="54"/>
        <v>135414.79999999999</v>
      </c>
      <c r="L116" s="5">
        <f t="shared" si="54"/>
        <v>0</v>
      </c>
      <c r="M116" s="5">
        <f t="shared" si="54"/>
        <v>541659.19999999995</v>
      </c>
      <c r="N116" s="5">
        <f t="shared" si="54"/>
        <v>0</v>
      </c>
      <c r="O116" s="5">
        <f t="shared" si="54"/>
        <v>0</v>
      </c>
      <c r="P116" s="5">
        <f t="shared" si="54"/>
        <v>0</v>
      </c>
      <c r="Q116" s="5">
        <f t="shared" si="54"/>
        <v>33853.699999999997</v>
      </c>
      <c r="R116" s="5">
        <f t="shared" si="54"/>
        <v>101561.09999999999</v>
      </c>
      <c r="S116" s="5">
        <f t="shared" si="54"/>
        <v>0</v>
      </c>
      <c r="T116" s="5">
        <f t="shared" si="54"/>
        <v>0</v>
      </c>
      <c r="U116" s="5">
        <f>SUM(E116:T116)</f>
        <v>930976.74999999988</v>
      </c>
    </row>
    <row r="117" spans="1:58">
      <c r="A117" s="78" t="s">
        <v>163</v>
      </c>
      <c r="B117" s="70"/>
      <c r="C117" s="70"/>
      <c r="D117" s="5"/>
      <c r="E117" s="5"/>
      <c r="F117" s="69"/>
      <c r="G117" s="69"/>
      <c r="H117" s="5"/>
      <c r="I117" s="5"/>
      <c r="J117" s="5"/>
      <c r="K117" s="5"/>
      <c r="L117" s="5"/>
      <c r="M117" s="5"/>
      <c r="N117" s="5"/>
      <c r="O117" s="5"/>
      <c r="P117" s="5"/>
      <c r="Q117" s="5"/>
      <c r="R117" s="5"/>
      <c r="S117" s="5"/>
      <c r="T117" s="5"/>
      <c r="U117" s="5"/>
    </row>
    <row r="118" spans="1:58" hidden="1">
      <c r="A118" s="70">
        <v>103853</v>
      </c>
      <c r="B118" s="70" t="s">
        <v>162</v>
      </c>
      <c r="C118" s="70" t="s">
        <v>163</v>
      </c>
      <c r="D118" s="5">
        <v>1157494</v>
      </c>
      <c r="E118" s="5">
        <f t="shared" ref="E118:T118" si="55">+$D118*E50</f>
        <v>0</v>
      </c>
      <c r="F118" s="69">
        <f t="shared" si="55"/>
        <v>0</v>
      </c>
      <c r="G118" s="69">
        <f t="shared" si="55"/>
        <v>0</v>
      </c>
      <c r="H118" s="5">
        <f t="shared" si="55"/>
        <v>11574.94</v>
      </c>
      <c r="I118" s="5">
        <f t="shared" si="55"/>
        <v>0</v>
      </c>
      <c r="J118" s="5">
        <f t="shared" si="55"/>
        <v>11574.94</v>
      </c>
      <c r="K118" s="5">
        <f t="shared" si="55"/>
        <v>0</v>
      </c>
      <c r="L118" s="5">
        <f t="shared" si="55"/>
        <v>0</v>
      </c>
      <c r="M118" s="5">
        <f t="shared" si="55"/>
        <v>0</v>
      </c>
      <c r="N118" s="5">
        <f t="shared" si="55"/>
        <v>0</v>
      </c>
      <c r="O118" s="5">
        <f t="shared" si="55"/>
        <v>0</v>
      </c>
      <c r="P118" s="5">
        <f t="shared" si="55"/>
        <v>0</v>
      </c>
      <c r="Q118" s="5">
        <f t="shared" si="55"/>
        <v>11574.94</v>
      </c>
      <c r="R118" s="5">
        <f t="shared" si="55"/>
        <v>0</v>
      </c>
      <c r="S118" s="5">
        <f t="shared" si="55"/>
        <v>0</v>
      </c>
      <c r="T118" s="5">
        <f t="shared" si="55"/>
        <v>0</v>
      </c>
      <c r="U118" s="5">
        <f>SUM(E118:T118)</f>
        <v>34724.82</v>
      </c>
    </row>
    <row r="119" spans="1:58" hidden="1">
      <c r="A119" s="70">
        <v>103851</v>
      </c>
      <c r="B119" s="70" t="s">
        <v>162</v>
      </c>
      <c r="C119" s="70" t="s">
        <v>164</v>
      </c>
      <c r="D119" s="5">
        <v>4540555</v>
      </c>
      <c r="E119" s="5">
        <f t="shared" ref="E119:T119" si="56">+$D119*E51</f>
        <v>619785.75750000007</v>
      </c>
      <c r="F119" s="69">
        <f t="shared" si="56"/>
        <v>0</v>
      </c>
      <c r="G119" s="69">
        <f t="shared" si="56"/>
        <v>0</v>
      </c>
      <c r="H119" s="5">
        <f t="shared" si="56"/>
        <v>1020716.764</v>
      </c>
      <c r="I119" s="5">
        <f t="shared" si="56"/>
        <v>3178.3885</v>
      </c>
      <c r="J119" s="5">
        <f t="shared" si="56"/>
        <v>1239993.7866149999</v>
      </c>
      <c r="K119" s="5">
        <f t="shared" si="56"/>
        <v>235654.8045</v>
      </c>
      <c r="L119" s="5">
        <f t="shared" si="56"/>
        <v>0</v>
      </c>
      <c r="M119" s="5">
        <f t="shared" si="56"/>
        <v>249276.46949999998</v>
      </c>
      <c r="N119" s="5">
        <f t="shared" si="56"/>
        <v>2724.3329999999996</v>
      </c>
      <c r="O119" s="5">
        <f t="shared" si="56"/>
        <v>8627.0545000000002</v>
      </c>
      <c r="P119" s="5">
        <f t="shared" si="56"/>
        <v>34508.218000000001</v>
      </c>
      <c r="Q119" s="5">
        <f t="shared" si="56"/>
        <v>610023.56424999994</v>
      </c>
      <c r="R119" s="5">
        <f t="shared" si="56"/>
        <v>152562.64799999999</v>
      </c>
      <c r="S119" s="5">
        <f t="shared" si="56"/>
        <v>13167.609499999999</v>
      </c>
      <c r="T119" s="5">
        <f t="shared" si="56"/>
        <v>0</v>
      </c>
      <c r="U119" s="5">
        <f>SUM(E119:T119)</f>
        <v>4190219.3978649997</v>
      </c>
    </row>
    <row r="120" spans="1:58">
      <c r="A120" s="77"/>
      <c r="B120" s="77"/>
      <c r="C120" s="77"/>
      <c r="D120" s="5"/>
      <c r="E120" s="5"/>
      <c r="F120" s="69"/>
      <c r="G120" s="69"/>
      <c r="H120" s="5"/>
      <c r="I120" s="5"/>
      <c r="J120" s="5"/>
      <c r="K120" s="5"/>
      <c r="L120" s="5"/>
      <c r="M120" s="5"/>
      <c r="N120" s="5"/>
      <c r="O120" s="5"/>
      <c r="P120" s="5"/>
      <c r="Q120" s="5"/>
      <c r="R120" s="5"/>
      <c r="S120" s="5"/>
      <c r="T120" s="5"/>
      <c r="U120" s="5"/>
    </row>
    <row r="121" spans="1:58" hidden="1">
      <c r="A121" s="77"/>
      <c r="B121" s="77"/>
      <c r="C121" s="77"/>
      <c r="D121" s="5"/>
      <c r="E121" s="5"/>
      <c r="F121" s="69"/>
      <c r="G121" s="69"/>
      <c r="H121" s="5"/>
      <c r="I121" s="5"/>
      <c r="J121" s="5"/>
      <c r="K121" s="5"/>
      <c r="L121" s="5"/>
      <c r="M121" s="5"/>
      <c r="N121" s="5"/>
      <c r="O121" s="5"/>
      <c r="P121" s="5"/>
      <c r="Q121" s="5"/>
      <c r="R121" s="5"/>
      <c r="S121" s="5"/>
      <c r="T121" s="5"/>
      <c r="U121" s="5"/>
    </row>
    <row r="122" spans="1:58" ht="13.5" thickBot="1">
      <c r="C122" s="6" t="s">
        <v>183</v>
      </c>
      <c r="D122" s="82">
        <f t="shared" ref="D122:U122" si="57">SUM(D62:D121)</f>
        <v>46094926</v>
      </c>
      <c r="E122" s="82">
        <f t="shared" si="57"/>
        <v>2731678.1449896302</v>
      </c>
      <c r="F122" s="88">
        <f t="shared" si="57"/>
        <v>0</v>
      </c>
      <c r="G122" s="88">
        <f t="shared" si="57"/>
        <v>140463.69</v>
      </c>
      <c r="H122" s="82">
        <f t="shared" si="57"/>
        <v>7774807.8967166673</v>
      </c>
      <c r="I122" s="82">
        <f t="shared" si="57"/>
        <v>328707.54850000009</v>
      </c>
      <c r="J122" s="82">
        <f t="shared" si="57"/>
        <v>8066774.6554437084</v>
      </c>
      <c r="K122" s="82">
        <f t="shared" si="57"/>
        <v>4343845.3341610515</v>
      </c>
      <c r="L122" s="82">
        <f t="shared" si="57"/>
        <v>43477.94</v>
      </c>
      <c r="M122" s="82">
        <f t="shared" si="57"/>
        <v>3287216.1047060541</v>
      </c>
      <c r="N122" s="82">
        <f t="shared" si="57"/>
        <v>17646.073</v>
      </c>
      <c r="O122" s="82">
        <f t="shared" si="57"/>
        <v>616851.94952153065</v>
      </c>
      <c r="P122" s="82">
        <f t="shared" si="57"/>
        <v>245629.43799999999</v>
      </c>
      <c r="Q122" s="82">
        <f t="shared" si="57"/>
        <v>4994331.9524874082</v>
      </c>
      <c r="R122" s="82">
        <f t="shared" si="57"/>
        <v>2274064.6183389477</v>
      </c>
      <c r="S122" s="82">
        <f t="shared" si="57"/>
        <v>785331.30949999997</v>
      </c>
      <c r="T122" s="82">
        <f t="shared" si="57"/>
        <v>173388.08</v>
      </c>
      <c r="U122" s="82">
        <f t="shared" si="57"/>
        <v>35824214.735365003</v>
      </c>
      <c r="W122">
        <v>35824212</v>
      </c>
      <c r="X122" s="80">
        <f>+W122-U122</f>
        <v>-2.7353650033473969</v>
      </c>
    </row>
    <row r="123" spans="1:58" ht="13.5" thickTop="1">
      <c r="C123" s="6"/>
    </row>
    <row r="124" spans="1:58">
      <c r="C124" s="6" t="s">
        <v>184</v>
      </c>
      <c r="D124" s="5">
        <v>5613633</v>
      </c>
      <c r="E124" s="5">
        <f t="shared" ref="E124:T124" si="58">+$D124*E57</f>
        <v>428052.32978224923</v>
      </c>
      <c r="F124" s="69">
        <f t="shared" si="58"/>
        <v>0</v>
      </c>
      <c r="G124" s="69">
        <f t="shared" si="58"/>
        <v>22010.576123176426</v>
      </c>
      <c r="H124" s="5">
        <f t="shared" si="58"/>
        <v>1218307.7424048549</v>
      </c>
      <c r="I124" s="5">
        <f t="shared" si="58"/>
        <v>51508.276042883102</v>
      </c>
      <c r="J124" s="5">
        <f t="shared" si="58"/>
        <v>1264058.7586881281</v>
      </c>
      <c r="K124" s="5">
        <f t="shared" si="58"/>
        <v>680677.96307256736</v>
      </c>
      <c r="L124" s="5">
        <f t="shared" si="58"/>
        <v>6812.9671664534608</v>
      </c>
      <c r="M124" s="5">
        <f t="shared" si="58"/>
        <v>515104.79545257631</v>
      </c>
      <c r="N124" s="5">
        <f t="shared" si="58"/>
        <v>2765.1290738669059</v>
      </c>
      <c r="O124" s="5">
        <f t="shared" si="58"/>
        <v>96660.331162262868</v>
      </c>
      <c r="P124" s="5">
        <f t="shared" si="58"/>
        <v>38489.985868889278</v>
      </c>
      <c r="Q124" s="5">
        <f t="shared" si="58"/>
        <v>782608.82669846166</v>
      </c>
      <c r="R124" s="5">
        <f t="shared" si="58"/>
        <v>356344.5641430291</v>
      </c>
      <c r="S124" s="5">
        <f t="shared" si="58"/>
        <v>123060.94599724366</v>
      </c>
      <c r="T124" s="5">
        <f t="shared" si="58"/>
        <v>27169.80832335676</v>
      </c>
      <c r="U124" s="5">
        <f>SUM(E124:T124)</f>
        <v>5613632.9999999981</v>
      </c>
      <c r="V124" s="5"/>
      <c r="W124" s="5">
        <v>5613633</v>
      </c>
      <c r="X124" s="80">
        <f>+W124-U124</f>
        <v>0</v>
      </c>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row>
    <row r="125" spans="1:58">
      <c r="C125" s="6" t="s">
        <v>185</v>
      </c>
      <c r="D125" s="5">
        <v>3125175</v>
      </c>
      <c r="E125" s="5">
        <f t="shared" ref="E125:T125" si="59">+$D125*E57</f>
        <v>238301.72719293204</v>
      </c>
      <c r="F125" s="69">
        <f t="shared" si="59"/>
        <v>0</v>
      </c>
      <c r="G125" s="69">
        <f t="shared" si="59"/>
        <v>12253.544582580993</v>
      </c>
      <c r="H125" s="5">
        <f t="shared" si="59"/>
        <v>678246.13737130526</v>
      </c>
      <c r="I125" s="5">
        <f t="shared" si="59"/>
        <v>28675.258354494708</v>
      </c>
      <c r="J125" s="5">
        <f t="shared" si="59"/>
        <v>703716.26203265705</v>
      </c>
      <c r="K125" s="5">
        <f t="shared" si="59"/>
        <v>378941.36528791796</v>
      </c>
      <c r="L125" s="5">
        <f t="shared" si="59"/>
        <v>3792.8583262249585</v>
      </c>
      <c r="M125" s="5">
        <f t="shared" si="59"/>
        <v>286764.85069980618</v>
      </c>
      <c r="N125" s="5">
        <f t="shared" si="59"/>
        <v>1539.3796233957594</v>
      </c>
      <c r="O125" s="5">
        <f t="shared" si="59"/>
        <v>53811.934346264687</v>
      </c>
      <c r="P125" s="5">
        <f t="shared" si="59"/>
        <v>21427.824296281222</v>
      </c>
      <c r="Q125" s="5">
        <f t="shared" si="59"/>
        <v>435687.4665617373</v>
      </c>
      <c r="R125" s="5">
        <f t="shared" si="59"/>
        <v>198381.17726001877</v>
      </c>
      <c r="S125" s="5">
        <f t="shared" si="59"/>
        <v>68509.464709740729</v>
      </c>
      <c r="T125" s="5">
        <f t="shared" si="59"/>
        <v>15125.749354641897</v>
      </c>
      <c r="U125" s="5">
        <f>SUM(E125:T125)</f>
        <v>3125174.9999999995</v>
      </c>
      <c r="V125" s="5"/>
      <c r="W125" s="5">
        <v>3125175</v>
      </c>
      <c r="X125" s="80">
        <f>+W125-U125</f>
        <v>0</v>
      </c>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row>
    <row r="126" spans="1:58">
      <c r="C126" s="6"/>
    </row>
    <row r="127" spans="1:58" ht="13.5" thickBot="1">
      <c r="C127" s="6" t="s">
        <v>186</v>
      </c>
      <c r="D127" s="83">
        <f t="shared" ref="D127:U127" si="60">+D122+D124+D125</f>
        <v>54833734</v>
      </c>
      <c r="E127" s="83">
        <f t="shared" si="60"/>
        <v>3398032.2019648114</v>
      </c>
      <c r="F127" s="89">
        <f t="shared" si="60"/>
        <v>0</v>
      </c>
      <c r="G127" s="89">
        <f t="shared" si="60"/>
        <v>174727.81070575744</v>
      </c>
      <c r="H127" s="83">
        <f t="shared" si="60"/>
        <v>9671361.7764928266</v>
      </c>
      <c r="I127" s="83">
        <f t="shared" si="60"/>
        <v>408891.0828973779</v>
      </c>
      <c r="J127" s="83">
        <f t="shared" si="60"/>
        <v>10034549.676164495</v>
      </c>
      <c r="K127" s="83">
        <f t="shared" si="60"/>
        <v>5403464.6625215365</v>
      </c>
      <c r="L127" s="83">
        <f t="shared" si="60"/>
        <v>54083.765492678423</v>
      </c>
      <c r="M127" s="83">
        <f t="shared" si="60"/>
        <v>4089085.7508584363</v>
      </c>
      <c r="N127" s="83">
        <f t="shared" si="60"/>
        <v>21950.581697262664</v>
      </c>
      <c r="O127" s="83">
        <f t="shared" si="60"/>
        <v>767324.21503005817</v>
      </c>
      <c r="P127" s="83">
        <f t="shared" si="60"/>
        <v>305547.24816517049</v>
      </c>
      <c r="Q127" s="83">
        <f t="shared" si="60"/>
        <v>6212628.2457476072</v>
      </c>
      <c r="R127" s="83">
        <f t="shared" si="60"/>
        <v>2828790.3597419956</v>
      </c>
      <c r="S127" s="83">
        <f t="shared" si="60"/>
        <v>976901.72020698432</v>
      </c>
      <c r="T127" s="83">
        <f t="shared" si="60"/>
        <v>215683.63767799863</v>
      </c>
      <c r="U127" s="83">
        <f t="shared" si="60"/>
        <v>44563022.735365003</v>
      </c>
      <c r="W127">
        <v>44563023</v>
      </c>
      <c r="X127" s="80">
        <f>+W127-U127</f>
        <v>0.26463499665260315</v>
      </c>
    </row>
    <row r="128" spans="1:58" ht="13.5" thickTop="1"/>
  </sheetData>
  <phoneticPr fontId="3" type="noConversion"/>
  <pageMargins left="0.75" right="0.5" top="0.75" bottom="0.5" header="0.5" footer="0"/>
  <pageSetup orientation="portrait" r:id="rId1"/>
  <headerFooter alignWithMargins="0">
    <oddFooter>&amp;L&amp;8&amp;F, &amp;A&amp;R&amp;8&amp;D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27"/>
  <sheetViews>
    <sheetView workbookViewId="0">
      <selection sqref="A1:D1"/>
    </sheetView>
  </sheetViews>
  <sheetFormatPr defaultRowHeight="12.75"/>
  <cols>
    <col min="1" max="1" width="2.28515625" style="91" customWidth="1"/>
    <col min="2" max="2" width="9.140625" style="91"/>
    <col min="3" max="3" width="39" style="91" customWidth="1"/>
    <col min="4" max="4" width="15.85546875" style="90" bestFit="1" customWidth="1"/>
    <col min="5" max="5" width="14.28515625" style="90" bestFit="1" customWidth="1"/>
    <col min="6" max="6" width="9.140625" style="91"/>
    <col min="7" max="7" width="11.140625" style="91" bestFit="1" customWidth="1"/>
    <col min="8" max="16384" width="9.140625" style="91"/>
  </cols>
  <sheetData>
    <row r="1" spans="1:11">
      <c r="A1" s="239" t="s">
        <v>188</v>
      </c>
      <c r="B1" s="239"/>
      <c r="C1" s="239"/>
      <c r="D1" s="239"/>
    </row>
    <row r="2" spans="1:11">
      <c r="A2" s="239" t="s">
        <v>189</v>
      </c>
      <c r="B2" s="239"/>
      <c r="C2" s="239"/>
      <c r="D2" s="239"/>
    </row>
    <row r="3" spans="1:11" ht="24.75" thickBot="1">
      <c r="B3" s="92"/>
      <c r="D3" s="116"/>
      <c r="E3" s="117"/>
    </row>
    <row r="4" spans="1:11">
      <c r="D4" s="93"/>
    </row>
    <row r="5" spans="1:11" ht="13.5" thickBot="1">
      <c r="D5" s="94" t="s">
        <v>190</v>
      </c>
    </row>
    <row r="6" spans="1:11">
      <c r="B6" s="95" t="s">
        <v>191</v>
      </c>
      <c r="C6" s="96"/>
    </row>
    <row r="7" spans="1:11">
      <c r="B7" s="97" t="s">
        <v>192</v>
      </c>
      <c r="D7" s="90">
        <v>2393660</v>
      </c>
    </row>
    <row r="9" spans="1:11" ht="12.75" customHeight="1">
      <c r="B9" s="97" t="s">
        <v>193</v>
      </c>
      <c r="D9" s="98">
        <v>6696394.7051168298</v>
      </c>
    </row>
    <row r="10" spans="1:11" ht="12.75" customHeight="1"/>
    <row r="11" spans="1:11" s="97" customFormat="1">
      <c r="B11" s="99" t="s">
        <v>194</v>
      </c>
      <c r="C11" s="99"/>
      <c r="D11" s="100">
        <v>9090054.7051168308</v>
      </c>
      <c r="E11" s="101"/>
    </row>
    <row r="12" spans="1:11">
      <c r="F12"/>
      <c r="G12"/>
      <c r="H12"/>
      <c r="I12"/>
      <c r="J12"/>
      <c r="K12"/>
    </row>
    <row r="13" spans="1:11">
      <c r="B13" s="95" t="s">
        <v>188</v>
      </c>
      <c r="C13" s="96"/>
      <c r="F13"/>
      <c r="G13"/>
      <c r="H13"/>
      <c r="I13"/>
      <c r="J13"/>
      <c r="K13"/>
    </row>
    <row r="14" spans="1:11">
      <c r="B14" s="102" t="s">
        <v>49</v>
      </c>
      <c r="D14" s="90">
        <v>6764128.4472049689</v>
      </c>
      <c r="F14"/>
      <c r="G14"/>
      <c r="H14"/>
      <c r="I14"/>
      <c r="J14"/>
      <c r="K14"/>
    </row>
    <row r="15" spans="1:11">
      <c r="B15" s="102" t="s">
        <v>195</v>
      </c>
      <c r="D15" s="103">
        <v>3188319.7769890577</v>
      </c>
      <c r="F15"/>
      <c r="G15"/>
      <c r="H15"/>
      <c r="I15"/>
      <c r="J15"/>
      <c r="K15"/>
    </row>
    <row r="16" spans="1:11">
      <c r="B16" s="102"/>
      <c r="D16" s="103"/>
      <c r="F16"/>
      <c r="G16"/>
      <c r="H16"/>
      <c r="I16"/>
      <c r="J16"/>
      <c r="K16"/>
    </row>
    <row r="17" spans="2:5" s="96" customFormat="1">
      <c r="B17" s="95"/>
      <c r="D17" s="104"/>
      <c r="E17" s="103"/>
    </row>
    <row r="18" spans="2:5" s="96" customFormat="1">
      <c r="B18" s="95" t="s">
        <v>196</v>
      </c>
      <c r="D18" s="100">
        <v>19042502.929310858</v>
      </c>
      <c r="E18" s="103"/>
    </row>
    <row r="19" spans="2:5">
      <c r="B19" s="97"/>
      <c r="D19" s="105"/>
    </row>
    <row r="20" spans="2:5">
      <c r="C20" s="102" t="s">
        <v>197</v>
      </c>
      <c r="D20" s="90">
        <v>2439514.9364093463</v>
      </c>
    </row>
    <row r="21" spans="2:5">
      <c r="C21" s="102"/>
    </row>
    <row r="22" spans="2:5" s="97" customFormat="1" ht="13.5" thickBot="1">
      <c r="D22" s="106">
        <v>21482017.865720205</v>
      </c>
      <c r="E22" s="101"/>
    </row>
    <row r="23" spans="2:5" s="97" customFormat="1" ht="14.25" thickTop="1" thickBot="1">
      <c r="D23" s="105"/>
      <c r="E23" s="101"/>
    </row>
    <row r="24" spans="2:5" ht="13.5" thickBot="1">
      <c r="C24" s="219" t="s">
        <v>23</v>
      </c>
      <c r="D24" s="220">
        <v>1476397.3752000001</v>
      </c>
      <c r="E24" s="235" t="s">
        <v>198</v>
      </c>
    </row>
    <row r="25" spans="2:5">
      <c r="C25" s="102" t="s">
        <v>190</v>
      </c>
      <c r="D25" s="90">
        <f>D22-D24</f>
        <v>20005620.490520205</v>
      </c>
    </row>
    <row r="26" spans="2:5" ht="13.5" thickBot="1">
      <c r="D26" s="106">
        <f>SUM(D24:D25)</f>
        <v>21482017.865720205</v>
      </c>
    </row>
    <row r="27" spans="2:5" ht="13.5" thickTop="1"/>
  </sheetData>
  <mergeCells count="2">
    <mergeCell ref="A1:D1"/>
    <mergeCell ref="A2:D2"/>
  </mergeCells>
  <phoneticPr fontId="3" type="noConversion"/>
  <pageMargins left="0.75" right="0.75" top="0.75" bottom="0.5" header="0.5" footer="0"/>
  <pageSetup orientation="portrait" r:id="rId1"/>
  <headerFooter alignWithMargins="0">
    <oddFooter>&amp;L&amp;8&amp;F, &amp;A&amp;R&amp;8&amp;D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heetViews>
  <sheetFormatPr defaultRowHeight="12.75"/>
  <cols>
    <col min="1" max="1" width="19.28515625" bestFit="1" customWidth="1"/>
    <col min="2" max="2" width="12.85546875" bestFit="1" customWidth="1"/>
    <col min="4" max="4" width="10.140625" bestFit="1" customWidth="1"/>
  </cols>
  <sheetData>
    <row r="1" spans="1:5" ht="15.75">
      <c r="A1" s="33" t="s">
        <v>58</v>
      </c>
      <c r="D1" s="116"/>
      <c r="E1" s="117"/>
    </row>
    <row r="2" spans="1:5">
      <c r="A2" s="6" t="s">
        <v>14</v>
      </c>
    </row>
    <row r="7" spans="1:5">
      <c r="A7" t="s">
        <v>257</v>
      </c>
      <c r="B7" s="3">
        <f>'IT Detail'!H54</f>
        <v>2614761.0723042777</v>
      </c>
    </row>
    <row r="9" spans="1:5" ht="13.5" thickBot="1">
      <c r="A9" s="17" t="s">
        <v>10</v>
      </c>
      <c r="B9" s="18">
        <f>SUM(B7:B7)</f>
        <v>2614761.0723042777</v>
      </c>
    </row>
    <row r="10" spans="1:5" ht="13.5" thickTop="1"/>
    <row r="11" spans="1:5">
      <c r="A11" t="s">
        <v>344</v>
      </c>
      <c r="B11" s="111"/>
    </row>
    <row r="17" s="21" customFormat="1"/>
  </sheetData>
  <phoneticPr fontId="3" type="noConversion"/>
  <pageMargins left="0.75" right="0.75" top="0.75" bottom="0.5" header="0.5" footer="0"/>
  <pageSetup orientation="portrait" r:id="rId1"/>
  <headerFooter alignWithMargins="0">
    <oddFooter>&amp;L&amp;8&amp;F, &amp;A&amp;R&amp;8&amp;D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todo</vt:lpstr>
      <vt:lpstr>Agreement</vt:lpstr>
      <vt:lpstr>Yr on Yr</vt:lpstr>
      <vt:lpstr>Tax</vt:lpstr>
      <vt:lpstr>Legal</vt:lpstr>
      <vt:lpstr>BAR</vt:lpstr>
      <vt:lpstr>EOps</vt:lpstr>
      <vt:lpstr>EOL</vt:lpstr>
      <vt:lpstr>IT</vt:lpstr>
      <vt:lpstr>IT Detail</vt:lpstr>
      <vt:lpstr>RAC-Ben-OCC-LTCP</vt:lpstr>
      <vt:lpstr>OCC-Public Affairs Detail</vt:lpstr>
      <vt:lpstr>PR</vt:lpstr>
      <vt:lpstr>Agreement!Print_Area</vt:lpstr>
      <vt:lpstr>BAR!Print_Area</vt:lpstr>
      <vt:lpstr>EOL!Print_Area</vt:lpstr>
      <vt:lpstr>EOps!Print_Area</vt:lpstr>
      <vt:lpstr>IT!Print_Area</vt:lpstr>
      <vt:lpstr>Legal!Print_Area</vt:lpstr>
      <vt:lpstr>'OCC-Public Affairs Detail'!Print_Area</vt:lpstr>
      <vt:lpstr>PR!Print_Area</vt:lpstr>
      <vt:lpstr>'RAC-Ben-OCC-LTCP'!Print_Area</vt:lpstr>
      <vt:lpstr>Tax!Print_Area</vt:lpstr>
      <vt:lpstr>EOps!Print_Titles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Janice Marie Christensen</dc:creator>
  <cp:lastModifiedBy>Felienne</cp:lastModifiedBy>
  <cp:lastPrinted>2001-10-30T22:06:22Z</cp:lastPrinted>
  <dcterms:created xsi:type="dcterms:W3CDTF">2000-11-29T22:35:14Z</dcterms:created>
  <dcterms:modified xsi:type="dcterms:W3CDTF">2014-09-05T08:36:25Z</dcterms:modified>
</cp:coreProperties>
</file>