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9720" windowHeight="6450" tabRatio="539" activeTab="5"/>
  </bookViews>
  <sheets>
    <sheet name="Calculator-Hourly" sheetId="2" r:id="rId1"/>
    <sheet name="Load" sheetId="3" r:id="rId2"/>
    <sheet name="Last Year's Load" sheetId="6" r:id="rId3"/>
    <sheet name="Calculations" sheetId="21254" r:id="rId4"/>
    <sheet name="Spin" sheetId="320" r:id="rId5"/>
    <sheet name="Calculator-Peak" sheetId="12" r:id="rId6"/>
  </sheets>
  <definedNames>
    <definedName name="Deficiency">'Calculator-Hourly'!$E$19</definedName>
    <definedName name="NFPurchase">'Calculator-Hourly'!$E$6</definedName>
    <definedName name="Nonspin">'Calculator-Hourly'!$E$17</definedName>
    <definedName name="NonSpinReq">'Calculator-Hourly'!$E$13</definedName>
    <definedName name="_xlnm.Print_Area" localSheetId="3">Calculations!$J$10:$P$35</definedName>
    <definedName name="_xlnm.Print_Area" localSheetId="0">'Calculator-Hourly'!$A$1:$S$35</definedName>
    <definedName name="_xlnm.Print_Area" localSheetId="5">'Calculator-Peak'!$A$1:$R$34</definedName>
    <definedName name="_xlnm.Print_Area" localSheetId="1">Load!$A$188:$O$225</definedName>
    <definedName name="Spin">'Calculator-Hourly'!$E$16</definedName>
    <definedName name="SpinReq">'Calculator-Hourly'!$E$12</definedName>
    <definedName name="TotalSpin">'Calculator-Hourly'!$E$18</definedName>
    <definedName name="TotalSpinReq">'Calculator-Hourly'!$E$11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L4" i="21254" l="1"/>
  <c r="M4" i="21254"/>
  <c r="M5" i="21254" s="1"/>
  <c r="C5" i="21254"/>
  <c r="L5" i="21254"/>
  <c r="C6" i="21254"/>
  <c r="F6" i="21254" s="1"/>
  <c r="H6" i="21254" s="1"/>
  <c r="D6" i="21254"/>
  <c r="E6" i="21254"/>
  <c r="G6" i="21254"/>
  <c r="C7" i="21254"/>
  <c r="F7" i="21254"/>
  <c r="H7" i="21254" s="1"/>
  <c r="G7" i="21254"/>
  <c r="C8" i="21254"/>
  <c r="D8" i="21254" s="1"/>
  <c r="E8" i="21254"/>
  <c r="C9" i="21254"/>
  <c r="G9" i="21254"/>
  <c r="C10" i="21254"/>
  <c r="F10" i="21254" s="1"/>
  <c r="H10" i="21254" s="1"/>
  <c r="D10" i="21254"/>
  <c r="E10" i="21254"/>
  <c r="G10" i="21254"/>
  <c r="C11" i="21254"/>
  <c r="F11" i="21254"/>
  <c r="H11" i="21254" s="1"/>
  <c r="G11" i="21254"/>
  <c r="C12" i="21254"/>
  <c r="D12" i="21254" s="1"/>
  <c r="E12" i="21254"/>
  <c r="C13" i="21254"/>
  <c r="G13" i="21254" s="1"/>
  <c r="C14" i="21254"/>
  <c r="F14" i="21254" s="1"/>
  <c r="H14" i="21254" s="1"/>
  <c r="D14" i="21254"/>
  <c r="E14" i="21254"/>
  <c r="G14" i="21254"/>
  <c r="M14" i="21254"/>
  <c r="N14" i="21254" s="1"/>
  <c r="C15" i="21254"/>
  <c r="F15" i="21254" s="1"/>
  <c r="H15" i="21254" s="1"/>
  <c r="D15" i="21254"/>
  <c r="E15" i="21254"/>
  <c r="G15" i="21254"/>
  <c r="M15" i="21254"/>
  <c r="C16" i="21254"/>
  <c r="F16" i="21254" s="1"/>
  <c r="H16" i="21254" s="1"/>
  <c r="D16" i="21254"/>
  <c r="E16" i="21254"/>
  <c r="G16" i="21254"/>
  <c r="C17" i="21254"/>
  <c r="F17" i="21254" s="1"/>
  <c r="H17" i="21254" s="1"/>
  <c r="C18" i="21254"/>
  <c r="D18" i="21254" s="1"/>
  <c r="E18" i="21254"/>
  <c r="L18" i="21254"/>
  <c r="D31" i="21254"/>
  <c r="H31" i="21254" s="1"/>
  <c r="F31" i="21254"/>
  <c r="I2" i="2"/>
  <c r="E3" i="2"/>
  <c r="L4" i="2"/>
  <c r="P8" i="2"/>
  <c r="I9" i="2"/>
  <c r="K9" i="2"/>
  <c r="E12" i="2"/>
  <c r="E13" i="2"/>
  <c r="E17" i="2"/>
  <c r="F16" i="12" s="1"/>
  <c r="Q17" i="2"/>
  <c r="S17" i="2"/>
  <c r="K18" i="2"/>
  <c r="Q18" i="2"/>
  <c r="S18" i="2"/>
  <c r="K19" i="2"/>
  <c r="Q19" i="2"/>
  <c r="S19" i="2"/>
  <c r="K20" i="2"/>
  <c r="Q20" i="2"/>
  <c r="S20" i="2"/>
  <c r="K21" i="2"/>
  <c r="Q21" i="2"/>
  <c r="S21" i="2"/>
  <c r="K22" i="2"/>
  <c r="Q22" i="2"/>
  <c r="S22" i="2"/>
  <c r="I23" i="2"/>
  <c r="J23" i="2" s="1"/>
  <c r="L23" i="2"/>
  <c r="Q23" i="2"/>
  <c r="S23" i="2"/>
  <c r="Q24" i="2"/>
  <c r="S24" i="2"/>
  <c r="K25" i="2"/>
  <c r="Q25" i="2"/>
  <c r="S25" i="2"/>
  <c r="K26" i="2"/>
  <c r="K30" i="2" s="1"/>
  <c r="Q26" i="2"/>
  <c r="S26" i="2"/>
  <c r="K27" i="2"/>
  <c r="Q27" i="2"/>
  <c r="S27" i="2"/>
  <c r="K28" i="2"/>
  <c r="Q28" i="2"/>
  <c r="S28" i="2"/>
  <c r="K29" i="2"/>
  <c r="O29" i="2"/>
  <c r="P29" i="2"/>
  <c r="M7" i="2" s="1"/>
  <c r="M9" i="2" s="1"/>
  <c r="S29" i="2"/>
  <c r="I30" i="2"/>
  <c r="J30" i="2" s="1"/>
  <c r="L30" i="2"/>
  <c r="O32" i="2"/>
  <c r="E4" i="2" s="1"/>
  <c r="P32" i="2"/>
  <c r="E4" i="12"/>
  <c r="L4" i="12"/>
  <c r="I9" i="12"/>
  <c r="K9" i="12"/>
  <c r="E12" i="12"/>
  <c r="E13" i="12" s="1"/>
  <c r="E17" i="12"/>
  <c r="Q17" i="12"/>
  <c r="Q29" i="12" s="1"/>
  <c r="K18" i="12"/>
  <c r="Q18" i="12"/>
  <c r="K19" i="12"/>
  <c r="Q19" i="12"/>
  <c r="K20" i="12"/>
  <c r="Q20" i="12"/>
  <c r="K21" i="12"/>
  <c r="K23" i="12" s="1"/>
  <c r="Q21" i="12"/>
  <c r="K22" i="12"/>
  <c r="Q22" i="12"/>
  <c r="I23" i="12"/>
  <c r="J23" i="12" s="1"/>
  <c r="Q23" i="12"/>
  <c r="Q24" i="12"/>
  <c r="K25" i="12"/>
  <c r="Q25" i="12"/>
  <c r="K26" i="12"/>
  <c r="Q26" i="12"/>
  <c r="K27" i="12"/>
  <c r="Q27" i="12"/>
  <c r="K28" i="12"/>
  <c r="Q28" i="12"/>
  <c r="K29" i="12"/>
  <c r="O29" i="12"/>
  <c r="P29" i="12"/>
  <c r="I30" i="12"/>
  <c r="J30" i="12" s="1"/>
  <c r="O32" i="12"/>
  <c r="P32" i="12"/>
  <c r="K5" i="6"/>
  <c r="M5" i="6"/>
  <c r="K6" i="6"/>
  <c r="M6" i="6"/>
  <c r="O6" i="6"/>
  <c r="K7" i="6"/>
  <c r="M7" i="6"/>
  <c r="O7" i="6"/>
  <c r="K8" i="6"/>
  <c r="M8" i="6"/>
  <c r="K9" i="6"/>
  <c r="M9" i="6"/>
  <c r="M29" i="6" s="1"/>
  <c r="K10" i="6"/>
  <c r="M10" i="6"/>
  <c r="M168" i="6" s="1"/>
  <c r="O10" i="6"/>
  <c r="K11" i="6"/>
  <c r="O11" i="6" s="1"/>
  <c r="M11" i="6"/>
  <c r="K12" i="6"/>
  <c r="O12" i="6" s="1"/>
  <c r="M12" i="6"/>
  <c r="K13" i="6"/>
  <c r="O13" i="6" s="1"/>
  <c r="M13" i="6"/>
  <c r="K14" i="6"/>
  <c r="M14" i="6"/>
  <c r="O14" i="6"/>
  <c r="K15" i="6"/>
  <c r="M15" i="6"/>
  <c r="O15" i="6"/>
  <c r="K16" i="6"/>
  <c r="M16" i="6"/>
  <c r="K17" i="6"/>
  <c r="M17" i="6"/>
  <c r="K18" i="6"/>
  <c r="M18" i="6"/>
  <c r="O18" i="6"/>
  <c r="K19" i="6"/>
  <c r="O19" i="6" s="1"/>
  <c r="M19" i="6"/>
  <c r="K20" i="6"/>
  <c r="O20" i="6" s="1"/>
  <c r="M20" i="6"/>
  <c r="K21" i="6"/>
  <c r="O21" i="6" s="1"/>
  <c r="M21" i="6"/>
  <c r="M179" i="6" s="1"/>
  <c r="K22" i="6"/>
  <c r="M22" i="6"/>
  <c r="O22" i="6"/>
  <c r="K23" i="6"/>
  <c r="M23" i="6"/>
  <c r="O23" i="6"/>
  <c r="K24" i="6"/>
  <c r="M24" i="6"/>
  <c r="K25" i="6"/>
  <c r="M25" i="6"/>
  <c r="K26" i="6"/>
  <c r="M26" i="6"/>
  <c r="M184" i="6" s="1"/>
  <c r="O26" i="6"/>
  <c r="K27" i="6"/>
  <c r="O27" i="6" s="1"/>
  <c r="M27" i="6"/>
  <c r="K28" i="6"/>
  <c r="O28" i="6" s="1"/>
  <c r="M28" i="6"/>
  <c r="C29" i="6"/>
  <c r="D29" i="6"/>
  <c r="E29" i="6"/>
  <c r="F29" i="6"/>
  <c r="G29" i="6"/>
  <c r="H29" i="6"/>
  <c r="I29" i="6"/>
  <c r="K30" i="6"/>
  <c r="M30" i="6"/>
  <c r="K31" i="6"/>
  <c r="M31" i="6"/>
  <c r="C34" i="6"/>
  <c r="D34" i="6" s="1"/>
  <c r="E34" i="6" s="1"/>
  <c r="F34" i="6" s="1"/>
  <c r="G34" i="6" s="1"/>
  <c r="H34" i="6" s="1"/>
  <c r="I34" i="6" s="1"/>
  <c r="C65" i="6" s="1"/>
  <c r="D65" i="6" s="1"/>
  <c r="E65" i="6" s="1"/>
  <c r="F65" i="6" s="1"/>
  <c r="G65" i="6" s="1"/>
  <c r="H65" i="6" s="1"/>
  <c r="I65" i="6" s="1"/>
  <c r="C96" i="6" s="1"/>
  <c r="D96" i="6" s="1"/>
  <c r="E96" i="6" s="1"/>
  <c r="F96" i="6" s="1"/>
  <c r="G96" i="6" s="1"/>
  <c r="H96" i="6" s="1"/>
  <c r="I96" i="6" s="1"/>
  <c r="C127" i="6" s="1"/>
  <c r="D127" i="6" s="1"/>
  <c r="K36" i="6"/>
  <c r="M36" i="6"/>
  <c r="K37" i="6"/>
  <c r="M37" i="6"/>
  <c r="O37" i="6"/>
  <c r="K38" i="6"/>
  <c r="O38" i="6" s="1"/>
  <c r="M38" i="6"/>
  <c r="K39" i="6"/>
  <c r="M39" i="6"/>
  <c r="K40" i="6"/>
  <c r="M40" i="6"/>
  <c r="K41" i="6"/>
  <c r="M41" i="6"/>
  <c r="O41" i="6"/>
  <c r="K42" i="6"/>
  <c r="M42" i="6"/>
  <c r="O42" i="6"/>
  <c r="K43" i="6"/>
  <c r="M43" i="6"/>
  <c r="K44" i="6"/>
  <c r="M44" i="6"/>
  <c r="K45" i="6"/>
  <c r="M45" i="6"/>
  <c r="O45" i="6"/>
  <c r="K46" i="6"/>
  <c r="O46" i="6" s="1"/>
  <c r="M46" i="6"/>
  <c r="K47" i="6"/>
  <c r="O47" i="6" s="1"/>
  <c r="M47" i="6"/>
  <c r="K48" i="6"/>
  <c r="M48" i="6"/>
  <c r="K49" i="6"/>
  <c r="M49" i="6"/>
  <c r="K50" i="6"/>
  <c r="M50" i="6"/>
  <c r="O50" i="6"/>
  <c r="K51" i="6"/>
  <c r="M51" i="6"/>
  <c r="K52" i="6"/>
  <c r="M52" i="6"/>
  <c r="K53" i="6"/>
  <c r="M53" i="6"/>
  <c r="O53" i="6"/>
  <c r="K54" i="6"/>
  <c r="O54" i="6" s="1"/>
  <c r="M54" i="6"/>
  <c r="K55" i="6"/>
  <c r="O55" i="6" s="1"/>
  <c r="M55" i="6"/>
  <c r="K56" i="6"/>
  <c r="O56" i="6" s="1"/>
  <c r="M56" i="6"/>
  <c r="K57" i="6"/>
  <c r="M57" i="6"/>
  <c r="K58" i="6"/>
  <c r="M58" i="6"/>
  <c r="O58" i="6"/>
  <c r="K59" i="6"/>
  <c r="M59" i="6"/>
  <c r="C60" i="6"/>
  <c r="D60" i="6"/>
  <c r="E60" i="6"/>
  <c r="F60" i="6"/>
  <c r="G60" i="6"/>
  <c r="H60" i="6"/>
  <c r="I60" i="6"/>
  <c r="K61" i="6"/>
  <c r="M61" i="6"/>
  <c r="K62" i="6"/>
  <c r="M62" i="6"/>
  <c r="K67" i="6"/>
  <c r="M67" i="6"/>
  <c r="K68" i="6"/>
  <c r="M68" i="6"/>
  <c r="O68" i="6"/>
  <c r="K69" i="6"/>
  <c r="M69" i="6"/>
  <c r="O69" i="6"/>
  <c r="K70" i="6"/>
  <c r="M70" i="6"/>
  <c r="K71" i="6"/>
  <c r="M71" i="6"/>
  <c r="K72" i="6"/>
  <c r="M72" i="6"/>
  <c r="O72" i="6"/>
  <c r="K73" i="6"/>
  <c r="O73" i="6" s="1"/>
  <c r="M73" i="6"/>
  <c r="K74" i="6"/>
  <c r="O74" i="6" s="1"/>
  <c r="M74" i="6"/>
  <c r="M170" i="6" s="1"/>
  <c r="K75" i="6"/>
  <c r="M75" i="6"/>
  <c r="K76" i="6"/>
  <c r="M76" i="6"/>
  <c r="O76" i="6"/>
  <c r="K77" i="6"/>
  <c r="M77" i="6"/>
  <c r="O77" i="6"/>
  <c r="K78" i="6"/>
  <c r="M78" i="6"/>
  <c r="K79" i="6"/>
  <c r="M79" i="6"/>
  <c r="K80" i="6"/>
  <c r="M80" i="6"/>
  <c r="O80" i="6"/>
  <c r="K81" i="6"/>
  <c r="O81" i="6" s="1"/>
  <c r="M81" i="6"/>
  <c r="K82" i="6"/>
  <c r="O82" i="6" s="1"/>
  <c r="M82" i="6"/>
  <c r="K83" i="6"/>
  <c r="M83" i="6"/>
  <c r="K84" i="6"/>
  <c r="M84" i="6"/>
  <c r="K85" i="6"/>
  <c r="M85" i="6"/>
  <c r="O85" i="6"/>
  <c r="K86" i="6"/>
  <c r="M86" i="6"/>
  <c r="K87" i="6"/>
  <c r="M87" i="6"/>
  <c r="M183" i="6" s="1"/>
  <c r="K88" i="6"/>
  <c r="M88" i="6"/>
  <c r="O88" i="6"/>
  <c r="K89" i="6"/>
  <c r="M89" i="6"/>
  <c r="O89" i="6"/>
  <c r="K90" i="6"/>
  <c r="O90" i="6" s="1"/>
  <c r="M90" i="6"/>
  <c r="C91" i="6"/>
  <c r="D91" i="6"/>
  <c r="E91" i="6"/>
  <c r="F91" i="6"/>
  <c r="G91" i="6"/>
  <c r="H91" i="6"/>
  <c r="I91" i="6"/>
  <c r="M91" i="6"/>
  <c r="K92" i="6"/>
  <c r="M92" i="6"/>
  <c r="K93" i="6"/>
  <c r="M93" i="6"/>
  <c r="K98" i="6"/>
  <c r="M98" i="6"/>
  <c r="K99" i="6"/>
  <c r="M99" i="6"/>
  <c r="M164" i="6" s="1"/>
  <c r="O99" i="6"/>
  <c r="K100" i="6"/>
  <c r="M100" i="6"/>
  <c r="O100" i="6"/>
  <c r="K101" i="6"/>
  <c r="M101" i="6"/>
  <c r="M166" i="6" s="1"/>
  <c r="K102" i="6"/>
  <c r="M102" i="6"/>
  <c r="K103" i="6"/>
  <c r="M103" i="6"/>
  <c r="O103" i="6"/>
  <c r="K104" i="6"/>
  <c r="M104" i="6"/>
  <c r="O104" i="6"/>
  <c r="K105" i="6"/>
  <c r="M105" i="6"/>
  <c r="K106" i="6"/>
  <c r="M106" i="6"/>
  <c r="K107" i="6"/>
  <c r="M107" i="6"/>
  <c r="M172" i="6" s="1"/>
  <c r="O107" i="6"/>
  <c r="K108" i="6"/>
  <c r="M108" i="6"/>
  <c r="O108" i="6"/>
  <c r="K109" i="6"/>
  <c r="O109" i="6" s="1"/>
  <c r="M109" i="6"/>
  <c r="M174" i="6" s="1"/>
  <c r="K110" i="6"/>
  <c r="O110" i="6" s="1"/>
  <c r="M110" i="6"/>
  <c r="K111" i="6"/>
  <c r="M111" i="6"/>
  <c r="K112" i="6"/>
  <c r="M112" i="6"/>
  <c r="O112" i="6"/>
  <c r="K113" i="6"/>
  <c r="M113" i="6"/>
  <c r="K114" i="6"/>
  <c r="M114" i="6"/>
  <c r="K115" i="6"/>
  <c r="M115" i="6"/>
  <c r="M180" i="6" s="1"/>
  <c r="O115" i="6"/>
  <c r="K116" i="6"/>
  <c r="M116" i="6"/>
  <c r="O116" i="6"/>
  <c r="K117" i="6"/>
  <c r="O117" i="6" s="1"/>
  <c r="M117" i="6"/>
  <c r="M182" i="6" s="1"/>
  <c r="K118" i="6"/>
  <c r="M118" i="6"/>
  <c r="K119" i="6"/>
  <c r="M119" i="6"/>
  <c r="O119" i="6"/>
  <c r="K120" i="6"/>
  <c r="M120" i="6"/>
  <c r="O120" i="6"/>
  <c r="K121" i="6"/>
  <c r="M121" i="6"/>
  <c r="C122" i="6"/>
  <c r="D122" i="6"/>
  <c r="E122" i="6"/>
  <c r="F122" i="6"/>
  <c r="G122" i="6"/>
  <c r="H122" i="6"/>
  <c r="I122" i="6"/>
  <c r="K123" i="6"/>
  <c r="M123" i="6"/>
  <c r="K124" i="6"/>
  <c r="M124" i="6"/>
  <c r="K129" i="6"/>
  <c r="M129" i="6"/>
  <c r="K130" i="6"/>
  <c r="M130" i="6"/>
  <c r="O130" i="6"/>
  <c r="K131" i="6"/>
  <c r="M131" i="6"/>
  <c r="K132" i="6"/>
  <c r="M132" i="6"/>
  <c r="K133" i="6"/>
  <c r="M133" i="6"/>
  <c r="O133" i="6"/>
  <c r="K134" i="6"/>
  <c r="M134" i="6"/>
  <c r="O134" i="6"/>
  <c r="K135" i="6"/>
  <c r="O135" i="6" s="1"/>
  <c r="M135" i="6"/>
  <c r="K136" i="6"/>
  <c r="M136" i="6"/>
  <c r="K137" i="6"/>
  <c r="M137" i="6"/>
  <c r="O137" i="6"/>
  <c r="K138" i="6"/>
  <c r="M138" i="6"/>
  <c r="O138" i="6"/>
  <c r="K139" i="6"/>
  <c r="M139" i="6"/>
  <c r="K140" i="6"/>
  <c r="M140" i="6"/>
  <c r="K141" i="6"/>
  <c r="M141" i="6"/>
  <c r="O141" i="6"/>
  <c r="K142" i="6"/>
  <c r="M142" i="6"/>
  <c r="O142" i="6"/>
  <c r="K143" i="6"/>
  <c r="O143" i="6" s="1"/>
  <c r="M143" i="6"/>
  <c r="K144" i="6"/>
  <c r="O144" i="6" s="1"/>
  <c r="M144" i="6"/>
  <c r="K145" i="6"/>
  <c r="M145" i="6"/>
  <c r="K146" i="6"/>
  <c r="M146" i="6"/>
  <c r="O146" i="6"/>
  <c r="K147" i="6"/>
  <c r="M147" i="6"/>
  <c r="K148" i="6"/>
  <c r="M148" i="6"/>
  <c r="K149" i="6"/>
  <c r="M149" i="6"/>
  <c r="O149" i="6"/>
  <c r="K150" i="6"/>
  <c r="M150" i="6"/>
  <c r="O150" i="6"/>
  <c r="K151" i="6"/>
  <c r="O151" i="6" s="1"/>
  <c r="M151" i="6"/>
  <c r="K152" i="6"/>
  <c r="M152" i="6"/>
  <c r="C153" i="6"/>
  <c r="D153" i="6"/>
  <c r="E153" i="6"/>
  <c r="F153" i="6"/>
  <c r="G153" i="6"/>
  <c r="H153" i="6"/>
  <c r="I153" i="6"/>
  <c r="K154" i="6"/>
  <c r="M154" i="6"/>
  <c r="K155" i="6"/>
  <c r="M155" i="6"/>
  <c r="B159" i="6"/>
  <c r="C163" i="6"/>
  <c r="C187" i="6" s="1"/>
  <c r="D163" i="6"/>
  <c r="E163" i="6"/>
  <c r="F163" i="6"/>
  <c r="G163" i="6"/>
  <c r="H163" i="6"/>
  <c r="I163" i="6"/>
  <c r="M163" i="6"/>
  <c r="C164" i="6"/>
  <c r="D164" i="6"/>
  <c r="E164" i="6"/>
  <c r="F164" i="6"/>
  <c r="G164" i="6"/>
  <c r="H164" i="6"/>
  <c r="I164" i="6"/>
  <c r="C165" i="6"/>
  <c r="K165" i="6" s="1"/>
  <c r="D165" i="6"/>
  <c r="E165" i="6"/>
  <c r="F165" i="6"/>
  <c r="G165" i="6"/>
  <c r="H165" i="6"/>
  <c r="I165" i="6"/>
  <c r="M165" i="6"/>
  <c r="C166" i="6"/>
  <c r="D166" i="6"/>
  <c r="E166" i="6"/>
  <c r="F166" i="6"/>
  <c r="G166" i="6"/>
  <c r="H166" i="6"/>
  <c r="I166" i="6"/>
  <c r="C167" i="6"/>
  <c r="K167" i="6" s="1"/>
  <c r="D167" i="6"/>
  <c r="E167" i="6"/>
  <c r="F167" i="6"/>
  <c r="G167" i="6"/>
  <c r="H167" i="6"/>
  <c r="I167" i="6"/>
  <c r="M167" i="6"/>
  <c r="C168" i="6"/>
  <c r="D168" i="6"/>
  <c r="E168" i="6"/>
  <c r="F168" i="6"/>
  <c r="G168" i="6"/>
  <c r="H168" i="6"/>
  <c r="I168" i="6"/>
  <c r="C169" i="6"/>
  <c r="K169" i="6" s="1"/>
  <c r="D169" i="6"/>
  <c r="E169" i="6"/>
  <c r="F169" i="6"/>
  <c r="G169" i="6"/>
  <c r="H169" i="6"/>
  <c r="I169" i="6"/>
  <c r="M169" i="6"/>
  <c r="C170" i="6"/>
  <c r="D170" i="6"/>
  <c r="E170" i="6"/>
  <c r="F170" i="6"/>
  <c r="G170" i="6"/>
  <c r="H170" i="6"/>
  <c r="I170" i="6"/>
  <c r="C171" i="6"/>
  <c r="K171" i="6" s="1"/>
  <c r="D171" i="6"/>
  <c r="E171" i="6"/>
  <c r="F171" i="6"/>
  <c r="G171" i="6"/>
  <c r="H171" i="6"/>
  <c r="I171" i="6"/>
  <c r="M171" i="6"/>
  <c r="C172" i="6"/>
  <c r="D172" i="6"/>
  <c r="E172" i="6"/>
  <c r="F172" i="6"/>
  <c r="G172" i="6"/>
  <c r="H172" i="6"/>
  <c r="I172" i="6"/>
  <c r="C173" i="6"/>
  <c r="K173" i="6" s="1"/>
  <c r="D173" i="6"/>
  <c r="E173" i="6"/>
  <c r="F173" i="6"/>
  <c r="G173" i="6"/>
  <c r="H173" i="6"/>
  <c r="I173" i="6"/>
  <c r="M173" i="6"/>
  <c r="C174" i="6"/>
  <c r="D174" i="6"/>
  <c r="E174" i="6"/>
  <c r="F174" i="6"/>
  <c r="G174" i="6"/>
  <c r="H174" i="6"/>
  <c r="I174" i="6"/>
  <c r="C175" i="6"/>
  <c r="K175" i="6" s="1"/>
  <c r="D175" i="6"/>
  <c r="E175" i="6"/>
  <c r="F175" i="6"/>
  <c r="G175" i="6"/>
  <c r="H175" i="6"/>
  <c r="I175" i="6"/>
  <c r="M175" i="6"/>
  <c r="C176" i="6"/>
  <c r="D176" i="6"/>
  <c r="E176" i="6"/>
  <c r="F176" i="6"/>
  <c r="G176" i="6"/>
  <c r="H176" i="6"/>
  <c r="I176" i="6"/>
  <c r="C177" i="6"/>
  <c r="K177" i="6" s="1"/>
  <c r="D177" i="6"/>
  <c r="E177" i="6"/>
  <c r="F177" i="6"/>
  <c r="G177" i="6"/>
  <c r="H177" i="6"/>
  <c r="I177" i="6"/>
  <c r="M177" i="6"/>
  <c r="C178" i="6"/>
  <c r="D178" i="6"/>
  <c r="E178" i="6"/>
  <c r="F178" i="6"/>
  <c r="G178" i="6"/>
  <c r="H178" i="6"/>
  <c r="I178" i="6"/>
  <c r="M178" i="6"/>
  <c r="C179" i="6"/>
  <c r="D179" i="6"/>
  <c r="E179" i="6"/>
  <c r="F179" i="6"/>
  <c r="G179" i="6"/>
  <c r="H179" i="6"/>
  <c r="I179" i="6"/>
  <c r="K179" i="6"/>
  <c r="C180" i="6"/>
  <c r="D180" i="6"/>
  <c r="E180" i="6"/>
  <c r="F180" i="6"/>
  <c r="G180" i="6"/>
  <c r="H180" i="6"/>
  <c r="I180" i="6"/>
  <c r="C181" i="6"/>
  <c r="D181" i="6"/>
  <c r="E181" i="6"/>
  <c r="F181" i="6"/>
  <c r="G181" i="6"/>
  <c r="H181" i="6"/>
  <c r="I181" i="6"/>
  <c r="M181" i="6"/>
  <c r="C182" i="6"/>
  <c r="D182" i="6"/>
  <c r="K182" i="6" s="1"/>
  <c r="E182" i="6"/>
  <c r="F182" i="6"/>
  <c r="G182" i="6"/>
  <c r="H182" i="6"/>
  <c r="I182" i="6"/>
  <c r="C183" i="6"/>
  <c r="K183" i="6" s="1"/>
  <c r="O183" i="6" s="1"/>
  <c r="D183" i="6"/>
  <c r="E183" i="6"/>
  <c r="F183" i="6"/>
  <c r="G183" i="6"/>
  <c r="H183" i="6"/>
  <c r="I183" i="6"/>
  <c r="C184" i="6"/>
  <c r="D184" i="6"/>
  <c r="E184" i="6"/>
  <c r="F184" i="6"/>
  <c r="G184" i="6"/>
  <c r="H184" i="6"/>
  <c r="I184" i="6"/>
  <c r="C185" i="6"/>
  <c r="K185" i="6" s="1"/>
  <c r="D185" i="6"/>
  <c r="E185" i="6"/>
  <c r="F185" i="6"/>
  <c r="G185" i="6"/>
  <c r="H185" i="6"/>
  <c r="I185" i="6"/>
  <c r="M185" i="6"/>
  <c r="C186" i="6"/>
  <c r="D186" i="6"/>
  <c r="E186" i="6"/>
  <c r="F186" i="6"/>
  <c r="G186" i="6"/>
  <c r="H186" i="6"/>
  <c r="I186" i="6"/>
  <c r="K186" i="6"/>
  <c r="O186" i="6" s="1"/>
  <c r="M186" i="6"/>
  <c r="G187" i="6"/>
  <c r="H187" i="6"/>
  <c r="C188" i="6"/>
  <c r="D188" i="6"/>
  <c r="E188" i="6"/>
  <c r="F188" i="6"/>
  <c r="O188" i="6" s="1"/>
  <c r="G188" i="6"/>
  <c r="H188" i="6"/>
  <c r="I188" i="6"/>
  <c r="C189" i="6"/>
  <c r="D189" i="6"/>
  <c r="E189" i="6"/>
  <c r="F189" i="6"/>
  <c r="O189" i="6" s="1"/>
  <c r="G189" i="6"/>
  <c r="H189" i="6"/>
  <c r="I189" i="6"/>
  <c r="K5" i="3"/>
  <c r="M5" i="3"/>
  <c r="O5" i="3"/>
  <c r="P5" i="3"/>
  <c r="K6" i="3"/>
  <c r="M6" i="3"/>
  <c r="P6" i="3"/>
  <c r="K7" i="3"/>
  <c r="M7" i="3"/>
  <c r="P7" i="3"/>
  <c r="K8" i="3"/>
  <c r="O9" i="3" s="1"/>
  <c r="M8" i="3"/>
  <c r="O8" i="3"/>
  <c r="P8" i="3"/>
  <c r="K9" i="3"/>
  <c r="M9" i="3"/>
  <c r="P9" i="3"/>
  <c r="K10" i="3"/>
  <c r="O11" i="3" s="1"/>
  <c r="M10" i="3"/>
  <c r="O10" i="3"/>
  <c r="P10" i="3"/>
  <c r="K11" i="3"/>
  <c r="M11" i="3"/>
  <c r="P11" i="3"/>
  <c r="Q11" i="3" s="1"/>
  <c r="K12" i="3"/>
  <c r="M12" i="3"/>
  <c r="M165" i="3" s="1"/>
  <c r="O12" i="3"/>
  <c r="K13" i="3"/>
  <c r="M13" i="3"/>
  <c r="O13" i="3"/>
  <c r="K14" i="3"/>
  <c r="O14" i="3" s="1"/>
  <c r="M14" i="3"/>
  <c r="P14" i="3"/>
  <c r="K15" i="3"/>
  <c r="O15" i="3" s="1"/>
  <c r="M15" i="3"/>
  <c r="P15" i="3"/>
  <c r="K16" i="3"/>
  <c r="M16" i="3"/>
  <c r="P16" i="3"/>
  <c r="K17" i="3"/>
  <c r="O17" i="3" s="1"/>
  <c r="M17" i="3"/>
  <c r="K18" i="3"/>
  <c r="M18" i="3"/>
  <c r="P17" i="3" s="1"/>
  <c r="K19" i="3"/>
  <c r="M19" i="3"/>
  <c r="P19" i="3"/>
  <c r="K20" i="3"/>
  <c r="M20" i="3"/>
  <c r="M173" i="3" s="1"/>
  <c r="O20" i="3"/>
  <c r="K21" i="3"/>
  <c r="M21" i="3"/>
  <c r="O21" i="3"/>
  <c r="K22" i="3"/>
  <c r="O22" i="3" s="1"/>
  <c r="M22" i="3"/>
  <c r="P22" i="3"/>
  <c r="K23" i="3"/>
  <c r="M23" i="3"/>
  <c r="O23" i="3"/>
  <c r="P23" i="3"/>
  <c r="K24" i="3"/>
  <c r="M24" i="3"/>
  <c r="O24" i="3"/>
  <c r="K25" i="3"/>
  <c r="O25" i="3" s="1"/>
  <c r="M25" i="3"/>
  <c r="P24" i="3" s="1"/>
  <c r="K26" i="3"/>
  <c r="O26" i="3" s="1"/>
  <c r="M26" i="3"/>
  <c r="P25" i="3" s="1"/>
  <c r="K27" i="3"/>
  <c r="M27" i="3"/>
  <c r="P27" i="3"/>
  <c r="K28" i="3"/>
  <c r="M28" i="3"/>
  <c r="P28" i="3" s="1"/>
  <c r="O28" i="3"/>
  <c r="C29" i="3"/>
  <c r="D29" i="3"/>
  <c r="E29" i="3"/>
  <c r="F29" i="3"/>
  <c r="G29" i="3"/>
  <c r="H29" i="3"/>
  <c r="I29" i="3"/>
  <c r="C33" i="3"/>
  <c r="D33" i="3"/>
  <c r="E33" i="3" s="1"/>
  <c r="F33" i="3" s="1"/>
  <c r="G33" i="3" s="1"/>
  <c r="H33" i="3" s="1"/>
  <c r="I33" i="3" s="1"/>
  <c r="C64" i="3" s="1"/>
  <c r="D64" i="3" s="1"/>
  <c r="E64" i="3" s="1"/>
  <c r="F64" i="3" s="1"/>
  <c r="G64" i="3" s="1"/>
  <c r="H64" i="3" s="1"/>
  <c r="I64" i="3" s="1"/>
  <c r="C95" i="3" s="1"/>
  <c r="D95" i="3" s="1"/>
  <c r="E95" i="3" s="1"/>
  <c r="F95" i="3" s="1"/>
  <c r="G95" i="3" s="1"/>
  <c r="H95" i="3" s="1"/>
  <c r="I95" i="3" s="1"/>
  <c r="C125" i="3" s="1"/>
  <c r="D125" i="3" s="1"/>
  <c r="K35" i="3"/>
  <c r="M35" i="3"/>
  <c r="M59" i="3" s="1"/>
  <c r="K36" i="3"/>
  <c r="O36" i="3" s="1"/>
  <c r="M36" i="3"/>
  <c r="K37" i="3"/>
  <c r="M37" i="3"/>
  <c r="K38" i="3"/>
  <c r="O38" i="3" s="1"/>
  <c r="M38" i="3"/>
  <c r="K39" i="3"/>
  <c r="M39" i="3"/>
  <c r="K40" i="3"/>
  <c r="M40" i="3"/>
  <c r="O40" i="3"/>
  <c r="K41" i="3"/>
  <c r="O41" i="3" s="1"/>
  <c r="Q41" i="3" s="1"/>
  <c r="M41" i="3"/>
  <c r="K42" i="3"/>
  <c r="M42" i="3"/>
  <c r="K43" i="3"/>
  <c r="M43" i="3"/>
  <c r="O43" i="3"/>
  <c r="K44" i="3"/>
  <c r="M44" i="3"/>
  <c r="O44" i="3"/>
  <c r="K45" i="3"/>
  <c r="O45" i="3" s="1"/>
  <c r="M45" i="3"/>
  <c r="K46" i="3"/>
  <c r="M46" i="3"/>
  <c r="K47" i="3"/>
  <c r="M47" i="3"/>
  <c r="O47" i="3"/>
  <c r="K48" i="3"/>
  <c r="O48" i="3" s="1"/>
  <c r="M48" i="3"/>
  <c r="K49" i="3"/>
  <c r="O49" i="3" s="1"/>
  <c r="M49" i="3"/>
  <c r="M172" i="3" s="1"/>
  <c r="K50" i="3"/>
  <c r="M50" i="3"/>
  <c r="K51" i="3"/>
  <c r="M51" i="3"/>
  <c r="O51" i="3"/>
  <c r="K52" i="3"/>
  <c r="O52" i="3" s="1"/>
  <c r="M52" i="3"/>
  <c r="K53" i="3"/>
  <c r="M53" i="3"/>
  <c r="K54" i="3"/>
  <c r="O55" i="3" s="1"/>
  <c r="M54" i="3"/>
  <c r="K55" i="3"/>
  <c r="M55" i="3"/>
  <c r="K56" i="3"/>
  <c r="O56" i="3" s="1"/>
  <c r="M56" i="3"/>
  <c r="K57" i="3"/>
  <c r="M57" i="3"/>
  <c r="K58" i="3"/>
  <c r="O35" i="3" s="1"/>
  <c r="M58" i="3"/>
  <c r="C59" i="3"/>
  <c r="D59" i="3"/>
  <c r="E59" i="3"/>
  <c r="F59" i="3"/>
  <c r="G59" i="3"/>
  <c r="H59" i="3"/>
  <c r="I59" i="3"/>
  <c r="K66" i="3"/>
  <c r="M66" i="3"/>
  <c r="K67" i="3"/>
  <c r="O67" i="3" s="1"/>
  <c r="M67" i="3"/>
  <c r="K68" i="3"/>
  <c r="M68" i="3"/>
  <c r="M160" i="3" s="1"/>
  <c r="O68" i="3"/>
  <c r="K69" i="3"/>
  <c r="M69" i="3"/>
  <c r="O69" i="3"/>
  <c r="K70" i="3"/>
  <c r="O70" i="3" s="1"/>
  <c r="M70" i="3"/>
  <c r="K71" i="3"/>
  <c r="M71" i="3"/>
  <c r="K72" i="3"/>
  <c r="M72" i="3"/>
  <c r="M164" i="3" s="1"/>
  <c r="K73" i="3"/>
  <c r="M73" i="3"/>
  <c r="O73" i="3"/>
  <c r="K74" i="3"/>
  <c r="M74" i="3"/>
  <c r="O74" i="3"/>
  <c r="K75" i="3"/>
  <c r="M75" i="3"/>
  <c r="O75" i="3"/>
  <c r="K76" i="3"/>
  <c r="M76" i="3"/>
  <c r="O76" i="3"/>
  <c r="K77" i="3"/>
  <c r="M77" i="3"/>
  <c r="O77" i="3"/>
  <c r="K78" i="3"/>
  <c r="M78" i="3"/>
  <c r="O78" i="3"/>
  <c r="K79" i="3"/>
  <c r="M79" i="3"/>
  <c r="O79" i="3"/>
  <c r="K80" i="3"/>
  <c r="M80" i="3"/>
  <c r="O80" i="3"/>
  <c r="K81" i="3"/>
  <c r="M81" i="3"/>
  <c r="O81" i="3"/>
  <c r="K82" i="3"/>
  <c r="M82" i="3"/>
  <c r="O82" i="3"/>
  <c r="K83" i="3"/>
  <c r="M83" i="3"/>
  <c r="O83" i="3"/>
  <c r="K84" i="3"/>
  <c r="M84" i="3"/>
  <c r="O84" i="3"/>
  <c r="K85" i="3"/>
  <c r="M85" i="3"/>
  <c r="M177" i="3" s="1"/>
  <c r="O85" i="3"/>
  <c r="K86" i="3"/>
  <c r="M86" i="3"/>
  <c r="O86" i="3"/>
  <c r="K87" i="3"/>
  <c r="M87" i="3"/>
  <c r="O87" i="3"/>
  <c r="K88" i="3"/>
  <c r="M88" i="3"/>
  <c r="O88" i="3"/>
  <c r="K89" i="3"/>
  <c r="M89" i="3"/>
  <c r="O89" i="3"/>
  <c r="C90" i="3"/>
  <c r="D90" i="3"/>
  <c r="E90" i="3"/>
  <c r="F90" i="3"/>
  <c r="G90" i="3"/>
  <c r="H90" i="3"/>
  <c r="I90" i="3"/>
  <c r="K97" i="3"/>
  <c r="M97" i="3"/>
  <c r="M121" i="3" s="1"/>
  <c r="K98" i="3"/>
  <c r="M98" i="3"/>
  <c r="O98" i="3"/>
  <c r="K99" i="3"/>
  <c r="O99" i="3" s="1"/>
  <c r="M99" i="3"/>
  <c r="K100" i="3"/>
  <c r="O100" i="3" s="1"/>
  <c r="M100" i="3"/>
  <c r="M161" i="3" s="1"/>
  <c r="K101" i="3"/>
  <c r="M101" i="3"/>
  <c r="O101" i="3"/>
  <c r="K102" i="3"/>
  <c r="M102" i="3"/>
  <c r="O102" i="3"/>
  <c r="K103" i="3"/>
  <c r="O103" i="3" s="1"/>
  <c r="P103" i="3" s="1"/>
  <c r="M103" i="3"/>
  <c r="K104" i="3"/>
  <c r="M104" i="3"/>
  <c r="K105" i="3"/>
  <c r="O105" i="3" s="1"/>
  <c r="M105" i="3"/>
  <c r="K106" i="3"/>
  <c r="M106" i="3"/>
  <c r="O106" i="3"/>
  <c r="K107" i="3"/>
  <c r="O107" i="3" s="1"/>
  <c r="M107" i="3"/>
  <c r="K108" i="3"/>
  <c r="M108" i="3"/>
  <c r="M169" i="3" s="1"/>
  <c r="K109" i="3"/>
  <c r="M109" i="3"/>
  <c r="O109" i="3"/>
  <c r="K110" i="3"/>
  <c r="M110" i="3"/>
  <c r="O110" i="3"/>
  <c r="K111" i="3"/>
  <c r="M111" i="3"/>
  <c r="O111" i="3"/>
  <c r="K112" i="3"/>
  <c r="O112" i="3" s="1"/>
  <c r="M112" i="3"/>
  <c r="K113" i="3"/>
  <c r="M113" i="3"/>
  <c r="O113" i="3"/>
  <c r="K114" i="3"/>
  <c r="M114" i="3"/>
  <c r="O114" i="3"/>
  <c r="K115" i="3"/>
  <c r="O115" i="3" s="1"/>
  <c r="M115" i="3"/>
  <c r="K116" i="3"/>
  <c r="M116" i="3"/>
  <c r="O116" i="3"/>
  <c r="K117" i="3"/>
  <c r="M117" i="3"/>
  <c r="O117" i="3"/>
  <c r="K118" i="3"/>
  <c r="M118" i="3"/>
  <c r="O118" i="3"/>
  <c r="K119" i="3"/>
  <c r="O119" i="3" s="1"/>
  <c r="M119" i="3"/>
  <c r="M180" i="3" s="1"/>
  <c r="K120" i="3"/>
  <c r="O120" i="3" s="1"/>
  <c r="M120" i="3"/>
  <c r="C121" i="3"/>
  <c r="D121" i="3"/>
  <c r="E121" i="3"/>
  <c r="F121" i="3"/>
  <c r="G121" i="3"/>
  <c r="H121" i="3"/>
  <c r="I121" i="3"/>
  <c r="H125" i="3"/>
  <c r="I125" i="3"/>
  <c r="K127" i="3"/>
  <c r="M127" i="3"/>
  <c r="M151" i="3" s="1"/>
  <c r="O127" i="3"/>
  <c r="K128" i="3"/>
  <c r="O128" i="3" s="1"/>
  <c r="M128" i="3"/>
  <c r="K129" i="3"/>
  <c r="O129" i="3" s="1"/>
  <c r="M129" i="3"/>
  <c r="K130" i="3"/>
  <c r="M130" i="3"/>
  <c r="O130" i="3"/>
  <c r="K131" i="3"/>
  <c r="K151" i="3" s="1"/>
  <c r="M131" i="3"/>
  <c r="K132" i="3"/>
  <c r="O132" i="3" s="1"/>
  <c r="M132" i="3"/>
  <c r="K133" i="3"/>
  <c r="M133" i="3"/>
  <c r="O133" i="3"/>
  <c r="P133" i="3" s="1"/>
  <c r="K134" i="3"/>
  <c r="O134" i="3" s="1"/>
  <c r="M134" i="3"/>
  <c r="K135" i="3"/>
  <c r="M135" i="3"/>
  <c r="O135" i="3"/>
  <c r="K136" i="3"/>
  <c r="O136" i="3" s="1"/>
  <c r="M136" i="3"/>
  <c r="K137" i="3"/>
  <c r="M137" i="3"/>
  <c r="O137" i="3"/>
  <c r="K138" i="3"/>
  <c r="O138" i="3" s="1"/>
  <c r="M138" i="3"/>
  <c r="K139" i="3"/>
  <c r="M139" i="3"/>
  <c r="O139" i="3"/>
  <c r="K140" i="3"/>
  <c r="O140" i="3" s="1"/>
  <c r="M140" i="3"/>
  <c r="K141" i="3"/>
  <c r="M141" i="3"/>
  <c r="O141" i="3"/>
  <c r="K142" i="3"/>
  <c r="O142" i="3" s="1"/>
  <c r="M142" i="3"/>
  <c r="K143" i="3"/>
  <c r="M143" i="3"/>
  <c r="O143" i="3"/>
  <c r="K144" i="3"/>
  <c r="O144" i="3" s="1"/>
  <c r="M144" i="3"/>
  <c r="K145" i="3"/>
  <c r="M145" i="3"/>
  <c r="O145" i="3"/>
  <c r="K146" i="3"/>
  <c r="O146" i="3" s="1"/>
  <c r="M146" i="3"/>
  <c r="K147" i="3"/>
  <c r="M147" i="3"/>
  <c r="O147" i="3"/>
  <c r="K148" i="3"/>
  <c r="O148" i="3" s="1"/>
  <c r="M148" i="3"/>
  <c r="K149" i="3"/>
  <c r="M149" i="3"/>
  <c r="O149" i="3"/>
  <c r="K150" i="3"/>
  <c r="M150" i="3"/>
  <c r="O150" i="3"/>
  <c r="C151" i="3"/>
  <c r="D151" i="3"/>
  <c r="E151" i="3"/>
  <c r="F151" i="3"/>
  <c r="G151" i="3"/>
  <c r="H151" i="3"/>
  <c r="I151" i="3"/>
  <c r="B154" i="3"/>
  <c r="C158" i="3"/>
  <c r="C182" i="3" s="1"/>
  <c r="D158" i="3"/>
  <c r="E158" i="3"/>
  <c r="E182" i="3" s="1"/>
  <c r="F158" i="3"/>
  <c r="G158" i="3"/>
  <c r="G182" i="3" s="1"/>
  <c r="H158" i="3"/>
  <c r="H182" i="3" s="1"/>
  <c r="I158" i="3"/>
  <c r="C159" i="3"/>
  <c r="K159" i="3" s="1"/>
  <c r="D159" i="3"/>
  <c r="E159" i="3"/>
  <c r="F159" i="3"/>
  <c r="G159" i="3"/>
  <c r="H159" i="3"/>
  <c r="I159" i="3"/>
  <c r="M159" i="3"/>
  <c r="C160" i="3"/>
  <c r="K160" i="3" s="1"/>
  <c r="O160" i="3" s="1"/>
  <c r="D160" i="3"/>
  <c r="E160" i="3"/>
  <c r="F160" i="3"/>
  <c r="G160" i="3"/>
  <c r="H160" i="3"/>
  <c r="I160" i="3"/>
  <c r="I182" i="3" s="1"/>
  <c r="C161" i="3"/>
  <c r="D161" i="3"/>
  <c r="E161" i="3"/>
  <c r="F161" i="3"/>
  <c r="G161" i="3"/>
  <c r="K161" i="3" s="1"/>
  <c r="O161" i="3" s="1"/>
  <c r="H161" i="3"/>
  <c r="I161" i="3"/>
  <c r="C162" i="3"/>
  <c r="K162" i="3" s="1"/>
  <c r="O162" i="3" s="1"/>
  <c r="D162" i="3"/>
  <c r="E162" i="3"/>
  <c r="F162" i="3"/>
  <c r="G162" i="3"/>
  <c r="H162" i="3"/>
  <c r="I162" i="3"/>
  <c r="M162" i="3"/>
  <c r="C163" i="3"/>
  <c r="K163" i="3" s="1"/>
  <c r="D163" i="3"/>
  <c r="E163" i="3"/>
  <c r="F163" i="3"/>
  <c r="G163" i="3"/>
  <c r="H163" i="3"/>
  <c r="I163" i="3"/>
  <c r="M163" i="3"/>
  <c r="C164" i="3"/>
  <c r="K164" i="3" s="1"/>
  <c r="O164" i="3" s="1"/>
  <c r="P164" i="3" s="1"/>
  <c r="D164" i="3"/>
  <c r="E164" i="3"/>
  <c r="F164" i="3"/>
  <c r="G164" i="3"/>
  <c r="H164" i="3"/>
  <c r="I164" i="3"/>
  <c r="C165" i="3"/>
  <c r="K165" i="3" s="1"/>
  <c r="D165" i="3"/>
  <c r="E165" i="3"/>
  <c r="F165" i="3"/>
  <c r="G165" i="3"/>
  <c r="H165" i="3"/>
  <c r="I165" i="3"/>
  <c r="C166" i="3"/>
  <c r="K166" i="3" s="1"/>
  <c r="D166" i="3"/>
  <c r="E166" i="3"/>
  <c r="F166" i="3"/>
  <c r="G166" i="3"/>
  <c r="H166" i="3"/>
  <c r="I166" i="3"/>
  <c r="M166" i="3"/>
  <c r="C167" i="3"/>
  <c r="K167" i="3" s="1"/>
  <c r="O167" i="3" s="1"/>
  <c r="D167" i="3"/>
  <c r="E167" i="3"/>
  <c r="F167" i="3"/>
  <c r="G167" i="3"/>
  <c r="H167" i="3"/>
  <c r="I167" i="3"/>
  <c r="M167" i="3"/>
  <c r="C168" i="3"/>
  <c r="K168" i="3" s="1"/>
  <c r="O168" i="3" s="1"/>
  <c r="D168" i="3"/>
  <c r="E168" i="3"/>
  <c r="F168" i="3"/>
  <c r="G168" i="3"/>
  <c r="H168" i="3"/>
  <c r="I168" i="3"/>
  <c r="M168" i="3"/>
  <c r="C169" i="3"/>
  <c r="D169" i="3"/>
  <c r="E169" i="3"/>
  <c r="F169" i="3"/>
  <c r="G169" i="3"/>
  <c r="H169" i="3"/>
  <c r="I169" i="3"/>
  <c r="K169" i="3"/>
  <c r="O169" i="3" s="1"/>
  <c r="C170" i="3"/>
  <c r="D170" i="3"/>
  <c r="E170" i="3"/>
  <c r="F170" i="3"/>
  <c r="G170" i="3"/>
  <c r="K170" i="3" s="1"/>
  <c r="O170" i="3" s="1"/>
  <c r="H170" i="3"/>
  <c r="I170" i="3"/>
  <c r="M170" i="3"/>
  <c r="C171" i="3"/>
  <c r="D171" i="3"/>
  <c r="K171" i="3" s="1"/>
  <c r="O171" i="3" s="1"/>
  <c r="E171" i="3"/>
  <c r="F171" i="3"/>
  <c r="G171" i="3"/>
  <c r="H171" i="3"/>
  <c r="I171" i="3"/>
  <c r="C172" i="3"/>
  <c r="K172" i="3" s="1"/>
  <c r="D172" i="3"/>
  <c r="E172" i="3"/>
  <c r="F172" i="3"/>
  <c r="G172" i="3"/>
  <c r="H172" i="3"/>
  <c r="I172" i="3"/>
  <c r="C173" i="3"/>
  <c r="K173" i="3" s="1"/>
  <c r="D173" i="3"/>
  <c r="E173" i="3"/>
  <c r="F173" i="3"/>
  <c r="G173" i="3"/>
  <c r="H173" i="3"/>
  <c r="I173" i="3"/>
  <c r="C174" i="3"/>
  <c r="K174" i="3" s="1"/>
  <c r="D174" i="3"/>
  <c r="E174" i="3"/>
  <c r="F174" i="3"/>
  <c r="G174" i="3"/>
  <c r="H174" i="3"/>
  <c r="I174" i="3"/>
  <c r="M174" i="3"/>
  <c r="C175" i="3"/>
  <c r="K175" i="3" s="1"/>
  <c r="O175" i="3" s="1"/>
  <c r="D175" i="3"/>
  <c r="E175" i="3"/>
  <c r="F175" i="3"/>
  <c r="G175" i="3"/>
  <c r="H175" i="3"/>
  <c r="I175" i="3"/>
  <c r="M175" i="3"/>
  <c r="C176" i="3"/>
  <c r="K176" i="3" s="1"/>
  <c r="O176" i="3" s="1"/>
  <c r="D176" i="3"/>
  <c r="E176" i="3"/>
  <c r="F176" i="3"/>
  <c r="G176" i="3"/>
  <c r="H176" i="3"/>
  <c r="I176" i="3"/>
  <c r="M176" i="3"/>
  <c r="C177" i="3"/>
  <c r="D177" i="3"/>
  <c r="E177" i="3"/>
  <c r="F177" i="3"/>
  <c r="G177" i="3"/>
  <c r="H177" i="3"/>
  <c r="I177" i="3"/>
  <c r="K177" i="3"/>
  <c r="C178" i="3"/>
  <c r="D178" i="3"/>
  <c r="E178" i="3"/>
  <c r="F178" i="3"/>
  <c r="G178" i="3"/>
  <c r="K178" i="3" s="1"/>
  <c r="O178" i="3" s="1"/>
  <c r="H178" i="3"/>
  <c r="I178" i="3"/>
  <c r="C179" i="3"/>
  <c r="D179" i="3"/>
  <c r="K179" i="3" s="1"/>
  <c r="E179" i="3"/>
  <c r="F179" i="3"/>
  <c r="G179" i="3"/>
  <c r="H179" i="3"/>
  <c r="I179" i="3"/>
  <c r="C180" i="3"/>
  <c r="D180" i="3"/>
  <c r="E180" i="3"/>
  <c r="F180" i="3"/>
  <c r="G180" i="3"/>
  <c r="H180" i="3"/>
  <c r="I180" i="3"/>
  <c r="K180" i="3"/>
  <c r="O180" i="3" s="1"/>
  <c r="C181" i="3"/>
  <c r="K181" i="3" s="1"/>
  <c r="O181" i="3" s="1"/>
  <c r="D181" i="3"/>
  <c r="E181" i="3"/>
  <c r="F181" i="3"/>
  <c r="G181" i="3"/>
  <c r="H181" i="3"/>
  <c r="I181" i="3"/>
  <c r="M181" i="3"/>
  <c r="F182" i="3"/>
  <c r="J5" i="320"/>
  <c r="K5" i="320"/>
  <c r="J6" i="320"/>
  <c r="K6" i="320"/>
  <c r="J7" i="320"/>
  <c r="K7" i="320"/>
  <c r="J8" i="320"/>
  <c r="K8" i="320"/>
  <c r="J9" i="320"/>
  <c r="K9" i="320"/>
  <c r="J10" i="320"/>
  <c r="K10" i="320"/>
  <c r="J11" i="320"/>
  <c r="K11" i="320"/>
  <c r="J12" i="320"/>
  <c r="K12" i="320"/>
  <c r="J13" i="320"/>
  <c r="K13" i="320"/>
  <c r="J14" i="320"/>
  <c r="K14" i="320"/>
  <c r="J15" i="320"/>
  <c r="K15" i="320"/>
  <c r="J16" i="320"/>
  <c r="K16" i="320"/>
  <c r="J17" i="320"/>
  <c r="K17" i="320"/>
  <c r="J18" i="320"/>
  <c r="K18" i="320"/>
  <c r="J19" i="320"/>
  <c r="K19" i="320"/>
  <c r="J20" i="320"/>
  <c r="K20" i="320"/>
  <c r="J21" i="320"/>
  <c r="K21" i="320"/>
  <c r="J22" i="320"/>
  <c r="K22" i="320"/>
  <c r="J23" i="320"/>
  <c r="K23" i="320"/>
  <c r="K24" i="320"/>
  <c r="J25" i="320"/>
  <c r="K25" i="320"/>
  <c r="J26" i="320"/>
  <c r="K26" i="320"/>
  <c r="J27" i="320"/>
  <c r="K27" i="320"/>
  <c r="J28" i="320"/>
  <c r="K28" i="320"/>
  <c r="D29" i="320"/>
  <c r="E29" i="320"/>
  <c r="N29" i="320"/>
  <c r="O29" i="320"/>
  <c r="O166" i="3" l="1"/>
  <c r="P134" i="3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O173" i="3"/>
  <c r="O163" i="3"/>
  <c r="O172" i="3"/>
  <c r="O179" i="3"/>
  <c r="O174" i="3"/>
  <c r="O167" i="6"/>
  <c r="Q42" i="3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O165" i="3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O177" i="3"/>
  <c r="O185" i="6"/>
  <c r="O173" i="6"/>
  <c r="K122" i="6"/>
  <c r="O101" i="6"/>
  <c r="O59" i="6"/>
  <c r="O36" i="6"/>
  <c r="K60" i="6"/>
  <c r="O39" i="6"/>
  <c r="M179" i="3"/>
  <c r="M171" i="3"/>
  <c r="O57" i="3"/>
  <c r="O53" i="3"/>
  <c r="K29" i="3"/>
  <c r="O7" i="3"/>
  <c r="I187" i="6"/>
  <c r="K163" i="6"/>
  <c r="O70" i="6"/>
  <c r="O71" i="6"/>
  <c r="O67" i="6"/>
  <c r="K91" i="6"/>
  <c r="O24" i="6"/>
  <c r="O25" i="6"/>
  <c r="E9" i="2"/>
  <c r="E16" i="2" s="1"/>
  <c r="D9" i="21254"/>
  <c r="E9" i="21254"/>
  <c r="F9" i="21254"/>
  <c r="H9" i="21254" s="1"/>
  <c r="O104" i="3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P20" i="3"/>
  <c r="O16" i="3"/>
  <c r="O113" i="6"/>
  <c r="O114" i="6"/>
  <c r="L19" i="21254"/>
  <c r="M19" i="21254" s="1"/>
  <c r="N15" i="21254"/>
  <c r="K158" i="3"/>
  <c r="O108" i="3"/>
  <c r="K121" i="3"/>
  <c r="O71" i="3"/>
  <c r="O54" i="3"/>
  <c r="O50" i="3"/>
  <c r="O37" i="3"/>
  <c r="O27" i="3"/>
  <c r="O86" i="6"/>
  <c r="O87" i="6"/>
  <c r="O83" i="6"/>
  <c r="O51" i="6"/>
  <c r="O52" i="6"/>
  <c r="O48" i="6"/>
  <c r="G17" i="21254"/>
  <c r="D11" i="21254"/>
  <c r="E11" i="21254"/>
  <c r="D182" i="3"/>
  <c r="M158" i="3"/>
  <c r="M182" i="3" s="1"/>
  <c r="O46" i="3"/>
  <c r="O42" i="3"/>
  <c r="M29" i="3"/>
  <c r="O147" i="6"/>
  <c r="O148" i="6"/>
  <c r="O131" i="6"/>
  <c r="O132" i="6"/>
  <c r="E14" i="2"/>
  <c r="E14" i="12"/>
  <c r="F17" i="12" s="1"/>
  <c r="M178" i="3"/>
  <c r="O97" i="3"/>
  <c r="O39" i="3"/>
  <c r="P18" i="3"/>
  <c r="K184" i="6"/>
  <c r="O184" i="6" s="1"/>
  <c r="O57" i="6"/>
  <c r="O16" i="6"/>
  <c r="O17" i="6"/>
  <c r="K23" i="2"/>
  <c r="K32" i="2" s="1"/>
  <c r="K90" i="3"/>
  <c r="O66" i="3"/>
  <c r="M90" i="3"/>
  <c r="F187" i="6"/>
  <c r="M7" i="12"/>
  <c r="M9" i="12" s="1"/>
  <c r="E3" i="12"/>
  <c r="O131" i="3"/>
  <c r="K59" i="3"/>
  <c r="O58" i="3"/>
  <c r="P41" i="3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21" i="3"/>
  <c r="O19" i="3"/>
  <c r="O18" i="3"/>
  <c r="K180" i="6"/>
  <c r="O180" i="6" s="1"/>
  <c r="O152" i="6"/>
  <c r="O145" i="6"/>
  <c r="O139" i="6"/>
  <c r="O140" i="6"/>
  <c r="O136" i="6"/>
  <c r="O129" i="6"/>
  <c r="O121" i="6"/>
  <c r="O98" i="6"/>
  <c r="O118" i="6"/>
  <c r="O111" i="6"/>
  <c r="O105" i="6"/>
  <c r="O106" i="6"/>
  <c r="O102" i="6"/>
  <c r="O78" i="6"/>
  <c r="O79" i="6"/>
  <c r="O75" i="6"/>
  <c r="O43" i="6"/>
  <c r="O44" i="6"/>
  <c r="O40" i="6"/>
  <c r="M60" i="6"/>
  <c r="S31" i="2"/>
  <c r="E187" i="6"/>
  <c r="K153" i="6"/>
  <c r="D17" i="21254"/>
  <c r="E17" i="21254"/>
  <c r="D13" i="21254"/>
  <c r="E13" i="21254"/>
  <c r="F13" i="21254"/>
  <c r="H13" i="21254" s="1"/>
  <c r="O72" i="3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26" i="3"/>
  <c r="P12" i="3"/>
  <c r="Q12" i="3" s="1"/>
  <c r="P13" i="3"/>
  <c r="O6" i="3"/>
  <c r="K181" i="6"/>
  <c r="K178" i="6"/>
  <c r="O178" i="6" s="1"/>
  <c r="K176" i="6"/>
  <c r="O176" i="6" s="1"/>
  <c r="K174" i="6"/>
  <c r="O174" i="6" s="1"/>
  <c r="K172" i="6"/>
  <c r="O172" i="6" s="1"/>
  <c r="K170" i="6"/>
  <c r="O170" i="6" s="1"/>
  <c r="K168" i="6"/>
  <c r="O168" i="6" s="1"/>
  <c r="K166" i="6"/>
  <c r="O166" i="6" s="1"/>
  <c r="D187" i="6"/>
  <c r="K164" i="6"/>
  <c r="O164" i="6" s="1"/>
  <c r="M153" i="6"/>
  <c r="M122" i="6"/>
  <c r="O84" i="6"/>
  <c r="O49" i="6"/>
  <c r="M176" i="6"/>
  <c r="M187" i="6" s="1"/>
  <c r="O8" i="6"/>
  <c r="O9" i="6"/>
  <c r="O5" i="6"/>
  <c r="K29" i="6"/>
  <c r="K30" i="12"/>
  <c r="K32" i="12" s="1"/>
  <c r="Q29" i="2"/>
  <c r="M18" i="21254"/>
  <c r="N18" i="21254" s="1"/>
  <c r="N21" i="21254" s="1"/>
  <c r="L20" i="21254"/>
  <c r="M20" i="21254" s="1"/>
  <c r="D7" i="21254"/>
  <c r="E7" i="21254"/>
  <c r="G18" i="21254"/>
  <c r="G12" i="21254"/>
  <c r="G8" i="21254"/>
  <c r="L3" i="2"/>
  <c r="L5" i="2" s="1"/>
  <c r="F18" i="21254"/>
  <c r="H18" i="21254" s="1"/>
  <c r="F12" i="21254"/>
  <c r="H12" i="21254" s="1"/>
  <c r="F8" i="21254"/>
  <c r="H8" i="21254" s="1"/>
  <c r="O165" i="6" l="1"/>
  <c r="O181" i="6"/>
  <c r="O177" i="6"/>
  <c r="K182" i="3"/>
  <c r="O158" i="3"/>
  <c r="O159" i="3"/>
  <c r="P104" i="3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O182" i="6"/>
  <c r="I11" i="12"/>
  <c r="I11" i="2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O169" i="6"/>
  <c r="O175" i="6"/>
  <c r="E9" i="12"/>
  <c r="E16" i="12" s="1"/>
  <c r="L3" i="12"/>
  <c r="L5" i="12" s="1"/>
  <c r="O163" i="6"/>
  <c r="K187" i="6"/>
  <c r="E19" i="2"/>
  <c r="E18" i="2"/>
  <c r="O179" i="6"/>
  <c r="O171" i="6"/>
  <c r="E25" i="2" l="1"/>
  <c r="E26" i="2" s="1"/>
  <c r="E25" i="12"/>
  <c r="E26" i="12" s="1"/>
  <c r="E23" i="2"/>
  <c r="E24" i="2" s="1"/>
  <c r="E19" i="12"/>
  <c r="E23" i="12" s="1"/>
  <c r="E24" i="12" s="1"/>
  <c r="E18" i="12"/>
</calcChain>
</file>

<file path=xl/sharedStrings.xml><?xml version="1.0" encoding="utf-8"?>
<sst xmlns="http://schemas.openxmlformats.org/spreadsheetml/2006/main" count="442" uniqueCount="185">
  <si>
    <t>Enter Remote Generation:</t>
  </si>
  <si>
    <t>SPS Firm:</t>
  </si>
  <si>
    <t>Total Generation for Load:</t>
  </si>
  <si>
    <t>PNM Contingent:</t>
  </si>
  <si>
    <t>TNP Firm:</t>
  </si>
  <si>
    <t>Projected Control Area Load:</t>
  </si>
  <si>
    <t>Total Load Next Hour:</t>
  </si>
  <si>
    <t>Enter Total Spin Required:</t>
  </si>
  <si>
    <t>Enter Firm Price:</t>
  </si>
  <si>
    <t>PNM Contract:</t>
  </si>
  <si>
    <t>TNP Contract:</t>
  </si>
  <si>
    <t>SPS Contract:</t>
  </si>
  <si>
    <t>Amount of Non-Spin:</t>
  </si>
  <si>
    <t>Enter Non-Firm Price:</t>
  </si>
  <si>
    <t>Total Cost of Firm:</t>
  </si>
  <si>
    <t>Total Cost of Non-Firm:</t>
  </si>
  <si>
    <t>ECONOMIC CALCULATOR FOR FIRM VERSUS NON-FIRM PURCHASE</t>
  </si>
  <si>
    <t>MWH</t>
  </si>
  <si>
    <t>$/MWH</t>
  </si>
  <si>
    <t>Total:</t>
  </si>
  <si>
    <t>Firm Block 1:</t>
  </si>
  <si>
    <t>Firm Block 2:</t>
  </si>
  <si>
    <t>Firm Block 4:</t>
  </si>
  <si>
    <t>Weighted Avg. Purchase Power Calculator</t>
  </si>
  <si>
    <t>Non-Firm Block 1:</t>
  </si>
  <si>
    <t>Non-Firm Block 2:</t>
  </si>
  <si>
    <t>Non-Firm Block 3:</t>
  </si>
  <si>
    <t>Non-Firm Block 4:</t>
  </si>
  <si>
    <t>Firm Block 3:</t>
  </si>
  <si>
    <t>Firm Block 5:</t>
  </si>
  <si>
    <t>Non-Firm Block 5:</t>
  </si>
  <si>
    <t>Non-Firm Sales:</t>
  </si>
  <si>
    <t>IID Firm + Contingent:</t>
  </si>
  <si>
    <t>Non-Firm Purchases into EPE:</t>
  </si>
  <si>
    <t>Firm Purchases into EPE:</t>
  </si>
  <si>
    <t>Firm Sales:</t>
  </si>
  <si>
    <t>Spin Required:</t>
  </si>
  <si>
    <t>Non-Spin Required:</t>
  </si>
  <si>
    <t>Spin Available/(Deficient):</t>
  </si>
  <si>
    <t>IID Firm Contract:</t>
  </si>
  <si>
    <t xml:space="preserve">NOTE: </t>
  </si>
  <si>
    <t>*Amount of Spin:</t>
  </si>
  <si>
    <t>* ACTUAL SPIN SHOW MAY BE LESS SINCE UNIT RAMP RATES ARE NOT CONSIDERED.</t>
  </si>
  <si>
    <t>MWH of Firm Avail./(Deficient):</t>
  </si>
  <si>
    <t>MWH of Non-Firm Avail./(Deficient):</t>
  </si>
  <si>
    <t>Total Spin: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</si>
  <si>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</si>
  <si>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</si>
  <si>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</si>
  <si>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</si>
  <si>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</si>
  <si>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</si>
  <si>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</si>
  <si>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Hour</t>
  </si>
  <si>
    <t xml:space="preserve">Total </t>
  </si>
  <si>
    <t>Week 1</t>
  </si>
  <si>
    <t>Week 2</t>
  </si>
  <si>
    <t>Week 4</t>
  </si>
  <si>
    <t>Week 3</t>
  </si>
  <si>
    <t>Weekly Average</t>
  </si>
  <si>
    <t>Week 5</t>
  </si>
  <si>
    <t xml:space="preserve">Loads are averaged from the previous five weeks </t>
  </si>
  <si>
    <t>Enter Local Generation Avail:</t>
  </si>
  <si>
    <t>Change</t>
  </si>
  <si>
    <t>Spin Required + Regulating Margin:</t>
  </si>
  <si>
    <t>Temps hi</t>
  </si>
  <si>
    <t xml:space="preserve">low </t>
  </si>
  <si>
    <t>UnLoaded</t>
  </si>
  <si>
    <t>Local Avail.</t>
  </si>
  <si>
    <t>Gen.</t>
  </si>
  <si>
    <t>Eddy</t>
  </si>
  <si>
    <t>-load</t>
  </si>
  <si>
    <t>Local</t>
  </si>
  <si>
    <t>Current Hour =</t>
  </si>
  <si>
    <t>Next Hour =</t>
  </si>
  <si>
    <t>Start</t>
  </si>
  <si>
    <t>5 HR Run</t>
  </si>
  <si>
    <t>7 HR Run</t>
  </si>
  <si>
    <t>Trans</t>
  </si>
  <si>
    <t>Lambda  =</t>
  </si>
  <si>
    <t>6 HR Run</t>
  </si>
  <si>
    <t>4 HR Run</t>
  </si>
  <si>
    <t>Margin</t>
  </si>
  <si>
    <t>Adder</t>
  </si>
  <si>
    <t>HE</t>
  </si>
  <si>
    <t>SPS or TNP</t>
  </si>
  <si>
    <t>8 HR Run</t>
  </si>
  <si>
    <t>9 HR Run</t>
  </si>
  <si>
    <t>10 HR Run</t>
  </si>
  <si>
    <t>Position</t>
  </si>
  <si>
    <t>Remote</t>
  </si>
  <si>
    <t>Total</t>
  </si>
  <si>
    <t>IID</t>
  </si>
  <si>
    <t>TNP</t>
  </si>
  <si>
    <t>PNM</t>
  </si>
  <si>
    <t>Load</t>
  </si>
  <si>
    <t>Difference</t>
  </si>
  <si>
    <t>Purchase</t>
  </si>
  <si>
    <t>Lambda</t>
  </si>
  <si>
    <t>PNM's Contingent</t>
  </si>
  <si>
    <t>Rio 7= .25</t>
  </si>
  <si>
    <t>Rio 8 =.75</t>
  </si>
  <si>
    <t>Gross output</t>
  </si>
  <si>
    <t>Sample</t>
  </si>
  <si>
    <t>Ace</t>
  </si>
  <si>
    <t>d.</t>
  </si>
  <si>
    <t>11 HR Run</t>
  </si>
  <si>
    <t>12 HR Run</t>
  </si>
  <si>
    <t>13 HR Run</t>
  </si>
  <si>
    <t>14 HR Run</t>
  </si>
  <si>
    <t>15 HR Run</t>
  </si>
  <si>
    <t>16 HR Run</t>
  </si>
  <si>
    <t>Rio 7*</t>
  </si>
  <si>
    <t>Rio 8*</t>
  </si>
  <si>
    <t>*based on high numbers on Manual</t>
  </si>
  <si>
    <t>cost</t>
  </si>
  <si>
    <t>c.</t>
  </si>
  <si>
    <t>b.</t>
  </si>
  <si>
    <t>a.</t>
  </si>
  <si>
    <t>The unit high numbers 50 and 150 came from Pete.</t>
  </si>
  <si>
    <t>Enter Blue Numbers</t>
  </si>
  <si>
    <t xml:space="preserve"> At the time of the contract these were the net numbers for unit 7 and 8</t>
  </si>
  <si>
    <t>Copper mw</t>
  </si>
  <si>
    <t>GAS $</t>
  </si>
  <si>
    <t>Unit  1</t>
  </si>
  <si>
    <t>FC</t>
  </si>
  <si>
    <t>PV</t>
  </si>
  <si>
    <t>Output</t>
  </si>
  <si>
    <t>Highs'</t>
  </si>
  <si>
    <t>Copper</t>
  </si>
  <si>
    <t>Bid Amt (MW)</t>
  </si>
  <si>
    <t>Awarded Capacity (MW)</t>
  </si>
  <si>
    <t>Spin</t>
  </si>
  <si>
    <t>Total Contingency</t>
  </si>
  <si>
    <t xml:space="preserve">California Spin </t>
  </si>
  <si>
    <t>California Replacement</t>
  </si>
  <si>
    <t>PST HE</t>
  </si>
  <si>
    <t>MST HE</t>
  </si>
  <si>
    <t>RG 7 entitlement = 0.25 * 70MW * ((48-3)/50) = 15.75 or  16 MW rounded.</t>
  </si>
  <si>
    <t>RG 8 entitlement = 0.75 * 70 MW * ((100-5)/150) = 33.25 or 33 MW rounded.</t>
  </si>
  <si>
    <t>Total of 49 MW's</t>
  </si>
  <si>
    <t>PNM's Contingent**</t>
  </si>
  <si>
    <r>
      <t>**PNM's total contingent =</t>
    </r>
    <r>
      <rPr>
        <b/>
        <sz val="10"/>
        <rFont val="Arial"/>
        <family val="2"/>
      </rPr>
      <t xml:space="preserve"> 70 with Units @ 100%</t>
    </r>
  </si>
  <si>
    <t>Day AVG</t>
  </si>
  <si>
    <t>WE Avg.</t>
  </si>
  <si>
    <t>(Contingent upon units 7 &amp; 8 number automatically feeds from the calculation tab)</t>
  </si>
  <si>
    <t xml:space="preserve">This calculation is calculated using the current high numbers for unit 7 and 8 </t>
  </si>
  <si>
    <t>% of cap</t>
  </si>
  <si>
    <t xml:space="preserve">Current Maximum Take </t>
  </si>
  <si>
    <t xml:space="preserve">Current Maximum Increase or Decrease </t>
  </si>
  <si>
    <r>
      <t xml:space="preserve">Station Services***  </t>
    </r>
    <r>
      <rPr>
        <b/>
        <sz val="10"/>
        <color indexed="10"/>
        <rFont val="Arial"/>
        <family val="2"/>
      </rPr>
      <t>NET</t>
    </r>
    <r>
      <rPr>
        <sz val="10"/>
        <rFont val="Arial"/>
        <family val="2"/>
      </rPr>
      <t xml:space="preserve">  </t>
    </r>
  </si>
  <si>
    <t>***Station Services Approximately 6%</t>
  </si>
  <si>
    <t xml:space="preserve">      When taking a unit to zero it is important to take out Station Services for that unit</t>
  </si>
  <si>
    <t>Sales   a.</t>
  </si>
  <si>
    <t>GT1</t>
  </si>
  <si>
    <t>GT2</t>
  </si>
  <si>
    <t>GT1S</t>
  </si>
  <si>
    <t>GT2S</t>
  </si>
  <si>
    <t>NM4</t>
  </si>
  <si>
    <t>RR</t>
  </si>
  <si>
    <t>*</t>
  </si>
  <si>
    <t>EPE    Contingency</t>
  </si>
  <si>
    <t>PNM  Reserves</t>
  </si>
  <si>
    <t>Total spin needed to Carry</t>
  </si>
  <si>
    <t>iso</t>
  </si>
  <si>
    <t>Tep/exc</t>
  </si>
  <si>
    <t>net/pre</t>
  </si>
  <si>
    <t>real/time</t>
  </si>
  <si>
    <t>(If total goes over 600 EPE has to wheel back)</t>
  </si>
  <si>
    <t>Spin from Ramp rates</t>
  </si>
  <si>
    <t>unloaded</t>
  </si>
  <si>
    <t>Lost Gen.</t>
  </si>
  <si>
    <t>Reserves:</t>
  </si>
  <si>
    <t xml:space="preserve">DayChange </t>
  </si>
  <si>
    <t>WeChange</t>
  </si>
  <si>
    <t>Scalar</t>
  </si>
  <si>
    <t>* If unit is off put zero's in both places</t>
  </si>
  <si>
    <t>Scaler</t>
  </si>
  <si>
    <t>System avg.  =</t>
  </si>
  <si>
    <t xml:space="preserve">Average </t>
  </si>
  <si>
    <t>Month</t>
  </si>
  <si>
    <t>High</t>
  </si>
  <si>
    <t>Temp.</t>
  </si>
  <si>
    <t xml:space="preserve">Low </t>
  </si>
  <si>
    <t xml:space="preserve"> Nov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</si>
</sst>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  <numFmt numFmtId="168" formatCode="&quot;$&quot;#,##0"/>
    <numFmt numFmtId="169" formatCode="0.0"/>
    <numFmt numFmtId="171" formatCode="0_);[Red]\(0\)"/>
    <numFmt numFmtId="179" formatCode="h"/>
    <numFmt numFmtId="187" formatCode="0;[Red]0"/>
    <numFmt numFmtId="189" formatCode="&quot;$&quot;#,##0.0_);[Red]\(&quot;$&quot;#,##0.0\)"/>
    <numFmt numFmtId="190" formatCode="0.0%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4"/>
      <name val="Arial"/>
      <family val="2"/>
    </font>
    <font>
      <b/>
      <sz val="8"/>
      <name val="Arial"/>
      <family val="2"/>
    </font>
    <font>
      <b/>
      <i/>
      <u val="double"/>
      <sz val="11"/>
      <color indexed="10"/>
      <name val="Arial"/>
      <family val="2"/>
    </font>
    <font>
      <b/>
      <u val="double"/>
      <sz val="10"/>
      <color indexed="8"/>
      <name val="Arial"/>
      <family val="2"/>
    </font>
    <font>
      <sz val="8"/>
      <name val="Arial"/>
      <family val="2"/>
    </font>
    <font>
      <b/>
      <u val="double"/>
      <sz val="10"/>
      <color indexed="10"/>
      <name val="Arial"/>
      <family val="2"/>
    </font>
    <font>
      <b/>
      <sz val="10"/>
      <color indexed="57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Courier"/>
      <family val="3"/>
    </font>
    <font>
      <b/>
      <sz val="14"/>
      <name val="Courier"/>
      <family val="3"/>
    </font>
    <font>
      <b/>
      <sz val="7"/>
      <color indexed="10"/>
      <name val="Courier"/>
      <family val="3"/>
    </font>
    <font>
      <b/>
      <sz val="14"/>
      <color indexed="12"/>
      <name val="Courier"/>
      <family val="3"/>
    </font>
    <font>
      <b/>
      <u/>
      <sz val="10"/>
      <name val="Arial"/>
      <family val="2"/>
    </font>
    <font>
      <b/>
      <sz val="12"/>
      <name val="Courier"/>
      <family val="3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2" borderId="0" xfId="0" applyFill="1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166" fontId="7" fillId="2" borderId="2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166" fontId="7" fillId="2" borderId="4" xfId="0" applyNumberFormat="1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6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3" borderId="5" xfId="0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2" fillId="3" borderId="9" xfId="0" applyFont="1" applyFill="1" applyBorder="1"/>
    <xf numFmtId="0" fontId="0" fillId="3" borderId="10" xfId="0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0" fillId="3" borderId="12" xfId="0" applyFill="1" applyBorder="1"/>
    <xf numFmtId="3" fontId="0" fillId="3" borderId="13" xfId="0" applyNumberFormat="1" applyFill="1" applyBorder="1"/>
    <xf numFmtId="3" fontId="0" fillId="3" borderId="0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4" borderId="14" xfId="0" applyFont="1" applyFill="1" applyBorder="1" applyAlignment="1">
      <alignment horizontal="center"/>
    </xf>
    <xf numFmtId="38" fontId="2" fillId="4" borderId="15" xfId="0" applyNumberFormat="1" applyFont="1" applyFill="1" applyBorder="1"/>
    <xf numFmtId="3" fontId="2" fillId="4" borderId="16" xfId="0" applyNumberFormat="1" applyFont="1" applyFill="1" applyBorder="1"/>
    <xf numFmtId="38" fontId="2" fillId="4" borderId="10" xfId="0" applyNumberFormat="1" applyFont="1" applyFill="1" applyBorder="1"/>
    <xf numFmtId="38" fontId="2" fillId="4" borderId="2" xfId="0" applyNumberFormat="1" applyFont="1" applyFill="1" applyBorder="1"/>
    <xf numFmtId="38" fontId="2" fillId="4" borderId="11" xfId="0" applyNumberFormat="1" applyFont="1" applyFill="1" applyBorder="1"/>
    <xf numFmtId="38" fontId="2" fillId="4" borderId="14" xfId="0" applyNumberFormat="1" applyFont="1" applyFill="1" applyBorder="1"/>
    <xf numFmtId="38" fontId="2" fillId="4" borderId="16" xfId="0" applyNumberFormat="1" applyFont="1" applyFill="1" applyBorder="1"/>
    <xf numFmtId="0" fontId="0" fillId="2" borderId="0" xfId="0" applyFill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3" fillId="2" borderId="7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" fontId="8" fillId="2" borderId="0" xfId="1" applyNumberFormat="1" applyFont="1" applyFill="1" applyBorder="1" applyProtection="1">
      <protection locked="0"/>
    </xf>
    <xf numFmtId="1" fontId="8" fillId="2" borderId="2" xfId="1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0" borderId="9" xfId="0" applyBorder="1" applyProtection="1">
      <protection locked="0"/>
    </xf>
    <xf numFmtId="0" fontId="2" fillId="2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2" fillId="0" borderId="2" xfId="0" applyFont="1" applyBorder="1" applyProtection="1">
      <protection locked="0"/>
    </xf>
    <xf numFmtId="171" fontId="8" fillId="2" borderId="2" xfId="0" applyNumberFormat="1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9" xfId="0" applyFont="1" applyFill="1" applyBorder="1" applyAlignment="1" applyProtection="1">
      <alignment horizontal="right"/>
      <protection locked="0"/>
    </xf>
    <xf numFmtId="171" fontId="8" fillId="3" borderId="10" xfId="0" applyNumberFormat="1" applyFont="1" applyFill="1" applyBorder="1" applyProtection="1">
      <protection locked="0"/>
    </xf>
    <xf numFmtId="166" fontId="10" fillId="2" borderId="2" xfId="0" applyNumberFormat="1" applyFont="1" applyFill="1" applyBorder="1" applyAlignment="1" applyProtection="1">
      <alignment horizontal="right"/>
      <protection locked="0"/>
    </xf>
    <xf numFmtId="0" fontId="3" fillId="3" borderId="6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168" fontId="9" fillId="3" borderId="2" xfId="0" applyNumberFormat="1" applyFont="1" applyFill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4" fillId="4" borderId="9" xfId="0" applyFont="1" applyFill="1" applyBorder="1" applyProtection="1">
      <protection locked="0"/>
    </xf>
    <xf numFmtId="0" fontId="4" fillId="4" borderId="9" xfId="0" applyFont="1" applyFill="1" applyBorder="1" applyAlignment="1" applyProtection="1">
      <alignment horizontal="right"/>
      <protection locked="0"/>
    </xf>
    <xf numFmtId="171" fontId="8" fillId="4" borderId="10" xfId="0" applyNumberFormat="1" applyFont="1" applyFill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right"/>
      <protection locked="0"/>
    </xf>
    <xf numFmtId="168" fontId="9" fillId="4" borderId="1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Protection="1">
      <protection locked="0"/>
    </xf>
    <xf numFmtId="166" fontId="10" fillId="2" borderId="17" xfId="0" applyNumberFormat="1" applyFont="1" applyFill="1" applyBorder="1" applyAlignment="1" applyProtection="1">
      <alignment horizontal="right"/>
      <protection locked="0"/>
    </xf>
    <xf numFmtId="166" fontId="10" fillId="2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4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10" fillId="2" borderId="9" xfId="0" applyNumberFormat="1" applyFont="1" applyFill="1" applyBorder="1" applyProtection="1">
      <protection locked="0"/>
    </xf>
    <xf numFmtId="1" fontId="8" fillId="2" borderId="0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right"/>
    </xf>
    <xf numFmtId="169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16" fillId="2" borderId="0" xfId="0" applyFont="1" applyFill="1" applyProtection="1">
      <protection locked="0"/>
    </xf>
    <xf numFmtId="0" fontId="12" fillId="2" borderId="10" xfId="0" applyFont="1" applyFill="1" applyBorder="1" applyProtection="1">
      <protection locked="0"/>
    </xf>
    <xf numFmtId="0" fontId="12" fillId="2" borderId="2" xfId="0" applyFont="1" applyFill="1" applyBorder="1" applyProtection="1">
      <protection locked="0"/>
    </xf>
    <xf numFmtId="3" fontId="0" fillId="0" borderId="9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7" fontId="2" fillId="0" borderId="0" xfId="0" applyNumberFormat="1" applyFont="1" applyAlignment="1">
      <alignment horizontal="left"/>
    </xf>
    <xf numFmtId="0" fontId="0" fillId="3" borderId="18" xfId="0" applyFill="1" applyBorder="1"/>
    <xf numFmtId="0" fontId="0" fillId="2" borderId="0" xfId="0" applyFill="1" applyAlignment="1" applyProtection="1">
      <alignment horizontal="right"/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0" borderId="0" xfId="0" quotePrefix="1" applyAlignment="1">
      <alignment horizontal="right"/>
    </xf>
    <xf numFmtId="0" fontId="15" fillId="3" borderId="19" xfId="0" applyFont="1" applyFill="1" applyBorder="1" applyAlignment="1">
      <alignment horizontal="center"/>
    </xf>
    <xf numFmtId="0" fontId="0" fillId="2" borderId="0" xfId="0" applyFill="1" applyBorder="1"/>
    <xf numFmtId="0" fontId="18" fillId="2" borderId="0" xfId="0" applyFont="1" applyFill="1" applyAlignment="1" applyProtection="1">
      <alignment horizontal="right"/>
      <protection locked="0"/>
    </xf>
    <xf numFmtId="38" fontId="0" fillId="0" borderId="0" xfId="0" applyNumberFormat="1"/>
    <xf numFmtId="0" fontId="19" fillId="2" borderId="0" xfId="0" applyFont="1" applyFill="1" applyProtection="1">
      <protection locked="0"/>
    </xf>
    <xf numFmtId="0" fontId="20" fillId="2" borderId="0" xfId="0" applyFon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5" xfId="0" applyBorder="1"/>
    <xf numFmtId="0" fontId="0" fillId="0" borderId="6" xfId="0" applyBorder="1"/>
    <xf numFmtId="179" fontId="2" fillId="2" borderId="0" xfId="0" applyNumberFormat="1" applyFont="1" applyFill="1" applyProtection="1">
      <protection locked="0"/>
    </xf>
    <xf numFmtId="0" fontId="17" fillId="2" borderId="20" xfId="0" applyFont="1" applyFill="1" applyBorder="1"/>
    <xf numFmtId="0" fontId="21" fillId="2" borderId="15" xfId="0" applyFont="1" applyFill="1" applyBorder="1"/>
    <xf numFmtId="0" fontId="21" fillId="2" borderId="21" xfId="0" applyFon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0" fillId="3" borderId="9" xfId="0" applyFont="1" applyFill="1" applyBorder="1" applyProtection="1"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" fontId="18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Fill="1" applyBorder="1"/>
    <xf numFmtId="2" fontId="0" fillId="2" borderId="0" xfId="0" applyNumberFormat="1" applyFill="1"/>
    <xf numFmtId="0" fontId="0" fillId="0" borderId="0" xfId="0" applyBorder="1"/>
    <xf numFmtId="8" fontId="0" fillId="2" borderId="0" xfId="0" applyNumberFormat="1" applyFill="1" applyBorder="1"/>
    <xf numFmtId="0" fontId="2" fillId="0" borderId="9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2" borderId="6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2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3" fillId="0" borderId="6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2" fontId="0" fillId="0" borderId="0" xfId="0" applyNumberFormat="1"/>
    <xf numFmtId="8" fontId="0" fillId="0" borderId="0" xfId="0" applyNumberFormat="1"/>
    <xf numFmtId="14" fontId="0" fillId="0" borderId="0" xfId="0" applyNumberFormat="1"/>
    <xf numFmtId="8" fontId="0" fillId="0" borderId="0" xfId="0" applyNumberFormat="1" applyBorder="1"/>
    <xf numFmtId="166" fontId="2" fillId="2" borderId="0" xfId="0" applyNumberFormat="1" applyFont="1" applyFill="1" applyAlignment="1">
      <alignment horizontal="left"/>
    </xf>
    <xf numFmtId="0" fontId="0" fillId="0" borderId="22" xfId="0" applyBorder="1"/>
    <xf numFmtId="2" fontId="0" fillId="0" borderId="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0" borderId="2" xfId="0" applyBorder="1"/>
    <xf numFmtId="1" fontId="2" fillId="0" borderId="6" xfId="0" applyNumberFormat="1" applyFont="1" applyFill="1" applyBorder="1"/>
    <xf numFmtId="0" fontId="0" fillId="0" borderId="7" xfId="0" applyBorder="1"/>
    <xf numFmtId="0" fontId="0" fillId="0" borderId="11" xfId="0" applyBorder="1"/>
    <xf numFmtId="1" fontId="2" fillId="0" borderId="20" xfId="0" applyNumberFormat="1" applyFont="1" applyFill="1" applyBorder="1"/>
    <xf numFmtId="2" fontId="0" fillId="0" borderId="26" xfId="0" applyNumberFormat="1" applyBorder="1"/>
    <xf numFmtId="0" fontId="0" fillId="0" borderId="5" xfId="0" applyFill="1" applyBorder="1"/>
    <xf numFmtId="2" fontId="0" fillId="0" borderId="9" xfId="0" applyNumberFormat="1" applyFill="1" applyBorder="1"/>
    <xf numFmtId="0" fontId="0" fillId="0" borderId="7" xfId="0" applyFill="1" applyBorder="1"/>
    <xf numFmtId="2" fontId="0" fillId="0" borderId="1" xfId="0" applyNumberFormat="1" applyFill="1" applyBorder="1"/>
    <xf numFmtId="8" fontId="2" fillId="0" borderId="0" xfId="0" applyNumberFormat="1" applyFont="1" applyFill="1" applyBorder="1"/>
    <xf numFmtId="8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8" fontId="26" fillId="0" borderId="0" xfId="0" applyNumberFormat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/>
    </xf>
    <xf numFmtId="6" fontId="2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1" fillId="2" borderId="0" xfId="0" applyNumberFormat="1" applyFont="1" applyFill="1" applyProtection="1">
      <protection locked="0"/>
    </xf>
    <xf numFmtId="1" fontId="2" fillId="2" borderId="0" xfId="0" applyNumberFormat="1" applyFont="1" applyFill="1" applyProtection="1">
      <protection locked="0"/>
    </xf>
    <xf numFmtId="38" fontId="0" fillId="0" borderId="0" xfId="0" applyNumberFormat="1" applyFill="1" applyBorder="1"/>
    <xf numFmtId="2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8" fontId="2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7" fillId="2" borderId="1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166" fontId="10" fillId="2" borderId="2" xfId="0" applyNumberFormat="1" applyFont="1" applyFill="1" applyBorder="1" applyProtection="1">
      <protection locked="0"/>
    </xf>
    <xf numFmtId="0" fontId="21" fillId="0" borderId="24" xfId="0" applyFont="1" applyBorder="1" applyAlignment="1">
      <alignment horizontal="center"/>
    </xf>
    <xf numFmtId="9" fontId="21" fillId="0" borderId="22" xfId="0" applyNumberFormat="1" applyFont="1" applyBorder="1"/>
    <xf numFmtId="9" fontId="21" fillId="0" borderId="27" xfId="0" applyNumberFormat="1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/>
    <xf numFmtId="8" fontId="0" fillId="0" borderId="1" xfId="0" applyNumberFormat="1" applyBorder="1"/>
    <xf numFmtId="0" fontId="0" fillId="0" borderId="1" xfId="0" applyBorder="1"/>
    <xf numFmtId="0" fontId="2" fillId="3" borderId="19" xfId="0" applyFont="1" applyFill="1" applyBorder="1" applyAlignment="1">
      <alignment horizontal="center"/>
    </xf>
    <xf numFmtId="166" fontId="27" fillId="2" borderId="0" xfId="0" applyNumberFormat="1" applyFont="1" applyFill="1" applyAlignment="1">
      <alignment horizontal="left"/>
    </xf>
    <xf numFmtId="2" fontId="0" fillId="5" borderId="19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28" fillId="0" borderId="0" xfId="0" applyNumberFormat="1" applyFont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0" fontId="10" fillId="2" borderId="9" xfId="0" applyFont="1" applyFill="1" applyBorder="1" applyProtection="1">
      <protection locked="0"/>
    </xf>
    <xf numFmtId="0" fontId="11" fillId="3" borderId="18" xfId="0" applyFont="1" applyFill="1" applyBorder="1"/>
    <xf numFmtId="44" fontId="21" fillId="2" borderId="2" xfId="2" applyFont="1" applyFill="1" applyBorder="1" applyAlignment="1">
      <alignment horizontal="center"/>
    </xf>
    <xf numFmtId="44" fontId="21" fillId="2" borderId="14" xfId="2" applyFont="1" applyFill="1" applyBorder="1" applyAlignment="1">
      <alignment horizontal="left"/>
    </xf>
    <xf numFmtId="187" fontId="21" fillId="2" borderId="0" xfId="0" applyNumberFormat="1" applyFont="1" applyFill="1" applyBorder="1" applyAlignment="1">
      <alignment horizontal="right"/>
    </xf>
    <xf numFmtId="187" fontId="21" fillId="0" borderId="0" xfId="0" applyNumberFormat="1" applyFont="1" applyFill="1" applyBorder="1" applyAlignment="1">
      <alignment horizontal="right"/>
    </xf>
    <xf numFmtId="187" fontId="29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right"/>
    </xf>
    <xf numFmtId="9" fontId="11" fillId="0" borderId="6" xfId="0" applyNumberFormat="1" applyFont="1" applyFill="1" applyBorder="1" applyAlignment="1">
      <alignment horizontal="right"/>
    </xf>
    <xf numFmtId="0" fontId="29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2" fontId="11" fillId="0" borderId="8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3"/>
    <xf numFmtId="0" fontId="31" fillId="6" borderId="31" xfId="3" applyFont="1" applyFill="1" applyBorder="1" applyAlignment="1">
      <alignment horizontal="center" wrapText="1"/>
    </xf>
    <xf numFmtId="2" fontId="31" fillId="6" borderId="32" xfId="3" applyNumberFormat="1" applyFont="1" applyFill="1" applyBorder="1" applyAlignment="1">
      <alignment horizontal="center"/>
    </xf>
    <xf numFmtId="2" fontId="31" fillId="6" borderId="33" xfId="3" applyNumberFormat="1" applyFont="1" applyFill="1" applyBorder="1" applyAlignment="1">
      <alignment horizontal="center"/>
    </xf>
    <xf numFmtId="0" fontId="30" fillId="0" borderId="34" xfId="3" applyFont="1" applyFill="1" applyBorder="1" applyAlignment="1">
      <alignment horizontal="center" wrapText="1"/>
    </xf>
    <xf numFmtId="0" fontId="30" fillId="0" borderId="35" xfId="3" applyFont="1" applyFill="1" applyBorder="1" applyAlignment="1">
      <alignment horizontal="center" wrapText="1"/>
    </xf>
    <xf numFmtId="2" fontId="30" fillId="0" borderId="36" xfId="3" applyNumberFormat="1" applyFont="1" applyFill="1" applyBorder="1" applyAlignment="1">
      <alignment horizontal="center" wrapText="1"/>
    </xf>
    <xf numFmtId="2" fontId="32" fillId="0" borderId="37" xfId="3" applyNumberFormat="1" applyFont="1" applyFill="1" applyBorder="1" applyAlignment="1">
      <alignment horizontal="center" wrapText="1"/>
    </xf>
    <xf numFmtId="2" fontId="32" fillId="0" borderId="38" xfId="3" applyNumberFormat="1" applyFont="1" applyFill="1" applyBorder="1" applyAlignment="1">
      <alignment horizontal="center" wrapText="1"/>
    </xf>
    <xf numFmtId="2" fontId="32" fillId="0" borderId="39" xfId="3" applyNumberFormat="1" applyFont="1" applyFill="1" applyBorder="1" applyAlignment="1">
      <alignment horizontal="center" wrapText="1"/>
    </xf>
    <xf numFmtId="1" fontId="31" fillId="0" borderId="0" xfId="3" applyNumberFormat="1" applyFont="1" applyBorder="1" applyAlignment="1">
      <alignment horizontal="center"/>
    </xf>
    <xf numFmtId="1" fontId="31" fillId="0" borderId="40" xfId="3" applyNumberFormat="1" applyFont="1" applyBorder="1" applyAlignment="1">
      <alignment horizontal="center"/>
    </xf>
    <xf numFmtId="1" fontId="31" fillId="0" borderId="41" xfId="3" applyNumberFormat="1" applyFont="1" applyBorder="1" applyAlignment="1">
      <alignment horizontal="center"/>
    </xf>
    <xf numFmtId="1" fontId="31" fillId="0" borderId="42" xfId="3" applyNumberFormat="1" applyFont="1" applyBorder="1" applyAlignment="1">
      <alignment horizontal="center"/>
    </xf>
    <xf numFmtId="2" fontId="31" fillId="0" borderId="0" xfId="3" applyNumberFormat="1" applyFont="1" applyFill="1" applyBorder="1" applyAlignment="1">
      <alignment horizontal="center"/>
    </xf>
    <xf numFmtId="0" fontId="2" fillId="0" borderId="0" xfId="3" applyFont="1" applyFill="1" applyBorder="1"/>
    <xf numFmtId="0" fontId="33" fillId="0" borderId="0" xfId="3" applyFont="1" applyFill="1" applyBorder="1" applyAlignment="1">
      <alignment horizontal="center"/>
    </xf>
    <xf numFmtId="1" fontId="33" fillId="0" borderId="43" xfId="3" applyNumberFormat="1" applyFont="1" applyBorder="1" applyAlignment="1">
      <alignment horizontal="center"/>
    </xf>
    <xf numFmtId="1" fontId="33" fillId="0" borderId="44" xfId="3" applyNumberFormat="1" applyFont="1" applyBorder="1" applyAlignment="1">
      <alignment horizontal="center"/>
    </xf>
    <xf numFmtId="1" fontId="33" fillId="0" borderId="45" xfId="3" applyNumberFormat="1" applyFont="1" applyBorder="1" applyAlignment="1">
      <alignment horizontal="center"/>
    </xf>
    <xf numFmtId="2" fontId="33" fillId="0" borderId="42" xfId="3" applyNumberFormat="1" applyFont="1" applyBorder="1" applyAlignment="1">
      <alignment horizontal="center"/>
    </xf>
    <xf numFmtId="0" fontId="2" fillId="0" borderId="9" xfId="3" applyFont="1" applyFill="1" applyBorder="1"/>
    <xf numFmtId="0" fontId="1" fillId="0" borderId="0" xfId="3" applyBorder="1"/>
    <xf numFmtId="0" fontId="1" fillId="0" borderId="46" xfId="3" applyBorder="1"/>
    <xf numFmtId="0" fontId="2" fillId="0" borderId="46" xfId="3" applyFont="1" applyFill="1" applyBorder="1"/>
    <xf numFmtId="1" fontId="22" fillId="0" borderId="13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Protection="1">
      <protection locked="0"/>
    </xf>
    <xf numFmtId="0" fontId="2" fillId="2" borderId="14" xfId="0" applyFont="1" applyFill="1" applyBorder="1"/>
    <xf numFmtId="1" fontId="7" fillId="2" borderId="9" xfId="0" applyNumberFormat="1" applyFont="1" applyFill="1" applyBorder="1" applyProtection="1">
      <protection locked="0"/>
    </xf>
    <xf numFmtId="0" fontId="13" fillId="3" borderId="9" xfId="0" applyFont="1" applyFill="1" applyBorder="1" applyAlignment="1">
      <alignment horizontal="center"/>
    </xf>
    <xf numFmtId="187" fontId="22" fillId="0" borderId="13" xfId="0" applyNumberFormat="1" applyFont="1" applyBorder="1" applyAlignment="1">
      <alignment horizontal="right"/>
    </xf>
    <xf numFmtId="187" fontId="34" fillId="2" borderId="15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Protection="1">
      <protection locked="0"/>
    </xf>
    <xf numFmtId="0" fontId="25" fillId="2" borderId="2" xfId="0" applyFont="1" applyFill="1" applyBorder="1" applyProtection="1">
      <protection locked="0"/>
    </xf>
    <xf numFmtId="0" fontId="25" fillId="2" borderId="11" xfId="0" applyFont="1" applyFill="1" applyBorder="1" applyProtection="1">
      <protection locked="0"/>
    </xf>
    <xf numFmtId="0" fontId="22" fillId="0" borderId="47" xfId="0" applyFont="1" applyBorder="1"/>
    <xf numFmtId="187" fontId="34" fillId="2" borderId="2" xfId="0" applyNumberFormat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1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8" fontId="0" fillId="2" borderId="0" xfId="0" applyNumberFormat="1" applyFill="1"/>
    <xf numFmtId="0" fontId="11" fillId="2" borderId="0" xfId="0" applyFont="1" applyFill="1" applyBorder="1" applyProtection="1">
      <protection locked="0"/>
    </xf>
    <xf numFmtId="1" fontId="22" fillId="0" borderId="9" xfId="0" applyNumberFormat="1" applyFont="1" applyBorder="1"/>
    <xf numFmtId="1" fontId="22" fillId="0" borderId="1" xfId="0" applyNumberFormat="1" applyFont="1" applyBorder="1"/>
    <xf numFmtId="2" fontId="11" fillId="0" borderId="9" xfId="0" applyNumberFormat="1" applyFont="1" applyFill="1" applyBorder="1"/>
    <xf numFmtId="2" fontId="11" fillId="0" borderId="1" xfId="0" applyNumberFormat="1" applyFont="1" applyFill="1" applyBorder="1"/>
    <xf numFmtId="2" fontId="22" fillId="5" borderId="48" xfId="0" applyNumberFormat="1" applyFont="1" applyFill="1" applyBorder="1"/>
    <xf numFmtId="9" fontId="0" fillId="0" borderId="14" xfId="4" applyFon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/>
    <xf numFmtId="0" fontId="0" fillId="5" borderId="10" xfId="0" applyFill="1" applyBorder="1"/>
    <xf numFmtId="0" fontId="22" fillId="0" borderId="49" xfId="0" applyFont="1" applyBorder="1" applyAlignment="1">
      <alignment horizontal="right"/>
    </xf>
    <xf numFmtId="1" fontId="11" fillId="0" borderId="19" xfId="0" applyNumberFormat="1" applyFont="1" applyFill="1" applyBorder="1" applyAlignment="1">
      <alignment horizontal="center"/>
    </xf>
    <xf numFmtId="1" fontId="21" fillId="0" borderId="14" xfId="0" applyNumberFormat="1" applyFont="1" applyFill="1" applyBorder="1"/>
    <xf numFmtId="1" fontId="21" fillId="0" borderId="16" xfId="0" applyNumberFormat="1" applyFont="1" applyFill="1" applyBorder="1"/>
    <xf numFmtId="1" fontId="11" fillId="0" borderId="19" xfId="0" applyNumberFormat="1" applyFont="1" applyFill="1" applyBorder="1"/>
    <xf numFmtId="0" fontId="0" fillId="0" borderId="19" xfId="0" applyBorder="1"/>
    <xf numFmtId="9" fontId="0" fillId="0" borderId="16" xfId="4" applyFont="1" applyBorder="1"/>
    <xf numFmtId="0" fontId="22" fillId="0" borderId="0" xfId="0" applyFont="1"/>
    <xf numFmtId="2" fontId="22" fillId="5" borderId="14" xfId="0" applyNumberFormat="1" applyFont="1" applyFill="1" applyBorder="1"/>
    <xf numFmtId="2" fontId="22" fillId="5" borderId="50" xfId="0" applyNumberFormat="1" applyFont="1" applyFill="1" applyBorder="1"/>
    <xf numFmtId="0" fontId="29" fillId="0" borderId="0" xfId="0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right"/>
    </xf>
    <xf numFmtId="14" fontId="5" fillId="2" borderId="0" xfId="0" applyNumberFormat="1" applyFont="1" applyFill="1"/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87" fontId="21" fillId="2" borderId="49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187" fontId="0" fillId="2" borderId="0" xfId="0" applyNumberFormat="1" applyFill="1"/>
    <xf numFmtId="0" fontId="21" fillId="0" borderId="0" xfId="0" applyFont="1"/>
    <xf numFmtId="0" fontId="29" fillId="2" borderId="15" xfId="0" applyFont="1" applyFill="1" applyBorder="1"/>
    <xf numFmtId="0" fontId="22" fillId="2" borderId="13" xfId="0" applyFont="1" applyFill="1" applyBorder="1"/>
    <xf numFmtId="1" fontId="0" fillId="2" borderId="51" xfId="0" applyNumberFormat="1" applyFill="1" applyBorder="1" applyAlignment="1">
      <alignment horizontal="center"/>
    </xf>
    <xf numFmtId="0" fontId="29" fillId="2" borderId="0" xfId="0" applyFont="1" applyFill="1" applyBorder="1"/>
    <xf numFmtId="0" fontId="29" fillId="2" borderId="49" xfId="0" applyFont="1" applyFill="1" applyBorder="1"/>
    <xf numFmtId="0" fontId="29" fillId="2" borderId="1" xfId="0" applyFont="1" applyFill="1" applyBorder="1"/>
    <xf numFmtId="2" fontId="0" fillId="0" borderId="52" xfId="0" applyNumberFormat="1" applyFill="1" applyBorder="1" applyAlignment="1">
      <alignment horizontal="center"/>
    </xf>
    <xf numFmtId="1" fontId="0" fillId="0" borderId="53" xfId="0" applyNumberFormat="1" applyFill="1" applyBorder="1" applyAlignment="1">
      <alignment horizontal="center"/>
    </xf>
    <xf numFmtId="1" fontId="0" fillId="2" borderId="53" xfId="0" applyNumberFormat="1" applyFill="1" applyBorder="1" applyAlignment="1">
      <alignment horizontal="center"/>
    </xf>
    <xf numFmtId="1" fontId="0" fillId="2" borderId="54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9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0" fillId="2" borderId="0" xfId="0" quotePrefix="1" applyFill="1"/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1" fontId="31" fillId="0" borderId="55" xfId="3" applyNumberFormat="1" applyFont="1" applyBorder="1" applyAlignment="1">
      <alignment horizontal="center"/>
    </xf>
    <xf numFmtId="1" fontId="31" fillId="0" borderId="56" xfId="3" applyNumberFormat="1" applyFont="1" applyBorder="1" applyAlignment="1">
      <alignment horizontal="center"/>
    </xf>
    <xf numFmtId="1" fontId="31" fillId="0" borderId="58" xfId="3" applyNumberFormat="1" applyFont="1" applyBorder="1" applyAlignment="1">
      <alignment horizontal="center"/>
    </xf>
    <xf numFmtId="1" fontId="31" fillId="0" borderId="46" xfId="3" applyNumberFormat="1" applyFont="1" applyBorder="1" applyAlignment="1">
      <alignment horizontal="center"/>
    </xf>
    <xf numFmtId="2" fontId="35" fillId="6" borderId="32" xfId="3" applyNumberFormat="1" applyFont="1" applyFill="1" applyBorder="1" applyAlignment="1">
      <alignment horizontal="center"/>
    </xf>
    <xf numFmtId="0" fontId="0" fillId="0" borderId="59" xfId="0" applyBorder="1"/>
    <xf numFmtId="0" fontId="0" fillId="0" borderId="51" xfId="0" applyBorder="1"/>
    <xf numFmtId="2" fontId="30" fillId="0" borderId="0" xfId="3" applyNumberFormat="1" applyFont="1" applyFill="1" applyBorder="1" applyAlignment="1">
      <alignment horizontal="center" wrapText="1"/>
    </xf>
    <xf numFmtId="2" fontId="33" fillId="0" borderId="0" xfId="3" applyNumberFormat="1" applyFont="1" applyBorder="1" applyAlignment="1">
      <alignment horizontal="center"/>
    </xf>
    <xf numFmtId="0" fontId="3" fillId="2" borderId="6" xfId="0" applyFont="1" applyFill="1" applyBorder="1" applyAlignment="1" applyProtection="1">
      <alignment horizontal="right"/>
      <protection locked="0"/>
    </xf>
    <xf numFmtId="0" fontId="21" fillId="2" borderId="5" xfId="0" applyFont="1" applyFill="1" applyBorder="1" applyProtection="1">
      <protection locked="0"/>
    </xf>
    <xf numFmtId="0" fontId="21" fillId="2" borderId="10" xfId="0" applyFont="1" applyFill="1" applyBorder="1" applyProtection="1">
      <protection locked="0"/>
    </xf>
    <xf numFmtId="0" fontId="21" fillId="2" borderId="2" xfId="0" applyFont="1" applyFill="1" applyBorder="1" applyProtection="1">
      <protection locked="0"/>
    </xf>
    <xf numFmtId="0" fontId="21" fillId="0" borderId="2" xfId="0" applyFont="1" applyBorder="1"/>
    <xf numFmtId="0" fontId="0" fillId="2" borderId="0" xfId="0" applyFill="1" applyAlignment="1">
      <alignment horizontal="right"/>
    </xf>
    <xf numFmtId="1" fontId="31" fillId="0" borderId="60" xfId="3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7" fontId="21" fillId="0" borderId="13" xfId="0" applyNumberFormat="1" applyFont="1" applyFill="1" applyBorder="1" applyAlignment="1">
      <alignment horizontal="right"/>
    </xf>
    <xf numFmtId="1" fontId="0" fillId="0" borderId="2" xfId="0" applyNumberFormat="1" applyFill="1" applyBorder="1"/>
    <xf numFmtId="189" fontId="21" fillId="2" borderId="21" xfId="0" applyNumberFormat="1" applyFont="1" applyFill="1" applyBorder="1" applyAlignment="1">
      <alignment horizontal="center"/>
    </xf>
    <xf numFmtId="190" fontId="2" fillId="2" borderId="21" xfId="0" applyNumberFormat="1" applyFont="1" applyFill="1" applyBorder="1" applyAlignment="1">
      <alignment horizontal="center"/>
    </xf>
    <xf numFmtId="190" fontId="2" fillId="2" borderId="19" xfId="0" applyNumberFormat="1" applyFont="1" applyFill="1" applyBorder="1" applyAlignment="1">
      <alignment horizontal="center"/>
    </xf>
    <xf numFmtId="189" fontId="21" fillId="2" borderId="19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1" fontId="12" fillId="2" borderId="10" xfId="0" applyNumberFormat="1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1" fontId="0" fillId="2" borderId="0" xfId="0" applyNumberFormat="1" applyFill="1" applyAlignment="1" applyProtection="1">
      <alignment horizontal="left"/>
      <protection locked="0"/>
    </xf>
    <xf numFmtId="2" fontId="0" fillId="7" borderId="20" xfId="0" applyNumberFormat="1" applyFill="1" applyBorder="1" applyAlignment="1">
      <alignment horizontal="center"/>
    </xf>
    <xf numFmtId="2" fontId="0" fillId="7" borderId="49" xfId="0" applyNumberFormat="1" applyFill="1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/>
    <xf numFmtId="0" fontId="0" fillId="3" borderId="0" xfId="0" applyFill="1" applyBorder="1"/>
    <xf numFmtId="3" fontId="2" fillId="4" borderId="0" xfId="0" applyNumberFormat="1" applyFont="1" applyFill="1" applyBorder="1"/>
    <xf numFmtId="0" fontId="36" fillId="2" borderId="0" xfId="0" applyFont="1" applyFill="1" applyBorder="1" applyProtection="1">
      <protection locked="0"/>
    </xf>
    <xf numFmtId="0" fontId="5" fillId="7" borderId="20" xfId="0" applyFont="1" applyFill="1" applyBorder="1" applyAlignment="1" applyProtection="1">
      <alignment horizontal="center"/>
      <protection locked="0"/>
    </xf>
    <xf numFmtId="0" fontId="5" fillId="7" borderId="49" xfId="0" applyFont="1" applyFill="1" applyBorder="1" applyAlignment="1" applyProtection="1">
      <alignment horizontal="center"/>
      <protection locked="0"/>
    </xf>
    <xf numFmtId="0" fontId="5" fillId="7" borderId="21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5" fillId="7" borderId="0" xfId="0" applyFont="1" applyFill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_Anscillary Service - Bid Schedul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November 2000 "LOAD Comparison" to December 1999
</a:t>
            </a:r>
          </a:p>
        </c:rich>
      </c:tx>
      <c:layout>
        <c:manualLayout>
          <c:xMode val="edge"/>
          <c:yMode val="edge"/>
          <c:x val="0.22698626838983463"/>
          <c:y val="2.06185912978403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0617950165726334E-2"/>
          <c:y val="0.19931304921245641"/>
          <c:w val="0.74022744191573853"/>
          <c:h val="0.75773323019563166"/>
        </c:manualLayout>
      </c:layout>
      <c:barChart>
        <c:barDir val="col"/>
        <c:grouping val="clustered"/>
        <c:varyColors val="0"/>
        <c:ser>
          <c:idx val="1"/>
          <c:order val="0"/>
          <c:tx>
            <c:v>Change 5weekavg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Load!$O$158:$O$181</c:f>
              <c:numCache>
                <c:formatCode>#,##0_);[Red]\(#,##0\)</c:formatCode>
                <c:ptCount val="24"/>
                <c:pt idx="0">
                  <c:v>-36.8599999999999</c:v>
                </c:pt>
                <c:pt idx="1">
                  <c:v>-12.995999999999981</c:v>
                </c:pt>
                <c:pt idx="2">
                  <c:v>-5.8899999999999864</c:v>
                </c:pt>
                <c:pt idx="3">
                  <c:v>4.5600000000000591</c:v>
                </c:pt>
                <c:pt idx="4">
                  <c:v>31.843999999999824</c:v>
                </c:pt>
                <c:pt idx="5">
                  <c:v>76.265999999999963</c:v>
                </c:pt>
                <c:pt idx="6">
                  <c:v>57.950000000000045</c:v>
                </c:pt>
                <c:pt idx="7">
                  <c:v>21.621999999999957</c:v>
                </c:pt>
                <c:pt idx="8">
                  <c:v>20.672000000000139</c:v>
                </c:pt>
                <c:pt idx="9">
                  <c:v>19.911999999999921</c:v>
                </c:pt>
                <c:pt idx="10">
                  <c:v>6.2319999999999709</c:v>
                </c:pt>
                <c:pt idx="11">
                  <c:v>3.6100000000000136</c:v>
                </c:pt>
                <c:pt idx="12">
                  <c:v>1.2540000000000191</c:v>
                </c:pt>
                <c:pt idx="13">
                  <c:v>4.2180000000000746</c:v>
                </c:pt>
                <c:pt idx="14">
                  <c:v>-3.3820000000000618</c:v>
                </c:pt>
                <c:pt idx="15">
                  <c:v>-13.793999999999983</c:v>
                </c:pt>
                <c:pt idx="16">
                  <c:v>-16.073999999999955</c:v>
                </c:pt>
                <c:pt idx="17">
                  <c:v>23.027999999999906</c:v>
                </c:pt>
                <c:pt idx="18">
                  <c:v>39.253999999999905</c:v>
                </c:pt>
                <c:pt idx="19">
                  <c:v>-15.883999999999901</c:v>
                </c:pt>
                <c:pt idx="20">
                  <c:v>-36.290000000000077</c:v>
                </c:pt>
                <c:pt idx="21">
                  <c:v>-48.259999999999877</c:v>
                </c:pt>
                <c:pt idx="22">
                  <c:v>-71.477999999999952</c:v>
                </c:pt>
                <c:pt idx="23">
                  <c:v>-49.514000000000124</c:v>
                </c:pt>
              </c:numCache>
            </c:numRef>
          </c:val>
        </c:ser>
        <c:ser>
          <c:idx val="0"/>
          <c:order val="1"/>
          <c:tx>
            <c:v>Native 5weekavg.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Load!$K$158:$K$181</c:f>
              <c:numCache>
                <c:formatCode>#,##0</c:formatCode>
                <c:ptCount val="24"/>
                <c:pt idx="0">
                  <c:v>565.28800000000001</c:v>
                </c:pt>
                <c:pt idx="1">
                  <c:v>552.29200000000003</c:v>
                </c:pt>
                <c:pt idx="2">
                  <c:v>546.40200000000004</c:v>
                </c:pt>
                <c:pt idx="3">
                  <c:v>550.9620000000001</c:v>
                </c:pt>
                <c:pt idx="4">
                  <c:v>582.80599999999993</c:v>
                </c:pt>
                <c:pt idx="5">
                  <c:v>659.07199999999989</c:v>
                </c:pt>
                <c:pt idx="6">
                  <c:v>717.02199999999993</c:v>
                </c:pt>
                <c:pt idx="7">
                  <c:v>738.64399999999989</c:v>
                </c:pt>
                <c:pt idx="8">
                  <c:v>759.31600000000003</c:v>
                </c:pt>
                <c:pt idx="9">
                  <c:v>779.22799999999995</c:v>
                </c:pt>
                <c:pt idx="10">
                  <c:v>785.45999999999992</c:v>
                </c:pt>
                <c:pt idx="11">
                  <c:v>789.06999999999994</c:v>
                </c:pt>
                <c:pt idx="12">
                  <c:v>790.32399999999996</c:v>
                </c:pt>
                <c:pt idx="13">
                  <c:v>794.54200000000003</c:v>
                </c:pt>
                <c:pt idx="14">
                  <c:v>791.16</c:v>
                </c:pt>
                <c:pt idx="15">
                  <c:v>777.36599999999999</c:v>
                </c:pt>
                <c:pt idx="16">
                  <c:v>761.29200000000003</c:v>
                </c:pt>
                <c:pt idx="17">
                  <c:v>784.31999999999994</c:v>
                </c:pt>
                <c:pt idx="18">
                  <c:v>823.57399999999984</c:v>
                </c:pt>
                <c:pt idx="19">
                  <c:v>807.68999999999994</c:v>
                </c:pt>
                <c:pt idx="20">
                  <c:v>771.39999999999986</c:v>
                </c:pt>
                <c:pt idx="21">
                  <c:v>723.14</c:v>
                </c:pt>
                <c:pt idx="22">
                  <c:v>651.66200000000003</c:v>
                </c:pt>
                <c:pt idx="23">
                  <c:v>602.14799999999991</c:v>
                </c:pt>
              </c:numCache>
            </c:numRef>
          </c:val>
        </c:ser>
        <c:ser>
          <c:idx val="2"/>
          <c:order val="2"/>
          <c:tx>
            <c:v>Last Year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Load'!$K$163:$K$186</c:f>
              <c:numCache>
                <c:formatCode>#,##0</c:formatCode>
                <c:ptCount val="24"/>
                <c:pt idx="0">
                  <c:v>571.06399999999996</c:v>
                </c:pt>
                <c:pt idx="1">
                  <c:v>545.94599999999991</c:v>
                </c:pt>
                <c:pt idx="2">
                  <c:v>535.68599999999992</c:v>
                </c:pt>
                <c:pt idx="3">
                  <c:v>534.774</c:v>
                </c:pt>
                <c:pt idx="4">
                  <c:v>547.50400000000002</c:v>
                </c:pt>
                <c:pt idx="5">
                  <c:v>585.39</c:v>
                </c:pt>
                <c:pt idx="6">
                  <c:v>661.69400000000007</c:v>
                </c:pt>
                <c:pt idx="7">
                  <c:v>703.49399999999991</c:v>
                </c:pt>
                <c:pt idx="8">
                  <c:v>721.99999999999989</c:v>
                </c:pt>
                <c:pt idx="9">
                  <c:v>732.60199999999998</c:v>
                </c:pt>
                <c:pt idx="10">
                  <c:v>735.7940000000001</c:v>
                </c:pt>
                <c:pt idx="11">
                  <c:v>724.58400000000006</c:v>
                </c:pt>
                <c:pt idx="12">
                  <c:v>710.6</c:v>
                </c:pt>
                <c:pt idx="13">
                  <c:v>707.02800000000002</c:v>
                </c:pt>
                <c:pt idx="14">
                  <c:v>700.64399999999989</c:v>
                </c:pt>
                <c:pt idx="15">
                  <c:v>691.44799999999998</c:v>
                </c:pt>
                <c:pt idx="16">
                  <c:v>695.70399999999995</c:v>
                </c:pt>
                <c:pt idx="17">
                  <c:v>787.66399999999999</c:v>
                </c:pt>
                <c:pt idx="18">
                  <c:v>816.69600000000003</c:v>
                </c:pt>
                <c:pt idx="19">
                  <c:v>808.79200000000003</c:v>
                </c:pt>
                <c:pt idx="20">
                  <c:v>793.85799999999995</c:v>
                </c:pt>
                <c:pt idx="21">
                  <c:v>755.51599999999985</c:v>
                </c:pt>
                <c:pt idx="22">
                  <c:v>686.54599999999994</c:v>
                </c:pt>
                <c:pt idx="23">
                  <c:v>618.41200000000003</c:v>
                </c:pt>
              </c:numCache>
            </c:numRef>
          </c:val>
        </c:ser>
        <c:ser>
          <c:idx val="3"/>
          <c:order val="3"/>
          <c:tx>
            <c:v>Last Years Change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Load'!$O$163:$O$186</c:f>
              <c:numCache>
                <c:formatCode>#,##0_);[Red]\(#,##0\)</c:formatCode>
                <c:ptCount val="24"/>
                <c:pt idx="0">
                  <c:v>-47.34800000000007</c:v>
                </c:pt>
                <c:pt idx="1">
                  <c:v>-25.118000000000052</c:v>
                </c:pt>
                <c:pt idx="2">
                  <c:v>-10.259999999999991</c:v>
                </c:pt>
                <c:pt idx="3">
                  <c:v>-0.91199999999992087</c:v>
                </c:pt>
                <c:pt idx="4">
                  <c:v>12.730000000000018</c:v>
                </c:pt>
                <c:pt idx="5">
                  <c:v>37.885999999999967</c:v>
                </c:pt>
                <c:pt idx="6">
                  <c:v>76.304000000000087</c:v>
                </c:pt>
                <c:pt idx="7">
                  <c:v>41.799999999999841</c:v>
                </c:pt>
                <c:pt idx="8">
                  <c:v>18.505999999999972</c:v>
                </c:pt>
                <c:pt idx="9">
                  <c:v>10.602000000000089</c:v>
                </c:pt>
                <c:pt idx="10">
                  <c:v>3.192000000000121</c:v>
                </c:pt>
                <c:pt idx="11">
                  <c:v>-11.210000000000036</c:v>
                </c:pt>
                <c:pt idx="12">
                  <c:v>-13.984000000000037</c:v>
                </c:pt>
                <c:pt idx="13">
                  <c:v>-3.5720000000000027</c:v>
                </c:pt>
                <c:pt idx="14">
                  <c:v>-6.3840000000001282</c:v>
                </c:pt>
                <c:pt idx="15">
                  <c:v>-9.1959999999999127</c:v>
                </c:pt>
                <c:pt idx="16">
                  <c:v>4.2559999999999718</c:v>
                </c:pt>
                <c:pt idx="17">
                  <c:v>91.960000000000036</c:v>
                </c:pt>
                <c:pt idx="18">
                  <c:v>29.032000000000039</c:v>
                </c:pt>
                <c:pt idx="19">
                  <c:v>-7.9039999999999964</c:v>
                </c:pt>
                <c:pt idx="20">
                  <c:v>-14.934000000000083</c:v>
                </c:pt>
                <c:pt idx="21">
                  <c:v>-38.342000000000098</c:v>
                </c:pt>
                <c:pt idx="22">
                  <c:v>-68.969999999999914</c:v>
                </c:pt>
                <c:pt idx="23">
                  <c:v>-68.133999999999901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73632"/>
        <c:axId val="140674192"/>
      </c:barChart>
      <c:catAx>
        <c:axId val="1406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74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674192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7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71677514973252"/>
          <c:y val="0.50515548679708777"/>
          <c:w val="0.1651955619948241"/>
          <c:h val="0.1460483550263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188</xdr:row>
      <xdr:rowOff>95250</xdr:rowOff>
    </xdr:from>
    <xdr:to>
      <xdr:col>14</xdr:col>
      <xdr:colOff>676275</xdr:colOff>
      <xdr:row>222</xdr:row>
      <xdr:rowOff>133350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showGridLines="0" zoomScale="80" workbookViewId="0">
      <selection activeCell="J8" sqref="J8"/>
    </sheetView>
  </sheetViews>
  <sheetFormatPr defaultRowHeight="12.75" x14ac:dyDescent="0.2"/>
  <cols>
    <col min="1" max="1" width="4.7109375" customWidth="1"/>
    <col min="2" max="4" width="13.7109375" customWidth="1"/>
    <col min="6" max="6" width="9.7109375" customWidth="1"/>
    <col min="7" max="7" width="9.28515625" customWidth="1"/>
    <col min="8" max="8" width="14.42578125" customWidth="1"/>
    <col min="9" max="9" width="10.28515625" customWidth="1"/>
    <col min="10" max="10" width="13.85546875" customWidth="1"/>
    <col min="11" max="11" width="12.85546875" customWidth="1"/>
    <col min="12" max="12" width="9.7109375" bestFit="1" customWidth="1"/>
    <col min="13" max="13" width="9.85546875" customWidth="1"/>
    <col min="14" max="14" width="8" customWidth="1"/>
    <col min="15" max="15" width="8.7109375" customWidth="1"/>
    <col min="16" max="16" width="7.28515625" customWidth="1"/>
    <col min="18" max="18" width="5.85546875" customWidth="1"/>
  </cols>
  <sheetData>
    <row r="1" spans="1:22" ht="15.75" x14ac:dyDescent="0.25">
      <c r="A1" s="50"/>
      <c r="B1" s="415" t="s">
        <v>16</v>
      </c>
      <c r="C1" s="416"/>
      <c r="D1" s="416"/>
      <c r="E1" s="416"/>
      <c r="F1" s="416"/>
      <c r="G1" s="416"/>
      <c r="H1" s="416"/>
      <c r="I1" s="417"/>
      <c r="J1" s="133"/>
      <c r="K1" s="1"/>
      <c r="L1" s="1"/>
      <c r="M1" s="1"/>
      <c r="Q1" s="1"/>
      <c r="R1" s="1"/>
    </row>
    <row r="2" spans="1:22" x14ac:dyDescent="0.2">
      <c r="A2" s="50"/>
      <c r="B2" s="50"/>
      <c r="C2" s="131"/>
      <c r="D2" s="132" t="s">
        <v>73</v>
      </c>
      <c r="E2" s="222">
        <v>14</v>
      </c>
      <c r="F2" s="131"/>
      <c r="G2" s="131"/>
      <c r="H2" s="132" t="s">
        <v>74</v>
      </c>
      <c r="I2" s="223">
        <f>E2+1</f>
        <v>15</v>
      </c>
      <c r="J2" s="136"/>
      <c r="K2" s="1"/>
      <c r="L2" s="1"/>
      <c r="M2" s="1"/>
      <c r="O2" s="109" t="s">
        <v>126</v>
      </c>
      <c r="Q2" s="1"/>
      <c r="R2" s="1"/>
    </row>
    <row r="3" spans="1:22" ht="15" x14ac:dyDescent="0.25">
      <c r="A3" s="50"/>
      <c r="B3" s="51"/>
      <c r="C3" s="52"/>
      <c r="D3" s="53" t="s">
        <v>62</v>
      </c>
      <c r="E3" s="145">
        <f>P29</f>
        <v>529</v>
      </c>
      <c r="F3" s="51"/>
      <c r="G3" s="52"/>
      <c r="H3" s="53" t="s">
        <v>5</v>
      </c>
      <c r="I3" s="235">
        <v>840</v>
      </c>
      <c r="J3" s="10"/>
      <c r="K3" s="146" t="s">
        <v>68</v>
      </c>
      <c r="L3" s="247">
        <f>P29</f>
        <v>529</v>
      </c>
      <c r="M3" s="1"/>
      <c r="O3" s="134" t="s">
        <v>92</v>
      </c>
      <c r="P3" s="389">
        <v>80</v>
      </c>
      <c r="Q3" s="1"/>
      <c r="R3" s="1"/>
    </row>
    <row r="4" spans="1:22" ht="15" x14ac:dyDescent="0.25">
      <c r="A4" s="50"/>
      <c r="B4" s="54"/>
      <c r="C4" s="55"/>
      <c r="D4" s="56" t="s">
        <v>0</v>
      </c>
      <c r="E4" s="296">
        <f>O32</f>
        <v>581</v>
      </c>
      <c r="F4" s="54"/>
      <c r="G4" s="55"/>
      <c r="H4" s="56" t="s">
        <v>3</v>
      </c>
      <c r="I4" s="7">
        <v>41</v>
      </c>
      <c r="K4" s="147" t="s">
        <v>69</v>
      </c>
      <c r="L4" s="301">
        <f>O29</f>
        <v>397</v>
      </c>
      <c r="M4" s="1"/>
      <c r="O4" s="135" t="s">
        <v>167</v>
      </c>
      <c r="P4" s="390">
        <v>80</v>
      </c>
      <c r="Q4" s="1"/>
      <c r="R4" s="1"/>
    </row>
    <row r="5" spans="1:22" ht="15" x14ac:dyDescent="0.25">
      <c r="A5" s="50"/>
      <c r="B5" s="54"/>
      <c r="C5" s="55"/>
      <c r="D5" s="56" t="s">
        <v>34</v>
      </c>
      <c r="E5" s="2">
        <v>25</v>
      </c>
      <c r="F5" s="54"/>
      <c r="G5" s="55"/>
      <c r="H5" s="56" t="s">
        <v>4</v>
      </c>
      <c r="I5" s="7">
        <v>25</v>
      </c>
      <c r="K5" s="146" t="s">
        <v>67</v>
      </c>
      <c r="L5" s="127">
        <f>L3-L4</f>
        <v>132</v>
      </c>
      <c r="M5" s="1"/>
      <c r="O5" s="135" t="s">
        <v>166</v>
      </c>
      <c r="P5" s="390">
        <v>-75</v>
      </c>
      <c r="Q5" s="1"/>
      <c r="R5" s="1"/>
    </row>
    <row r="6" spans="1:22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O6" s="135" t="s">
        <v>165</v>
      </c>
      <c r="P6" s="197">
        <v>300</v>
      </c>
      <c r="Q6" s="1"/>
      <c r="R6" s="1"/>
    </row>
    <row r="7" spans="1:22" ht="15.75" thickBot="1" x14ac:dyDescent="0.3">
      <c r="A7" s="50"/>
      <c r="B7" s="54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405"/>
      <c r="K7" s="115">
        <v>103</v>
      </c>
      <c r="L7" s="109" t="s">
        <v>72</v>
      </c>
      <c r="M7" s="297">
        <f>P29</f>
        <v>529</v>
      </c>
      <c r="O7" s="135" t="s">
        <v>164</v>
      </c>
      <c r="P7" s="391">
        <v>0</v>
      </c>
      <c r="Q7" s="1"/>
      <c r="R7" s="1"/>
    </row>
    <row r="8" spans="1:22" ht="16.5" thickTop="1" thickBot="1" x14ac:dyDescent="0.3">
      <c r="A8" s="50"/>
      <c r="B8" s="57"/>
      <c r="C8" s="58"/>
      <c r="D8" s="59" t="s">
        <v>172</v>
      </c>
      <c r="E8" s="3">
        <v>0</v>
      </c>
      <c r="F8" s="57"/>
      <c r="G8" s="58"/>
      <c r="H8" s="59" t="s">
        <v>31</v>
      </c>
      <c r="I8" s="236">
        <v>0</v>
      </c>
      <c r="J8" s="125" t="s">
        <v>71</v>
      </c>
      <c r="K8" s="356">
        <v>50</v>
      </c>
      <c r="L8" s="126" t="s">
        <v>129</v>
      </c>
      <c r="M8" s="138">
        <v>69</v>
      </c>
      <c r="O8" s="383"/>
      <c r="P8" s="384">
        <f>SUM(P3:P7)</f>
        <v>385</v>
      </c>
      <c r="R8" s="1"/>
    </row>
    <row r="9" spans="1:22" ht="16.5" thickTop="1" thickBot="1" x14ac:dyDescent="0.3">
      <c r="A9" s="50"/>
      <c r="B9" s="54"/>
      <c r="C9" s="55"/>
      <c r="D9" s="56" t="s">
        <v>2</v>
      </c>
      <c r="E9" s="60">
        <f>+SUM(E3:E8)</f>
        <v>1135</v>
      </c>
      <c r="F9" s="54"/>
      <c r="G9" s="55"/>
      <c r="H9" s="56" t="s">
        <v>6</v>
      </c>
      <c r="I9" s="61">
        <f>SUM(I3:I8)</f>
        <v>1056</v>
      </c>
      <c r="J9" s="406"/>
      <c r="K9" s="123">
        <f>K7-K8</f>
        <v>53</v>
      </c>
      <c r="M9" s="123">
        <f>SUM(M7:M8)</f>
        <v>598</v>
      </c>
      <c r="O9" s="1" t="s">
        <v>168</v>
      </c>
      <c r="Q9" s="1"/>
      <c r="R9" s="1"/>
    </row>
    <row r="10" spans="1:22" ht="15" thickTop="1" x14ac:dyDescent="0.2">
      <c r="A10" s="50"/>
      <c r="B10" s="54"/>
      <c r="C10" s="55"/>
      <c r="D10" s="62"/>
      <c r="E10" s="63"/>
      <c r="F10" s="387"/>
      <c r="G10" s="55"/>
      <c r="H10" s="62"/>
      <c r="I10" s="64"/>
      <c r="J10" s="50"/>
      <c r="K10" s="1"/>
      <c r="Q10" s="149"/>
      <c r="R10" s="1"/>
    </row>
    <row r="11" spans="1:22" ht="15" x14ac:dyDescent="0.25">
      <c r="A11" s="50"/>
      <c r="B11" s="51"/>
      <c r="C11" s="52"/>
      <c r="D11" s="53" t="s">
        <v>7</v>
      </c>
      <c r="E11" s="298">
        <v>78</v>
      </c>
      <c r="F11" s="388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217"/>
      <c r="M11" s="218"/>
      <c r="Q11" s="220"/>
      <c r="R11" s="219"/>
      <c r="S11" s="37"/>
      <c r="T11" s="37"/>
      <c r="U11" s="37"/>
      <c r="V11" s="37"/>
    </row>
    <row r="12" spans="1:22" ht="15" x14ac:dyDescent="0.25">
      <c r="A12" s="50"/>
      <c r="B12" s="54"/>
      <c r="C12" s="55"/>
      <c r="D12" s="56" t="s">
        <v>36</v>
      </c>
      <c r="E12" s="106">
        <f>(0.5*E11)</f>
        <v>39</v>
      </c>
      <c r="F12" s="67"/>
      <c r="G12" s="55"/>
      <c r="H12" s="56" t="s">
        <v>39</v>
      </c>
      <c r="I12" s="303">
        <v>100</v>
      </c>
      <c r="J12" s="50"/>
      <c r="K12" s="1"/>
      <c r="L12" s="37"/>
      <c r="M12" s="256" t="s">
        <v>120</v>
      </c>
      <c r="Q12" s="35"/>
      <c r="R12" s="35"/>
      <c r="S12" s="37"/>
      <c r="T12" s="37"/>
      <c r="U12" s="37"/>
      <c r="V12" s="37"/>
    </row>
    <row r="13" spans="1:22" ht="15" x14ac:dyDescent="0.25">
      <c r="A13" s="50"/>
      <c r="B13" s="54"/>
      <c r="C13" s="55"/>
      <c r="D13" s="56" t="s">
        <v>37</v>
      </c>
      <c r="E13" s="106">
        <f>(0.5*E11)</f>
        <v>39</v>
      </c>
      <c r="F13" s="67"/>
      <c r="G13" s="55"/>
      <c r="H13" s="56" t="s">
        <v>10</v>
      </c>
      <c r="I13" s="303">
        <v>25</v>
      </c>
      <c r="J13" s="50"/>
      <c r="K13" s="1"/>
      <c r="L13" s="37"/>
      <c r="M13" s="221"/>
      <c r="Q13" s="35"/>
      <c r="R13" s="37"/>
      <c r="S13" s="37"/>
      <c r="T13" s="37"/>
      <c r="U13" s="37"/>
      <c r="V13" s="37"/>
    </row>
    <row r="14" spans="1:22" ht="15.75" x14ac:dyDescent="0.25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144" t="s">
        <v>79</v>
      </c>
      <c r="K14" s="248">
        <v>47.74</v>
      </c>
      <c r="L14" s="37"/>
      <c r="M14" s="221"/>
      <c r="N14" s="407"/>
      <c r="O14" s="408" t="s">
        <v>169</v>
      </c>
      <c r="P14" s="409"/>
      <c r="Q14" s="221"/>
      <c r="R14" s="209"/>
      <c r="S14" s="150"/>
      <c r="T14" s="150"/>
      <c r="U14" s="150"/>
      <c r="V14" s="150"/>
    </row>
    <row r="15" spans="1:22" ht="16.5" thickBot="1" x14ac:dyDescent="0.3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178</v>
      </c>
      <c r="K15" s="248">
        <v>25.7</v>
      </c>
      <c r="L15" s="37"/>
      <c r="N15" s="221"/>
      <c r="O15" s="221"/>
      <c r="P15" s="221"/>
      <c r="Q15" s="221"/>
      <c r="R15" s="209"/>
      <c r="S15" s="150"/>
      <c r="T15" s="150"/>
      <c r="U15" s="150"/>
      <c r="V15" s="150"/>
    </row>
    <row r="16" spans="1:22" ht="15.75" thickTop="1" x14ac:dyDescent="0.25">
      <c r="A16" s="50"/>
      <c r="B16" s="51"/>
      <c r="C16" s="52"/>
      <c r="D16" s="53" t="s">
        <v>41</v>
      </c>
      <c r="E16" s="404">
        <f>E9-I9</f>
        <v>79</v>
      </c>
      <c r="F16" s="108"/>
      <c r="G16" s="418" t="s">
        <v>23</v>
      </c>
      <c r="H16" s="419"/>
      <c r="I16" s="419"/>
      <c r="J16" s="420"/>
      <c r="L16" s="37"/>
      <c r="M16" s="221"/>
      <c r="N16" s="352"/>
      <c r="O16" s="353" t="s">
        <v>127</v>
      </c>
      <c r="P16" s="353" t="s">
        <v>128</v>
      </c>
      <c r="Q16" s="362" t="s">
        <v>132</v>
      </c>
      <c r="R16" s="366" t="s">
        <v>159</v>
      </c>
      <c r="S16" s="366" t="s">
        <v>170</v>
      </c>
      <c r="T16" s="150"/>
      <c r="U16" s="150"/>
      <c r="V16" s="150"/>
    </row>
    <row r="17" spans="1:22" ht="15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/>
      <c r="G17" s="51"/>
      <c r="H17" s="71"/>
      <c r="I17" s="53" t="s">
        <v>17</v>
      </c>
      <c r="J17" s="72" t="s">
        <v>18</v>
      </c>
      <c r="K17" s="1"/>
      <c r="L17" s="37"/>
      <c r="M17" s="221"/>
      <c r="N17" s="342" t="s">
        <v>124</v>
      </c>
      <c r="O17" s="261">
        <v>50</v>
      </c>
      <c r="P17" s="359">
        <v>80</v>
      </c>
      <c r="Q17" s="363">
        <f>+MIN(P17-O17,R17*10)</f>
        <v>30</v>
      </c>
      <c r="R17" s="401">
        <v>3</v>
      </c>
      <c r="S17" s="396">
        <f>P17-O17</f>
        <v>30</v>
      </c>
      <c r="T17" s="150"/>
      <c r="U17" s="150"/>
      <c r="V17" s="150"/>
    </row>
    <row r="18" spans="1:22" ht="15" x14ac:dyDescent="0.25">
      <c r="A18" s="50"/>
      <c r="B18" s="54"/>
      <c r="C18" s="55"/>
      <c r="D18" s="73" t="s">
        <v>45</v>
      </c>
      <c r="E18" s="74">
        <f>+Spin+Nonspin</f>
        <v>129</v>
      </c>
      <c r="F18" s="108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1"/>
      <c r="N18" s="342">
        <v>2</v>
      </c>
      <c r="O18" s="261">
        <v>70</v>
      </c>
      <c r="P18" s="359">
        <v>82</v>
      </c>
      <c r="Q18" s="364">
        <f t="shared" ref="Q18:Q28" si="0">+MIN(P18-O18,R18*10)</f>
        <v>12</v>
      </c>
      <c r="R18" s="402">
        <v>4.5</v>
      </c>
      <c r="S18" s="349">
        <f t="shared" ref="S18:S29" si="1">P18-O18</f>
        <v>12</v>
      </c>
    </row>
    <row r="19" spans="1:22" ht="15" x14ac:dyDescent="0.25">
      <c r="A19" s="50"/>
      <c r="B19" s="54"/>
      <c r="C19" s="55"/>
      <c r="D19" s="73" t="s">
        <v>38</v>
      </c>
      <c r="E19" s="75">
        <f>+E16-E12-IF((E17-E13)&lt;0,E13-E17,0)</f>
        <v>40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128"/>
      <c r="N19" s="342">
        <v>3</v>
      </c>
      <c r="O19" s="261">
        <v>0</v>
      </c>
      <c r="P19" s="359">
        <v>0</v>
      </c>
      <c r="Q19" s="364">
        <f t="shared" si="0"/>
        <v>0</v>
      </c>
      <c r="R19" s="402">
        <v>5.0999999999999996</v>
      </c>
      <c r="S19" s="349">
        <f t="shared" si="1"/>
        <v>0</v>
      </c>
    </row>
    <row r="20" spans="1:22" ht="15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128"/>
      <c r="N20" s="342" t="s">
        <v>154</v>
      </c>
      <c r="O20" s="261">
        <v>0</v>
      </c>
      <c r="P20" s="359">
        <v>0</v>
      </c>
      <c r="Q20" s="364">
        <f t="shared" si="0"/>
        <v>0</v>
      </c>
      <c r="R20" s="402">
        <v>10</v>
      </c>
      <c r="S20" s="349">
        <f t="shared" si="1"/>
        <v>0</v>
      </c>
    </row>
    <row r="21" spans="1:22" ht="15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128"/>
      <c r="N21" s="344" t="s">
        <v>155</v>
      </c>
      <c r="O21" s="355">
        <v>0</v>
      </c>
      <c r="P21" s="335">
        <v>0</v>
      </c>
      <c r="Q21" s="364">
        <f t="shared" si="0"/>
        <v>0</v>
      </c>
      <c r="R21" s="402">
        <v>10</v>
      </c>
      <c r="S21" s="349">
        <f t="shared" si="1"/>
        <v>0</v>
      </c>
    </row>
    <row r="22" spans="1:22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12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402">
        <v>3.33</v>
      </c>
      <c r="S22" s="349">
        <f t="shared" si="1"/>
        <v>0</v>
      </c>
    </row>
    <row r="23" spans="1:22" ht="15.75" thickTop="1" x14ac:dyDescent="0.25">
      <c r="A23" s="50"/>
      <c r="B23" s="77"/>
      <c r="C23" s="78"/>
      <c r="D23" s="79" t="s">
        <v>43</v>
      </c>
      <c r="E23" s="80">
        <f>E19</f>
        <v>40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8">
        <f>SUM(I23*K15)</f>
        <v>0</v>
      </c>
      <c r="M23" s="153"/>
      <c r="N23" s="344" t="s">
        <v>157</v>
      </c>
      <c r="O23" s="355">
        <v>0</v>
      </c>
      <c r="P23" s="335">
        <v>0</v>
      </c>
      <c r="Q23" s="364">
        <f t="shared" si="0"/>
        <v>0</v>
      </c>
      <c r="R23" s="402">
        <v>3.6</v>
      </c>
      <c r="S23" s="349">
        <f t="shared" si="1"/>
        <v>0</v>
      </c>
    </row>
    <row r="24" spans="1:22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128"/>
      <c r="N24" s="342" t="s">
        <v>158</v>
      </c>
      <c r="O24" s="261">
        <v>148</v>
      </c>
      <c r="P24" s="359">
        <v>214</v>
      </c>
      <c r="Q24" s="364">
        <f t="shared" si="0"/>
        <v>36</v>
      </c>
      <c r="R24" s="402">
        <v>3.6</v>
      </c>
      <c r="S24" s="349">
        <f t="shared" si="1"/>
        <v>66</v>
      </c>
    </row>
    <row r="25" spans="1:22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1"/>
      <c r="N25" s="346" t="s">
        <v>129</v>
      </c>
      <c r="O25" s="347">
        <v>0</v>
      </c>
      <c r="P25" s="360">
        <v>0</v>
      </c>
      <c r="Q25" s="364">
        <f t="shared" si="0"/>
        <v>0</v>
      </c>
      <c r="R25" s="402">
        <v>10</v>
      </c>
      <c r="S25" s="349">
        <f t="shared" si="1"/>
        <v>0</v>
      </c>
    </row>
    <row r="26" spans="1:22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1"/>
      <c r="N26" s="343">
        <v>6</v>
      </c>
      <c r="O26" s="261">
        <v>0</v>
      </c>
      <c r="P26" s="359">
        <v>0</v>
      </c>
      <c r="Q26" s="364">
        <f t="shared" si="0"/>
        <v>0</v>
      </c>
      <c r="R26" s="402">
        <v>2</v>
      </c>
      <c r="S26" s="349">
        <f t="shared" si="1"/>
        <v>0</v>
      </c>
    </row>
    <row r="27" spans="1:22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151"/>
      <c r="N27" s="343">
        <v>7</v>
      </c>
      <c r="O27" s="261">
        <v>33</v>
      </c>
      <c r="P27" s="359">
        <v>33</v>
      </c>
      <c r="Q27" s="364">
        <f t="shared" si="0"/>
        <v>0</v>
      </c>
      <c r="R27" s="402">
        <v>2.1</v>
      </c>
      <c r="S27" s="349">
        <f t="shared" si="1"/>
        <v>0</v>
      </c>
    </row>
    <row r="28" spans="1:22" ht="15.75" thickBot="1" x14ac:dyDescent="0.3">
      <c r="A28" s="50"/>
      <c r="B28" s="94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151"/>
      <c r="N28" s="345">
        <v>8</v>
      </c>
      <c r="O28" s="262">
        <v>96</v>
      </c>
      <c r="P28" s="361">
        <v>120</v>
      </c>
      <c r="Q28" s="365">
        <f t="shared" si="0"/>
        <v>10</v>
      </c>
      <c r="R28" s="403">
        <v>1</v>
      </c>
      <c r="S28" s="350">
        <f t="shared" si="1"/>
        <v>24</v>
      </c>
    </row>
    <row r="29" spans="1:22" ht="16.5" thickTop="1" thickBot="1" x14ac:dyDescent="0.3">
      <c r="A29" s="50"/>
      <c r="B29" s="70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95">
        <f>SUM(O17:O28)</f>
        <v>397</v>
      </c>
      <c r="P29" s="357">
        <f>SUM(P17:P28)</f>
        <v>529</v>
      </c>
      <c r="Q29" s="358">
        <f>SUM(Q17:Q28)</f>
        <v>88</v>
      </c>
      <c r="R29" s="351"/>
      <c r="S29" s="351">
        <f t="shared" si="1"/>
        <v>132</v>
      </c>
    </row>
    <row r="30" spans="1:22" ht="15.75" thickTop="1" x14ac:dyDescent="0.25">
      <c r="A30" s="50"/>
      <c r="B30" s="70"/>
      <c r="C30" s="313"/>
      <c r="D30" s="100"/>
      <c r="E30" s="101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>
        <f>SUM(I30*K15)</f>
        <v>0</v>
      </c>
      <c r="M30" s="1"/>
      <c r="N30" s="265" t="s">
        <v>125</v>
      </c>
      <c r="O30" s="263">
        <v>49</v>
      </c>
      <c r="P30" s="266">
        <v>108</v>
      </c>
      <c r="Q30" s="354"/>
      <c r="R30" s="1"/>
    </row>
    <row r="31" spans="1:22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532</v>
      </c>
      <c r="P31" s="266">
        <v>581</v>
      </c>
      <c r="Q31" s="1"/>
      <c r="R31" s="392" t="s">
        <v>171</v>
      </c>
      <c r="S31" s="9">
        <f>S29-Q29</f>
        <v>44</v>
      </c>
    </row>
    <row r="32" spans="1:22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8">
        <f>SUM(K23+K30-L23-L30)</f>
        <v>0</v>
      </c>
      <c r="L32" s="1"/>
      <c r="M32" s="1"/>
      <c r="N32" s="268"/>
      <c r="O32" s="295">
        <f>SUM(O30:O31)</f>
        <v>581</v>
      </c>
      <c r="P32" s="269">
        <f>SUM(P30:P31)</f>
        <v>689</v>
      </c>
      <c r="Q32" s="1"/>
      <c r="R32" s="1"/>
    </row>
    <row r="33" spans="1:18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  <c r="Q33" s="1"/>
      <c r="R33" s="1"/>
    </row>
    <row r="34" spans="1:18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>
    <oddFooter>&amp;L&amp;D&amp;C&amp;T&amp;R&amp;F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18"/>
  <sheetViews>
    <sheetView showGridLines="0" topLeftCell="B30" workbookViewId="0">
      <selection activeCell="P42" sqref="P42"/>
    </sheetView>
  </sheetViews>
  <sheetFormatPr defaultRowHeight="12.75" x14ac:dyDescent="0.2"/>
  <cols>
    <col min="1" max="1" width="7.85546875" customWidth="1"/>
    <col min="2" max="2" width="7" customWidth="1"/>
    <col min="3" max="4" width="9.85546875" customWidth="1"/>
    <col min="5" max="5" width="10.85546875" customWidth="1"/>
    <col min="6" max="6" width="9.7109375" customWidth="1"/>
    <col min="9" max="9" width="8.7109375" customWidth="1"/>
    <col min="10" max="10" width="3.28515625" customWidth="1"/>
    <col min="11" max="11" width="8" customWidth="1"/>
    <col min="12" max="12" width="3" customWidth="1"/>
    <col min="13" max="13" width="7.85546875" customWidth="1"/>
    <col min="14" max="14" width="7.140625" customWidth="1"/>
    <col min="15" max="15" width="12" bestFit="1" customWidth="1"/>
    <col min="16" max="16" width="11" bestFit="1" customWidth="1"/>
    <col min="17" max="17" width="9.7109375" customWidth="1"/>
    <col min="18" max="18" width="10.42578125" customWidth="1"/>
    <col min="19" max="19" width="10.5703125" customWidth="1"/>
    <col min="20" max="20" width="10.7109375" customWidth="1"/>
    <col min="21" max="21" width="10.42578125" customWidth="1"/>
    <col min="22" max="23" width="10.7109375" customWidth="1"/>
    <col min="24" max="24" width="11.7109375" customWidth="1"/>
    <col min="25" max="25" width="4" customWidth="1"/>
    <col min="27" max="27" width="2.7109375" customWidth="1"/>
    <col min="28" max="28" width="10.140625" customWidth="1"/>
  </cols>
  <sheetData>
    <row r="1" spans="1:17" s="10" customFormat="1" x14ac:dyDescent="0.2">
      <c r="A1" s="255" t="s">
        <v>184</v>
      </c>
    </row>
    <row r="2" spans="1:17" ht="15.75" x14ac:dyDescent="0.25">
      <c r="G2" s="254" t="s">
        <v>55</v>
      </c>
    </row>
    <row r="3" spans="1:17" x14ac:dyDescent="0.2">
      <c r="C3">
        <v>30</v>
      </c>
      <c r="D3">
        <v>31</v>
      </c>
      <c r="E3">
        <v>1</v>
      </c>
      <c r="F3">
        <v>2</v>
      </c>
      <c r="G3">
        <v>3</v>
      </c>
      <c r="H3">
        <v>4</v>
      </c>
      <c r="I3">
        <v>5</v>
      </c>
    </row>
    <row r="4" spans="1:17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173</v>
      </c>
      <c r="P4" s="42" t="s">
        <v>174</v>
      </c>
    </row>
    <row r="5" spans="1:17" x14ac:dyDescent="0.2">
      <c r="B5" s="31">
        <v>1</v>
      </c>
      <c r="C5" s="29">
        <v>548</v>
      </c>
      <c r="D5" s="29">
        <v>609</v>
      </c>
      <c r="E5" s="29">
        <v>600</v>
      </c>
      <c r="F5" s="29">
        <v>633</v>
      </c>
      <c r="G5" s="29">
        <v>605</v>
      </c>
      <c r="H5" s="29">
        <v>616</v>
      </c>
      <c r="I5" s="29">
        <v>601</v>
      </c>
      <c r="J5" s="30"/>
      <c r="K5" s="29">
        <f>AVERAGE(C5:G5)</f>
        <v>599</v>
      </c>
      <c r="L5" s="29"/>
      <c r="M5" s="29">
        <f>AVERAGE(H5:I5)</f>
        <v>608.5</v>
      </c>
      <c r="N5" s="32">
        <v>1</v>
      </c>
      <c r="O5" s="48">
        <f>K5-K28</f>
        <v>-45.200000000000045</v>
      </c>
      <c r="P5" s="48">
        <f>M6-M5</f>
        <v>-17.5</v>
      </c>
      <c r="Q5" s="9"/>
    </row>
    <row r="6" spans="1:17" x14ac:dyDescent="0.2">
      <c r="B6" s="15">
        <v>2</v>
      </c>
      <c r="C6" s="12">
        <v>534</v>
      </c>
      <c r="D6" s="12">
        <v>584</v>
      </c>
      <c r="E6" s="12">
        <v>592</v>
      </c>
      <c r="F6" s="12">
        <v>596</v>
      </c>
      <c r="G6" s="12">
        <v>604</v>
      </c>
      <c r="H6" s="12">
        <v>605</v>
      </c>
      <c r="I6" s="12">
        <v>577</v>
      </c>
      <c r="J6" s="26"/>
      <c r="K6" s="12">
        <f t="shared" ref="K6:K28" si="0">AVERAGE(C6:G6)</f>
        <v>582</v>
      </c>
      <c r="L6" s="12"/>
      <c r="M6" s="12">
        <f t="shared" ref="M6:M28" si="1">AVERAGE(H6:I6)</f>
        <v>591</v>
      </c>
      <c r="N6" s="22">
        <v>2</v>
      </c>
      <c r="O6" s="43">
        <f>K6-K5</f>
        <v>-17</v>
      </c>
      <c r="P6" s="43">
        <f t="shared" ref="P6:P27" si="2">M7-M6</f>
        <v>-18</v>
      </c>
      <c r="Q6" s="9"/>
    </row>
    <row r="7" spans="1:17" x14ac:dyDescent="0.2">
      <c r="B7" s="15">
        <v>3</v>
      </c>
      <c r="C7" s="12">
        <v>544</v>
      </c>
      <c r="D7" s="12">
        <v>566</v>
      </c>
      <c r="E7" s="12">
        <v>583</v>
      </c>
      <c r="F7" s="12">
        <v>591</v>
      </c>
      <c r="G7" s="12">
        <v>585</v>
      </c>
      <c r="H7" s="12">
        <v>594</v>
      </c>
      <c r="I7" s="12">
        <v>552</v>
      </c>
      <c r="J7" s="26"/>
      <c r="K7" s="12">
        <f t="shared" si="0"/>
        <v>573.79999999999995</v>
      </c>
      <c r="L7" s="12"/>
      <c r="M7" s="12">
        <f t="shared" si="1"/>
        <v>573</v>
      </c>
      <c r="N7" s="22">
        <v>3</v>
      </c>
      <c r="O7" s="43">
        <f t="shared" ref="O7:O28" si="3">K7-K6</f>
        <v>-8.2000000000000455</v>
      </c>
      <c r="P7" s="43">
        <f t="shared" si="2"/>
        <v>-13.5</v>
      </c>
      <c r="Q7" s="9"/>
    </row>
    <row r="8" spans="1:17" x14ac:dyDescent="0.2">
      <c r="B8" s="16">
        <v>4</v>
      </c>
      <c r="C8" s="13">
        <v>539</v>
      </c>
      <c r="D8" s="13">
        <v>561</v>
      </c>
      <c r="E8" s="13">
        <v>565</v>
      </c>
      <c r="F8" s="13">
        <v>596</v>
      </c>
      <c r="G8" s="13">
        <v>594</v>
      </c>
      <c r="H8" s="13">
        <v>564</v>
      </c>
      <c r="I8" s="13">
        <v>555</v>
      </c>
      <c r="J8" s="27"/>
      <c r="K8" s="13">
        <f t="shared" si="0"/>
        <v>571</v>
      </c>
      <c r="L8" s="13"/>
      <c r="M8" s="13">
        <f t="shared" si="1"/>
        <v>559.5</v>
      </c>
      <c r="N8" s="23">
        <v>4</v>
      </c>
      <c r="O8" s="49">
        <f t="shared" si="3"/>
        <v>-2.7999999999999545</v>
      </c>
      <c r="P8" s="49">
        <f t="shared" si="2"/>
        <v>25.5</v>
      </c>
      <c r="Q8" s="9"/>
    </row>
    <row r="9" spans="1:17" x14ac:dyDescent="0.2">
      <c r="B9" s="31">
        <v>5</v>
      </c>
      <c r="C9" s="29">
        <v>544</v>
      </c>
      <c r="D9" s="29">
        <v>591</v>
      </c>
      <c r="E9" s="29">
        <v>566</v>
      </c>
      <c r="F9" s="29">
        <v>589</v>
      </c>
      <c r="G9" s="12">
        <v>635</v>
      </c>
      <c r="H9" s="12">
        <v>606</v>
      </c>
      <c r="I9" s="12">
        <v>564</v>
      </c>
      <c r="J9" s="30"/>
      <c r="K9" s="29">
        <f t="shared" si="0"/>
        <v>585</v>
      </c>
      <c r="L9" s="29"/>
      <c r="M9" s="29">
        <f t="shared" si="1"/>
        <v>585</v>
      </c>
      <c r="N9" s="32">
        <v>5</v>
      </c>
      <c r="O9" s="45">
        <f t="shared" si="3"/>
        <v>14</v>
      </c>
      <c r="P9" s="45">
        <f t="shared" si="2"/>
        <v>18</v>
      </c>
      <c r="Q9" s="9"/>
    </row>
    <row r="10" spans="1:17" x14ac:dyDescent="0.2">
      <c r="B10" s="15">
        <v>6</v>
      </c>
      <c r="C10" s="12">
        <v>614</v>
      </c>
      <c r="D10" s="12">
        <v>641</v>
      </c>
      <c r="E10" s="12">
        <v>629</v>
      </c>
      <c r="F10" s="12">
        <v>654</v>
      </c>
      <c r="G10" s="12">
        <v>718</v>
      </c>
      <c r="H10" s="12">
        <v>626</v>
      </c>
      <c r="I10" s="12">
        <v>580</v>
      </c>
      <c r="J10" s="26"/>
      <c r="K10" s="12">
        <f t="shared" si="0"/>
        <v>651.20000000000005</v>
      </c>
      <c r="L10" s="12"/>
      <c r="M10" s="12">
        <f t="shared" si="1"/>
        <v>603</v>
      </c>
      <c r="N10" s="22">
        <v>6</v>
      </c>
      <c r="O10" s="46">
        <f t="shared" si="3"/>
        <v>66.200000000000045</v>
      </c>
      <c r="P10" s="46">
        <f t="shared" si="2"/>
        <v>-6.5</v>
      </c>
      <c r="Q10" s="9">
        <v>655</v>
      </c>
    </row>
    <row r="11" spans="1:17" x14ac:dyDescent="0.2">
      <c r="B11" s="15">
        <v>7</v>
      </c>
      <c r="C11" s="12">
        <v>698</v>
      </c>
      <c r="D11" s="12">
        <v>720</v>
      </c>
      <c r="E11" s="12">
        <v>712</v>
      </c>
      <c r="F11" s="12">
        <v>745</v>
      </c>
      <c r="G11" s="12">
        <v>773</v>
      </c>
      <c r="H11" s="12">
        <v>623</v>
      </c>
      <c r="I11" s="12">
        <v>570</v>
      </c>
      <c r="J11" s="26"/>
      <c r="K11" s="12">
        <f t="shared" si="0"/>
        <v>729.6</v>
      </c>
      <c r="L11" s="12"/>
      <c r="M11" s="12">
        <f t="shared" si="1"/>
        <v>596.5</v>
      </c>
      <c r="N11" s="22">
        <v>7</v>
      </c>
      <c r="O11" s="46">
        <f t="shared" si="3"/>
        <v>78.399999999999977</v>
      </c>
      <c r="P11" s="46">
        <f t="shared" si="2"/>
        <v>22</v>
      </c>
      <c r="Q11" s="9">
        <f>P11+Q10</f>
        <v>677</v>
      </c>
    </row>
    <row r="12" spans="1:17" x14ac:dyDescent="0.2">
      <c r="B12" s="16">
        <v>8</v>
      </c>
      <c r="C12" s="13">
        <v>736</v>
      </c>
      <c r="D12" s="13">
        <v>764</v>
      </c>
      <c r="E12" s="13">
        <v>758</v>
      </c>
      <c r="F12" s="13">
        <v>762</v>
      </c>
      <c r="G12" s="13">
        <v>791</v>
      </c>
      <c r="H12" s="13">
        <v>662</v>
      </c>
      <c r="I12" s="13">
        <v>575</v>
      </c>
      <c r="J12" s="27"/>
      <c r="K12" s="13">
        <f t="shared" si="0"/>
        <v>762.2</v>
      </c>
      <c r="L12" s="13"/>
      <c r="M12" s="13">
        <f t="shared" si="1"/>
        <v>618.5</v>
      </c>
      <c r="N12" s="23">
        <v>8</v>
      </c>
      <c r="O12" s="47">
        <f t="shared" si="3"/>
        <v>32.600000000000023</v>
      </c>
      <c r="P12" s="47">
        <f t="shared" si="2"/>
        <v>41</v>
      </c>
      <c r="Q12" s="9">
        <f>P12+Q11</f>
        <v>718</v>
      </c>
    </row>
    <row r="13" spans="1:17" x14ac:dyDescent="0.2">
      <c r="B13" s="15">
        <v>9</v>
      </c>
      <c r="C13" s="12">
        <v>762</v>
      </c>
      <c r="D13" s="12">
        <v>778</v>
      </c>
      <c r="E13" s="12">
        <v>785</v>
      </c>
      <c r="F13" s="12">
        <v>771</v>
      </c>
      <c r="G13" s="12">
        <v>824</v>
      </c>
      <c r="H13" s="12">
        <v>709</v>
      </c>
      <c r="I13" s="12">
        <v>610</v>
      </c>
      <c r="J13" s="26"/>
      <c r="K13" s="12">
        <f t="shared" si="0"/>
        <v>784</v>
      </c>
      <c r="L13" s="12"/>
      <c r="M13" s="12">
        <f t="shared" si="1"/>
        <v>659.5</v>
      </c>
      <c r="N13" s="22">
        <v>9</v>
      </c>
      <c r="O13" s="48">
        <f t="shared" si="3"/>
        <v>21.799999999999955</v>
      </c>
      <c r="P13" s="48">
        <f t="shared" si="2"/>
        <v>50.5</v>
      </c>
      <c r="Q13" s="9">
        <f t="shared" ref="Q13:Q27" si="4">P13+Q12</f>
        <v>768.5</v>
      </c>
    </row>
    <row r="14" spans="1:17" x14ac:dyDescent="0.2">
      <c r="B14" s="15">
        <v>10</v>
      </c>
      <c r="C14" s="12">
        <v>779</v>
      </c>
      <c r="D14" s="12">
        <v>792</v>
      </c>
      <c r="E14" s="12">
        <v>792</v>
      </c>
      <c r="F14" s="12">
        <v>774</v>
      </c>
      <c r="G14" s="12">
        <v>871</v>
      </c>
      <c r="H14" s="12">
        <v>731</v>
      </c>
      <c r="I14" s="12">
        <v>689</v>
      </c>
      <c r="J14" s="26"/>
      <c r="K14" s="12">
        <f t="shared" si="0"/>
        <v>801.6</v>
      </c>
      <c r="L14" s="12"/>
      <c r="M14" s="12">
        <f t="shared" si="1"/>
        <v>710</v>
      </c>
      <c r="N14" s="22">
        <v>10</v>
      </c>
      <c r="O14" s="43">
        <f t="shared" si="3"/>
        <v>17.600000000000023</v>
      </c>
      <c r="P14" s="43">
        <f t="shared" si="2"/>
        <v>23</v>
      </c>
      <c r="Q14" s="9">
        <f t="shared" si="4"/>
        <v>791.5</v>
      </c>
    </row>
    <row r="15" spans="1:17" x14ac:dyDescent="0.2">
      <c r="B15" s="15">
        <v>11</v>
      </c>
      <c r="C15" s="12">
        <v>793</v>
      </c>
      <c r="D15" s="12">
        <v>802</v>
      </c>
      <c r="E15" s="12">
        <v>806</v>
      </c>
      <c r="F15" s="12">
        <v>780</v>
      </c>
      <c r="G15" s="12">
        <v>871</v>
      </c>
      <c r="H15" s="12">
        <v>771</v>
      </c>
      <c r="I15" s="12">
        <v>695</v>
      </c>
      <c r="J15" s="26"/>
      <c r="K15" s="12">
        <f t="shared" si="0"/>
        <v>810.4</v>
      </c>
      <c r="L15" s="12"/>
      <c r="M15" s="12">
        <f t="shared" si="1"/>
        <v>733</v>
      </c>
      <c r="N15" s="22">
        <v>11</v>
      </c>
      <c r="O15" s="43">
        <f t="shared" si="3"/>
        <v>8.7999999999999545</v>
      </c>
      <c r="P15" s="43">
        <f t="shared" si="2"/>
        <v>0</v>
      </c>
      <c r="Q15" s="9">
        <f t="shared" si="4"/>
        <v>791.5</v>
      </c>
    </row>
    <row r="16" spans="1:17" x14ac:dyDescent="0.2">
      <c r="B16" s="16">
        <v>12</v>
      </c>
      <c r="C16" s="13">
        <v>803</v>
      </c>
      <c r="D16" s="13">
        <v>815</v>
      </c>
      <c r="E16" s="13">
        <v>801</v>
      </c>
      <c r="F16" s="13">
        <v>775</v>
      </c>
      <c r="G16" s="13">
        <v>882</v>
      </c>
      <c r="H16" s="13">
        <v>762</v>
      </c>
      <c r="I16" s="13">
        <v>704</v>
      </c>
      <c r="J16" s="27"/>
      <c r="K16" s="13">
        <f t="shared" si="0"/>
        <v>815.2</v>
      </c>
      <c r="L16" s="13"/>
      <c r="M16" s="13">
        <f t="shared" si="1"/>
        <v>733</v>
      </c>
      <c r="N16" s="23">
        <v>12</v>
      </c>
      <c r="O16" s="49">
        <f t="shared" si="3"/>
        <v>4.8000000000000682</v>
      </c>
      <c r="P16" s="49">
        <f t="shared" si="2"/>
        <v>20</v>
      </c>
      <c r="Q16" s="9">
        <f t="shared" si="4"/>
        <v>811.5</v>
      </c>
    </row>
    <row r="17" spans="2:17" x14ac:dyDescent="0.2">
      <c r="B17" s="15">
        <v>13</v>
      </c>
      <c r="C17" s="12">
        <v>804</v>
      </c>
      <c r="D17" s="12">
        <v>811</v>
      </c>
      <c r="E17" s="12">
        <v>786</v>
      </c>
      <c r="F17" s="12">
        <v>773</v>
      </c>
      <c r="G17" s="12">
        <v>882</v>
      </c>
      <c r="H17" s="12">
        <v>778</v>
      </c>
      <c r="I17" s="12">
        <v>728</v>
      </c>
      <c r="J17" s="26"/>
      <c r="K17" s="12">
        <f t="shared" si="0"/>
        <v>811.2</v>
      </c>
      <c r="L17" s="12"/>
      <c r="M17" s="12">
        <f t="shared" si="1"/>
        <v>753</v>
      </c>
      <c r="N17" s="22">
        <v>13</v>
      </c>
      <c r="O17" s="48">
        <f t="shared" si="3"/>
        <v>-4</v>
      </c>
      <c r="P17" s="48">
        <f t="shared" si="2"/>
        <v>-0.5</v>
      </c>
      <c r="Q17" s="9">
        <f t="shared" si="4"/>
        <v>811</v>
      </c>
    </row>
    <row r="18" spans="2:17" x14ac:dyDescent="0.2">
      <c r="B18" s="15">
        <v>14</v>
      </c>
      <c r="C18" s="12">
        <v>819</v>
      </c>
      <c r="D18" s="12">
        <v>813</v>
      </c>
      <c r="E18" s="12">
        <v>815</v>
      </c>
      <c r="F18" s="12">
        <v>776</v>
      </c>
      <c r="G18" s="12">
        <v>889</v>
      </c>
      <c r="H18" s="12">
        <v>776</v>
      </c>
      <c r="I18" s="12">
        <v>729</v>
      </c>
      <c r="J18" s="26"/>
      <c r="K18" s="12">
        <f t="shared" si="0"/>
        <v>822.4</v>
      </c>
      <c r="L18" s="12"/>
      <c r="M18" s="12">
        <f t="shared" si="1"/>
        <v>752.5</v>
      </c>
      <c r="N18" s="22">
        <v>14</v>
      </c>
      <c r="O18" s="43">
        <f t="shared" si="3"/>
        <v>11.199999999999932</v>
      </c>
      <c r="P18" s="43">
        <f t="shared" si="2"/>
        <v>-18</v>
      </c>
      <c r="Q18" s="9">
        <f t="shared" si="4"/>
        <v>793</v>
      </c>
    </row>
    <row r="19" spans="2:17" x14ac:dyDescent="0.2">
      <c r="B19" s="15">
        <v>15</v>
      </c>
      <c r="C19" s="12">
        <v>815</v>
      </c>
      <c r="D19" s="12">
        <v>824</v>
      </c>
      <c r="E19" s="12">
        <v>794</v>
      </c>
      <c r="F19" s="12">
        <v>768</v>
      </c>
      <c r="G19" s="12">
        <v>881</v>
      </c>
      <c r="H19" s="12">
        <v>760</v>
      </c>
      <c r="I19" s="12">
        <v>709</v>
      </c>
      <c r="J19" s="26"/>
      <c r="K19" s="12">
        <f t="shared" si="0"/>
        <v>816.4</v>
      </c>
      <c r="L19" s="12"/>
      <c r="M19" s="12">
        <f t="shared" si="1"/>
        <v>734.5</v>
      </c>
      <c r="N19" s="22">
        <v>15</v>
      </c>
      <c r="O19" s="43">
        <f t="shared" si="3"/>
        <v>-6</v>
      </c>
      <c r="P19" s="43">
        <f t="shared" si="2"/>
        <v>11.5</v>
      </c>
      <c r="Q19" s="9">
        <f t="shared" si="4"/>
        <v>804.5</v>
      </c>
    </row>
    <row r="20" spans="2:17" x14ac:dyDescent="0.2">
      <c r="B20" s="16">
        <v>16</v>
      </c>
      <c r="C20" s="13">
        <v>796</v>
      </c>
      <c r="D20" s="13">
        <v>793</v>
      </c>
      <c r="E20" s="13">
        <v>781</v>
      </c>
      <c r="F20" s="13">
        <v>754</v>
      </c>
      <c r="G20" s="13">
        <v>871</v>
      </c>
      <c r="H20" s="13">
        <v>760</v>
      </c>
      <c r="I20" s="13">
        <v>732</v>
      </c>
      <c r="J20" s="27"/>
      <c r="K20" s="13">
        <f t="shared" si="0"/>
        <v>799</v>
      </c>
      <c r="L20" s="13"/>
      <c r="M20" s="13">
        <f t="shared" si="1"/>
        <v>746</v>
      </c>
      <c r="N20" s="23">
        <v>16</v>
      </c>
      <c r="O20" s="49">
        <f t="shared" si="3"/>
        <v>-17.399999999999977</v>
      </c>
      <c r="P20" s="49">
        <f t="shared" si="2"/>
        <v>-16</v>
      </c>
      <c r="Q20" s="9">
        <f t="shared" si="4"/>
        <v>788.5</v>
      </c>
    </row>
    <row r="21" spans="2:17" x14ac:dyDescent="0.2">
      <c r="B21" s="15">
        <v>17</v>
      </c>
      <c r="C21" s="12">
        <v>785</v>
      </c>
      <c r="D21" s="12">
        <v>796</v>
      </c>
      <c r="E21" s="12">
        <v>766</v>
      </c>
      <c r="F21" s="12">
        <v>755</v>
      </c>
      <c r="G21" s="12">
        <v>843</v>
      </c>
      <c r="H21" s="12">
        <v>752</v>
      </c>
      <c r="I21" s="12">
        <v>708</v>
      </c>
      <c r="J21" s="26"/>
      <c r="K21" s="12">
        <f t="shared" si="0"/>
        <v>789</v>
      </c>
      <c r="L21" s="12"/>
      <c r="M21" s="12">
        <f t="shared" si="1"/>
        <v>730</v>
      </c>
      <c r="N21" s="22">
        <v>17</v>
      </c>
      <c r="O21" s="48">
        <f t="shared" si="3"/>
        <v>-10</v>
      </c>
      <c r="P21" s="48">
        <f t="shared" si="2"/>
        <v>32.5</v>
      </c>
      <c r="Q21" s="9">
        <f t="shared" si="4"/>
        <v>821</v>
      </c>
    </row>
    <row r="22" spans="2:17" x14ac:dyDescent="0.2">
      <c r="B22" s="15">
        <v>18</v>
      </c>
      <c r="C22" s="12">
        <v>862</v>
      </c>
      <c r="D22" s="12">
        <v>837</v>
      </c>
      <c r="E22" s="12">
        <v>800</v>
      </c>
      <c r="F22" s="12">
        <v>773</v>
      </c>
      <c r="G22" s="12">
        <v>817</v>
      </c>
      <c r="H22" s="12">
        <v>780</v>
      </c>
      <c r="I22" s="12">
        <v>745</v>
      </c>
      <c r="J22" s="26"/>
      <c r="K22" s="12">
        <f t="shared" si="0"/>
        <v>817.8</v>
      </c>
      <c r="L22" s="12"/>
      <c r="M22" s="12">
        <f t="shared" si="1"/>
        <v>762.5</v>
      </c>
      <c r="N22" s="22">
        <v>18</v>
      </c>
      <c r="O22" s="43">
        <f t="shared" si="3"/>
        <v>28.799999999999955</v>
      </c>
      <c r="P22" s="43">
        <f t="shared" si="2"/>
        <v>62</v>
      </c>
      <c r="Q22" s="9">
        <f t="shared" si="4"/>
        <v>883</v>
      </c>
    </row>
    <row r="23" spans="2:17" x14ac:dyDescent="0.2">
      <c r="B23" s="15">
        <v>19</v>
      </c>
      <c r="C23" s="12">
        <v>871</v>
      </c>
      <c r="D23" s="12">
        <v>812</v>
      </c>
      <c r="E23" s="12">
        <v>876</v>
      </c>
      <c r="F23" s="12">
        <v>833</v>
      </c>
      <c r="G23" s="12">
        <v>868</v>
      </c>
      <c r="H23" s="12">
        <v>827</v>
      </c>
      <c r="I23" s="12">
        <v>822</v>
      </c>
      <c r="J23" s="26"/>
      <c r="K23" s="12">
        <f t="shared" si="0"/>
        <v>852</v>
      </c>
      <c r="L23" s="12"/>
      <c r="M23" s="12">
        <f t="shared" si="1"/>
        <v>824.5</v>
      </c>
      <c r="N23" s="22">
        <v>19</v>
      </c>
      <c r="O23" s="43">
        <f t="shared" si="3"/>
        <v>34.200000000000045</v>
      </c>
      <c r="P23" s="43">
        <f t="shared" si="2"/>
        <v>-29.5</v>
      </c>
      <c r="Q23" s="9">
        <f t="shared" si="4"/>
        <v>853.5</v>
      </c>
    </row>
    <row r="24" spans="2:17" x14ac:dyDescent="0.2">
      <c r="B24" s="16">
        <v>20</v>
      </c>
      <c r="C24" s="13">
        <v>854</v>
      </c>
      <c r="D24" s="13">
        <v>807</v>
      </c>
      <c r="E24" s="13">
        <v>873</v>
      </c>
      <c r="F24" s="13">
        <v>819</v>
      </c>
      <c r="G24" s="13">
        <v>841</v>
      </c>
      <c r="H24" s="13">
        <v>793</v>
      </c>
      <c r="I24" s="13">
        <v>797</v>
      </c>
      <c r="J24" s="27"/>
      <c r="K24" s="13">
        <f t="shared" si="0"/>
        <v>838.8</v>
      </c>
      <c r="L24" s="13"/>
      <c r="M24" s="13">
        <f t="shared" si="1"/>
        <v>795</v>
      </c>
      <c r="N24" s="23">
        <v>20</v>
      </c>
      <c r="O24" s="49">
        <f t="shared" si="3"/>
        <v>-13.200000000000045</v>
      </c>
      <c r="P24" s="49">
        <f t="shared" si="2"/>
        <v>-11.5</v>
      </c>
      <c r="Q24" s="9">
        <f t="shared" si="4"/>
        <v>842</v>
      </c>
    </row>
    <row r="25" spans="2:17" x14ac:dyDescent="0.2">
      <c r="B25" s="15">
        <v>21</v>
      </c>
      <c r="C25" s="12">
        <v>831</v>
      </c>
      <c r="D25" s="12">
        <v>793</v>
      </c>
      <c r="E25" s="12">
        <v>857</v>
      </c>
      <c r="F25" s="12">
        <v>798</v>
      </c>
      <c r="G25" s="12">
        <v>792</v>
      </c>
      <c r="H25" s="12">
        <v>788</v>
      </c>
      <c r="I25" s="12">
        <v>779</v>
      </c>
      <c r="J25" s="26"/>
      <c r="K25" s="12">
        <f t="shared" si="0"/>
        <v>814.2</v>
      </c>
      <c r="L25" s="12"/>
      <c r="M25" s="12">
        <f t="shared" si="1"/>
        <v>783.5</v>
      </c>
      <c r="N25" s="22">
        <v>21</v>
      </c>
      <c r="O25" s="48">
        <f t="shared" si="3"/>
        <v>-24.599999999999909</v>
      </c>
      <c r="P25" s="48">
        <f t="shared" si="2"/>
        <v>-70.5</v>
      </c>
      <c r="Q25" s="9">
        <f t="shared" si="4"/>
        <v>771.5</v>
      </c>
    </row>
    <row r="26" spans="2:17" x14ac:dyDescent="0.2">
      <c r="B26" s="15">
        <v>22</v>
      </c>
      <c r="C26" s="12">
        <v>800</v>
      </c>
      <c r="D26" s="12">
        <v>780</v>
      </c>
      <c r="E26" s="12">
        <v>790</v>
      </c>
      <c r="F26" s="12">
        <v>770</v>
      </c>
      <c r="G26" s="12">
        <v>760</v>
      </c>
      <c r="H26" s="12">
        <v>737</v>
      </c>
      <c r="I26" s="12">
        <v>689</v>
      </c>
      <c r="J26" s="26"/>
      <c r="K26" s="12">
        <f t="shared" si="0"/>
        <v>780</v>
      </c>
      <c r="L26" s="12"/>
      <c r="M26" s="12">
        <f t="shared" si="1"/>
        <v>713</v>
      </c>
      <c r="N26" s="22">
        <v>22</v>
      </c>
      <c r="O26" s="43">
        <f t="shared" si="3"/>
        <v>-34.200000000000045</v>
      </c>
      <c r="P26" s="43">
        <f t="shared" si="2"/>
        <v>-87</v>
      </c>
      <c r="Q26" s="9">
        <f t="shared" si="4"/>
        <v>684.5</v>
      </c>
    </row>
    <row r="27" spans="2:17" x14ac:dyDescent="0.2">
      <c r="B27" s="15">
        <v>23</v>
      </c>
      <c r="C27" s="12">
        <v>707</v>
      </c>
      <c r="D27" s="12">
        <v>707</v>
      </c>
      <c r="E27" s="12">
        <v>722</v>
      </c>
      <c r="F27" s="12">
        <v>676</v>
      </c>
      <c r="G27" s="12">
        <v>693</v>
      </c>
      <c r="H27" s="12">
        <v>635</v>
      </c>
      <c r="I27" s="12">
        <v>617</v>
      </c>
      <c r="J27" s="26"/>
      <c r="K27" s="12">
        <f t="shared" si="0"/>
        <v>701</v>
      </c>
      <c r="L27" s="12"/>
      <c r="M27" s="12">
        <f t="shared" si="1"/>
        <v>626</v>
      </c>
      <c r="N27" s="22">
        <v>23</v>
      </c>
      <c r="O27" s="43">
        <f t="shared" si="3"/>
        <v>-79</v>
      </c>
      <c r="P27" s="43">
        <f t="shared" si="2"/>
        <v>-13</v>
      </c>
      <c r="Q27" s="9">
        <f t="shared" si="4"/>
        <v>671.5</v>
      </c>
    </row>
    <row r="28" spans="2:17" x14ac:dyDescent="0.2">
      <c r="B28" s="16">
        <v>24</v>
      </c>
      <c r="C28" s="12">
        <v>659</v>
      </c>
      <c r="D28" s="12">
        <v>646</v>
      </c>
      <c r="E28" s="12">
        <v>650</v>
      </c>
      <c r="F28" s="12">
        <v>623</v>
      </c>
      <c r="G28" s="13">
        <v>643</v>
      </c>
      <c r="H28" s="13">
        <v>628</v>
      </c>
      <c r="I28" s="13">
        <v>598</v>
      </c>
      <c r="J28" s="27"/>
      <c r="K28" s="12">
        <f t="shared" si="0"/>
        <v>644.20000000000005</v>
      </c>
      <c r="L28" s="13"/>
      <c r="M28" s="12">
        <f t="shared" si="1"/>
        <v>613</v>
      </c>
      <c r="N28" s="23">
        <v>24</v>
      </c>
      <c r="O28" s="49">
        <f t="shared" si="3"/>
        <v>-56.799999999999955</v>
      </c>
      <c r="P28" s="49">
        <f>M5-M28</f>
        <v>-4.5</v>
      </c>
      <c r="Q28" s="9"/>
    </row>
    <row r="29" spans="2:17" ht="13.5" thickBot="1" x14ac:dyDescent="0.25">
      <c r="B29" s="17" t="s">
        <v>54</v>
      </c>
      <c r="C29" s="25">
        <f>SUM(C5:C28)</f>
        <v>17497</v>
      </c>
      <c r="D29" s="25">
        <f t="shared" ref="D29:M29" si="5">SUM(D5:D28)</f>
        <v>17642</v>
      </c>
      <c r="E29" s="25">
        <f t="shared" si="5"/>
        <v>17699</v>
      </c>
      <c r="F29" s="25">
        <f t="shared" si="5"/>
        <v>17384</v>
      </c>
      <c r="G29" s="25">
        <f t="shared" si="5"/>
        <v>18533</v>
      </c>
      <c r="H29" s="25">
        <f t="shared" si="5"/>
        <v>16883</v>
      </c>
      <c r="I29" s="25">
        <f t="shared" si="5"/>
        <v>15925</v>
      </c>
      <c r="J29" s="25"/>
      <c r="K29" s="25">
        <f t="shared" si="5"/>
        <v>17751</v>
      </c>
      <c r="L29" s="25"/>
      <c r="M29" s="25">
        <f t="shared" si="5"/>
        <v>16404</v>
      </c>
      <c r="N29" s="24"/>
      <c r="O29" s="44"/>
      <c r="P29" s="44"/>
    </row>
    <row r="30" spans="2:17" ht="13.5" thickTop="1" x14ac:dyDescent="0.2">
      <c r="K30" s="110"/>
    </row>
    <row r="32" spans="2:17" ht="15.75" x14ac:dyDescent="0.25">
      <c r="G32" s="254" t="s">
        <v>56</v>
      </c>
    </row>
    <row r="33" spans="2:17" x14ac:dyDescent="0.2">
      <c r="C33">
        <f>I3+1</f>
        <v>6</v>
      </c>
      <c r="D33">
        <f t="shared" ref="D33:I33" si="6">C33+1</f>
        <v>7</v>
      </c>
      <c r="E33">
        <f t="shared" si="6"/>
        <v>8</v>
      </c>
      <c r="F33">
        <f t="shared" si="6"/>
        <v>9</v>
      </c>
      <c r="G33">
        <f t="shared" si="6"/>
        <v>10</v>
      </c>
      <c r="H33">
        <f t="shared" si="6"/>
        <v>11</v>
      </c>
      <c r="I33">
        <f t="shared" si="6"/>
        <v>12</v>
      </c>
    </row>
    <row r="34" spans="2:17" x14ac:dyDescent="0.2">
      <c r="B34" s="14" t="s">
        <v>53</v>
      </c>
      <c r="C34" s="18" t="s">
        <v>46</v>
      </c>
      <c r="D34" s="18" t="s">
        <v>47</v>
      </c>
      <c r="E34" s="18" t="s">
        <v>48</v>
      </c>
      <c r="F34" s="18" t="s">
        <v>49</v>
      </c>
      <c r="G34" s="18" t="s">
        <v>50</v>
      </c>
      <c r="H34" s="18" t="s">
        <v>51</v>
      </c>
      <c r="I34" s="18" t="s">
        <v>52</v>
      </c>
      <c r="J34" s="19"/>
      <c r="K34" s="299" t="s">
        <v>143</v>
      </c>
      <c r="L34" s="20"/>
      <c r="M34" s="299" t="s">
        <v>144</v>
      </c>
      <c r="N34" s="21" t="s">
        <v>53</v>
      </c>
      <c r="O34" s="42" t="s">
        <v>63</v>
      </c>
    </row>
    <row r="35" spans="2:17" x14ac:dyDescent="0.2">
      <c r="B35" s="31">
        <v>1</v>
      </c>
      <c r="C35" s="29">
        <v>570</v>
      </c>
      <c r="D35" s="29">
        <v>593</v>
      </c>
      <c r="E35" s="29">
        <v>605</v>
      </c>
      <c r="F35" s="29">
        <v>612</v>
      </c>
      <c r="G35" s="29">
        <v>605</v>
      </c>
      <c r="H35" s="29">
        <v>616</v>
      </c>
      <c r="I35" s="29">
        <v>601</v>
      </c>
      <c r="J35" s="30"/>
      <c r="K35" s="29">
        <f>AVERAGE(C35:G35)</f>
        <v>597</v>
      </c>
      <c r="L35" s="29"/>
      <c r="M35" s="29">
        <f>AVERAGE(H35:I35)</f>
        <v>608.5</v>
      </c>
      <c r="N35" s="32">
        <v>1</v>
      </c>
      <c r="O35" s="48">
        <f>K35-K58</f>
        <v>-32.399999999999977</v>
      </c>
    </row>
    <row r="36" spans="2:17" x14ac:dyDescent="0.2">
      <c r="B36" s="15">
        <v>2</v>
      </c>
      <c r="C36" s="12">
        <v>556</v>
      </c>
      <c r="D36" s="12">
        <v>587</v>
      </c>
      <c r="E36" s="12">
        <v>595</v>
      </c>
      <c r="F36" s="12">
        <v>581</v>
      </c>
      <c r="G36" s="12">
        <v>604</v>
      </c>
      <c r="H36" s="12">
        <v>605</v>
      </c>
      <c r="I36" s="12">
        <v>577</v>
      </c>
      <c r="J36" s="26"/>
      <c r="K36" s="12">
        <f t="shared" ref="K36:K58" si="7">AVERAGE(C36:G36)</f>
        <v>584.6</v>
      </c>
      <c r="L36" s="12"/>
      <c r="M36" s="12">
        <f t="shared" ref="M36:M58" si="8">AVERAGE(H36:I36)</f>
        <v>591</v>
      </c>
      <c r="N36" s="22">
        <v>2</v>
      </c>
      <c r="O36" s="43">
        <f>K36-K35</f>
        <v>-12.399999999999977</v>
      </c>
    </row>
    <row r="37" spans="2:17" x14ac:dyDescent="0.2">
      <c r="B37" s="15">
        <v>3</v>
      </c>
      <c r="C37" s="12">
        <v>561</v>
      </c>
      <c r="D37" s="12">
        <v>589</v>
      </c>
      <c r="E37" s="12">
        <v>572</v>
      </c>
      <c r="F37" s="12">
        <v>605</v>
      </c>
      <c r="G37" s="12">
        <v>585</v>
      </c>
      <c r="H37" s="12">
        <v>594</v>
      </c>
      <c r="I37" s="12">
        <v>552</v>
      </c>
      <c r="J37" s="26"/>
      <c r="K37" s="12">
        <f t="shared" si="7"/>
        <v>582.4</v>
      </c>
      <c r="L37" s="12"/>
      <c r="M37" s="12">
        <f t="shared" si="8"/>
        <v>573</v>
      </c>
      <c r="N37" s="22">
        <v>3</v>
      </c>
      <c r="O37" s="43">
        <f t="shared" ref="O37:O58" si="9">K37-K36</f>
        <v>-2.2000000000000455</v>
      </c>
    </row>
    <row r="38" spans="2:17" x14ac:dyDescent="0.2">
      <c r="B38" s="16">
        <v>4</v>
      </c>
      <c r="C38" s="13">
        <v>567</v>
      </c>
      <c r="D38" s="13">
        <v>606</v>
      </c>
      <c r="E38" s="13">
        <v>577</v>
      </c>
      <c r="F38" s="13">
        <v>596</v>
      </c>
      <c r="G38" s="13">
        <v>594</v>
      </c>
      <c r="H38" s="13">
        <v>564</v>
      </c>
      <c r="I38" s="13">
        <v>555</v>
      </c>
      <c r="J38" s="27"/>
      <c r="K38" s="13">
        <f t="shared" si="7"/>
        <v>588</v>
      </c>
      <c r="L38" s="13"/>
      <c r="M38" s="13">
        <f t="shared" si="8"/>
        <v>559.5</v>
      </c>
      <c r="N38" s="23">
        <v>4</v>
      </c>
      <c r="O38" s="49">
        <f t="shared" si="9"/>
        <v>5.6000000000000227</v>
      </c>
    </row>
    <row r="39" spans="2:17" x14ac:dyDescent="0.2">
      <c r="B39" s="31">
        <v>5</v>
      </c>
      <c r="C39" s="12">
        <v>606</v>
      </c>
      <c r="D39" s="29">
        <v>650</v>
      </c>
      <c r="E39" s="29">
        <v>653</v>
      </c>
      <c r="F39" s="29">
        <v>626</v>
      </c>
      <c r="G39" s="29">
        <v>635</v>
      </c>
      <c r="H39" s="29">
        <v>606</v>
      </c>
      <c r="I39" s="29">
        <v>564</v>
      </c>
      <c r="J39" s="30"/>
      <c r="K39" s="29">
        <f t="shared" si="7"/>
        <v>634</v>
      </c>
      <c r="L39" s="29"/>
      <c r="M39" s="29">
        <f t="shared" si="8"/>
        <v>585</v>
      </c>
      <c r="N39" s="32">
        <v>5</v>
      </c>
      <c r="O39" s="45">
        <f t="shared" si="9"/>
        <v>46</v>
      </c>
      <c r="P39" s="33"/>
      <c r="Q39" s="33"/>
    </row>
    <row r="40" spans="2:17" x14ac:dyDescent="0.2">
      <c r="B40" s="15">
        <v>6</v>
      </c>
      <c r="C40" s="12">
        <v>698</v>
      </c>
      <c r="D40" s="12">
        <v>752</v>
      </c>
      <c r="E40" s="12">
        <v>741</v>
      </c>
      <c r="F40" s="12">
        <v>733</v>
      </c>
      <c r="G40" s="12">
        <v>718</v>
      </c>
      <c r="H40" s="12">
        <v>626</v>
      </c>
      <c r="I40" s="12">
        <v>580</v>
      </c>
      <c r="J40" s="26"/>
      <c r="K40" s="12">
        <f t="shared" si="7"/>
        <v>728.4</v>
      </c>
      <c r="L40" s="12"/>
      <c r="M40" s="12">
        <f t="shared" si="8"/>
        <v>603</v>
      </c>
      <c r="N40" s="22">
        <v>6</v>
      </c>
      <c r="O40" s="46">
        <f t="shared" si="9"/>
        <v>94.399999999999977</v>
      </c>
      <c r="P40" s="33">
        <v>765</v>
      </c>
      <c r="Q40" s="394">
        <v>709</v>
      </c>
    </row>
    <row r="41" spans="2:17" x14ac:dyDescent="0.2">
      <c r="B41" s="15">
        <v>7</v>
      </c>
      <c r="C41" s="12">
        <v>764</v>
      </c>
      <c r="D41" s="12">
        <v>797</v>
      </c>
      <c r="E41" s="12">
        <v>792</v>
      </c>
      <c r="F41" s="12">
        <v>770</v>
      </c>
      <c r="G41" s="12">
        <v>773</v>
      </c>
      <c r="H41" s="12">
        <v>623</v>
      </c>
      <c r="I41" s="12">
        <v>570</v>
      </c>
      <c r="J41" s="26"/>
      <c r="K41" s="12">
        <f t="shared" si="7"/>
        <v>779.2</v>
      </c>
      <c r="L41" s="12"/>
      <c r="M41" s="12">
        <f t="shared" si="8"/>
        <v>596.5</v>
      </c>
      <c r="N41" s="22">
        <v>7</v>
      </c>
      <c r="O41" s="46">
        <f t="shared" si="9"/>
        <v>50.800000000000068</v>
      </c>
      <c r="P41" s="33">
        <f>P40+O41</f>
        <v>815.80000000000007</v>
      </c>
      <c r="Q41" s="394">
        <f>Q40+O41</f>
        <v>759.80000000000007</v>
      </c>
    </row>
    <row r="42" spans="2:17" x14ac:dyDescent="0.2">
      <c r="B42" s="16">
        <v>8</v>
      </c>
      <c r="C42" s="13">
        <v>793</v>
      </c>
      <c r="D42" s="13">
        <v>799</v>
      </c>
      <c r="E42" s="13">
        <v>789</v>
      </c>
      <c r="F42" s="13">
        <v>803</v>
      </c>
      <c r="G42" s="13">
        <v>791</v>
      </c>
      <c r="H42" s="13">
        <v>662</v>
      </c>
      <c r="I42" s="13">
        <v>575</v>
      </c>
      <c r="J42" s="27"/>
      <c r="K42" s="13">
        <f t="shared" si="7"/>
        <v>795</v>
      </c>
      <c r="L42" s="13"/>
      <c r="M42" s="13">
        <f t="shared" si="8"/>
        <v>618.5</v>
      </c>
      <c r="N42" s="23">
        <v>8</v>
      </c>
      <c r="O42" s="47">
        <f t="shared" si="9"/>
        <v>15.799999999999955</v>
      </c>
      <c r="P42" s="33">
        <f>P41+O42</f>
        <v>831.6</v>
      </c>
      <c r="Q42" s="394">
        <f>Q41+O42</f>
        <v>775.6</v>
      </c>
    </row>
    <row r="43" spans="2:17" x14ac:dyDescent="0.2">
      <c r="B43" s="15">
        <v>9</v>
      </c>
      <c r="C43" s="12">
        <v>816</v>
      </c>
      <c r="D43" s="12">
        <v>821</v>
      </c>
      <c r="E43" s="12">
        <v>815</v>
      </c>
      <c r="F43" s="12">
        <v>812</v>
      </c>
      <c r="G43" s="12">
        <v>824</v>
      </c>
      <c r="H43" s="12">
        <v>709</v>
      </c>
      <c r="I43" s="12">
        <v>610</v>
      </c>
      <c r="J43" s="26"/>
      <c r="K43" s="12">
        <f t="shared" si="7"/>
        <v>817.6</v>
      </c>
      <c r="L43" s="12"/>
      <c r="M43" s="12">
        <f t="shared" si="8"/>
        <v>659.5</v>
      </c>
      <c r="N43" s="22">
        <v>9</v>
      </c>
      <c r="O43" s="48">
        <f t="shared" si="9"/>
        <v>22.600000000000023</v>
      </c>
      <c r="P43" s="33">
        <f>P42+O43</f>
        <v>854.2</v>
      </c>
      <c r="Q43" s="394">
        <f>Q42+O43</f>
        <v>798.2</v>
      </c>
    </row>
    <row r="44" spans="2:17" x14ac:dyDescent="0.2">
      <c r="B44" s="15">
        <v>10</v>
      </c>
      <c r="C44" s="12">
        <v>829</v>
      </c>
      <c r="D44" s="12">
        <v>827</v>
      </c>
      <c r="E44" s="12">
        <v>824</v>
      </c>
      <c r="F44" s="12">
        <v>866</v>
      </c>
      <c r="G44" s="12">
        <v>871</v>
      </c>
      <c r="H44" s="12">
        <v>731</v>
      </c>
      <c r="I44" s="12">
        <v>689</v>
      </c>
      <c r="J44" s="26"/>
      <c r="K44" s="12">
        <f t="shared" si="7"/>
        <v>843.4</v>
      </c>
      <c r="L44" s="12"/>
      <c r="M44" s="12">
        <f t="shared" si="8"/>
        <v>710</v>
      </c>
      <c r="N44" s="22">
        <v>10</v>
      </c>
      <c r="O44" s="43">
        <f t="shared" si="9"/>
        <v>25.799999999999955</v>
      </c>
      <c r="P44" s="33">
        <f t="shared" ref="P44:P55" si="10">P43+O44</f>
        <v>880</v>
      </c>
      <c r="Q44" s="394">
        <f>Q43+O44</f>
        <v>824</v>
      </c>
    </row>
    <row r="45" spans="2:17" x14ac:dyDescent="0.2">
      <c r="B45" s="15">
        <v>11</v>
      </c>
      <c r="C45" s="12">
        <v>830</v>
      </c>
      <c r="D45" s="12">
        <v>818</v>
      </c>
      <c r="E45" s="12">
        <v>831</v>
      </c>
      <c r="F45" s="12">
        <v>867</v>
      </c>
      <c r="G45" s="12">
        <v>871</v>
      </c>
      <c r="H45" s="12">
        <v>771</v>
      </c>
      <c r="I45" s="12">
        <v>695</v>
      </c>
      <c r="J45" s="26"/>
      <c r="K45" s="12">
        <f t="shared" si="7"/>
        <v>843.4</v>
      </c>
      <c r="L45" s="12"/>
      <c r="M45" s="12">
        <f t="shared" si="8"/>
        <v>733</v>
      </c>
      <c r="N45" s="22">
        <v>11</v>
      </c>
      <c r="O45" s="43">
        <f t="shared" si="9"/>
        <v>0</v>
      </c>
      <c r="P45" s="33">
        <f t="shared" si="10"/>
        <v>880</v>
      </c>
      <c r="Q45" s="394">
        <f>Q44+O45</f>
        <v>824</v>
      </c>
    </row>
    <row r="46" spans="2:17" x14ac:dyDescent="0.2">
      <c r="B46" s="16">
        <v>12</v>
      </c>
      <c r="C46" s="13">
        <v>819</v>
      </c>
      <c r="D46" s="13">
        <v>803</v>
      </c>
      <c r="E46" s="13">
        <v>831</v>
      </c>
      <c r="F46" s="13">
        <v>861</v>
      </c>
      <c r="G46" s="13">
        <v>882</v>
      </c>
      <c r="H46" s="13">
        <v>762</v>
      </c>
      <c r="I46" s="13">
        <v>704</v>
      </c>
      <c r="J46" s="27"/>
      <c r="K46" s="13">
        <f t="shared" si="7"/>
        <v>839.2</v>
      </c>
      <c r="L46" s="13"/>
      <c r="M46" s="13">
        <f t="shared" si="8"/>
        <v>733</v>
      </c>
      <c r="N46" s="23">
        <v>12</v>
      </c>
      <c r="O46" s="49">
        <f t="shared" si="9"/>
        <v>-4.1999999999999318</v>
      </c>
      <c r="P46" s="33">
        <f t="shared" si="10"/>
        <v>875.80000000000007</v>
      </c>
      <c r="Q46" s="394">
        <f t="shared" ref="Q46:Q55" si="11">Q45+O46</f>
        <v>819.80000000000007</v>
      </c>
    </row>
    <row r="47" spans="2:17" x14ac:dyDescent="0.2">
      <c r="B47" s="15">
        <v>13</v>
      </c>
      <c r="C47" s="12">
        <v>814</v>
      </c>
      <c r="D47" s="12">
        <v>801</v>
      </c>
      <c r="E47" s="12">
        <v>858</v>
      </c>
      <c r="F47" s="12">
        <v>877</v>
      </c>
      <c r="G47" s="12">
        <v>882</v>
      </c>
      <c r="H47" s="12">
        <v>778</v>
      </c>
      <c r="I47" s="12">
        <v>728</v>
      </c>
      <c r="J47" s="26"/>
      <c r="K47" s="12">
        <f t="shared" si="7"/>
        <v>846.4</v>
      </c>
      <c r="L47" s="12"/>
      <c r="M47" s="12">
        <f t="shared" si="8"/>
        <v>753</v>
      </c>
      <c r="N47" s="22">
        <v>13</v>
      </c>
      <c r="O47" s="48">
        <f t="shared" si="9"/>
        <v>7.1999999999999318</v>
      </c>
      <c r="P47" s="33">
        <f t="shared" si="10"/>
        <v>883</v>
      </c>
      <c r="Q47" s="394">
        <f t="shared" si="11"/>
        <v>827</v>
      </c>
    </row>
    <row r="48" spans="2:17" x14ac:dyDescent="0.2">
      <c r="B48" s="15">
        <v>14</v>
      </c>
      <c r="C48" s="12">
        <v>803</v>
      </c>
      <c r="D48" s="12">
        <v>791</v>
      </c>
      <c r="E48" s="12">
        <v>867</v>
      </c>
      <c r="F48" s="12">
        <v>888</v>
      </c>
      <c r="G48" s="12">
        <v>889</v>
      </c>
      <c r="H48" s="12">
        <v>776</v>
      </c>
      <c r="I48" s="12">
        <v>729</v>
      </c>
      <c r="J48" s="26"/>
      <c r="K48" s="12">
        <f t="shared" si="7"/>
        <v>847.6</v>
      </c>
      <c r="L48" s="12"/>
      <c r="M48" s="12">
        <f t="shared" si="8"/>
        <v>752.5</v>
      </c>
      <c r="N48" s="22">
        <v>14</v>
      </c>
      <c r="O48" s="43">
        <f t="shared" si="9"/>
        <v>1.2000000000000455</v>
      </c>
      <c r="P48" s="33">
        <f t="shared" si="10"/>
        <v>884.2</v>
      </c>
      <c r="Q48" s="394">
        <f t="shared" si="11"/>
        <v>828.2</v>
      </c>
    </row>
    <row r="49" spans="1:17" x14ac:dyDescent="0.2">
      <c r="B49" s="15">
        <v>15</v>
      </c>
      <c r="C49" s="12">
        <v>788</v>
      </c>
      <c r="D49" s="12">
        <v>809</v>
      </c>
      <c r="E49" s="12">
        <v>861</v>
      </c>
      <c r="F49" s="12">
        <v>876</v>
      </c>
      <c r="G49" s="12">
        <v>881</v>
      </c>
      <c r="H49" s="12">
        <v>760</v>
      </c>
      <c r="I49" s="12">
        <v>709</v>
      </c>
      <c r="J49" s="26"/>
      <c r="K49" s="12">
        <f t="shared" si="7"/>
        <v>843</v>
      </c>
      <c r="L49" s="12"/>
      <c r="M49" s="12">
        <f t="shared" si="8"/>
        <v>734.5</v>
      </c>
      <c r="N49" s="22">
        <v>15</v>
      </c>
      <c r="O49" s="43">
        <f t="shared" si="9"/>
        <v>-4.6000000000000227</v>
      </c>
      <c r="P49" s="33">
        <f t="shared" si="10"/>
        <v>879.6</v>
      </c>
      <c r="Q49" s="394">
        <f t="shared" si="11"/>
        <v>823.6</v>
      </c>
    </row>
    <row r="50" spans="1:17" x14ac:dyDescent="0.2">
      <c r="B50" s="16">
        <v>16</v>
      </c>
      <c r="C50" s="13">
        <v>788</v>
      </c>
      <c r="D50" s="13">
        <v>788</v>
      </c>
      <c r="E50" s="13">
        <v>849</v>
      </c>
      <c r="F50" s="13">
        <v>865</v>
      </c>
      <c r="G50" s="13">
        <v>871</v>
      </c>
      <c r="H50" s="13">
        <v>760</v>
      </c>
      <c r="I50" s="13">
        <v>732</v>
      </c>
      <c r="J50" s="27"/>
      <c r="K50" s="13">
        <f t="shared" si="7"/>
        <v>832.2</v>
      </c>
      <c r="L50" s="13"/>
      <c r="M50" s="13">
        <f t="shared" si="8"/>
        <v>746</v>
      </c>
      <c r="N50" s="23">
        <v>16</v>
      </c>
      <c r="O50" s="49">
        <f t="shared" si="9"/>
        <v>-10.799999999999955</v>
      </c>
      <c r="P50" s="33">
        <f t="shared" si="10"/>
        <v>868.80000000000007</v>
      </c>
      <c r="Q50" s="394">
        <f t="shared" si="11"/>
        <v>812.80000000000007</v>
      </c>
    </row>
    <row r="51" spans="1:17" x14ac:dyDescent="0.2">
      <c r="B51" s="15">
        <v>17</v>
      </c>
      <c r="C51" s="12">
        <v>778</v>
      </c>
      <c r="D51" s="12">
        <v>774</v>
      </c>
      <c r="E51" s="12">
        <v>828</v>
      </c>
      <c r="F51" s="12">
        <v>850</v>
      </c>
      <c r="G51" s="12">
        <v>843</v>
      </c>
      <c r="H51" s="12">
        <v>752</v>
      </c>
      <c r="I51" s="12">
        <v>708</v>
      </c>
      <c r="J51" s="26"/>
      <c r="K51" s="12">
        <f t="shared" si="7"/>
        <v>814.6</v>
      </c>
      <c r="L51" s="12"/>
      <c r="M51" s="12">
        <f t="shared" si="8"/>
        <v>730</v>
      </c>
      <c r="N51" s="22">
        <v>17</v>
      </c>
      <c r="O51" s="48">
        <f t="shared" si="9"/>
        <v>-17.600000000000023</v>
      </c>
      <c r="P51" s="33">
        <f t="shared" si="10"/>
        <v>851.2</v>
      </c>
      <c r="Q51" s="394">
        <f t="shared" si="11"/>
        <v>795.2</v>
      </c>
    </row>
    <row r="52" spans="1:17" x14ac:dyDescent="0.2">
      <c r="B52" s="15">
        <v>18</v>
      </c>
      <c r="C52" s="12">
        <v>809</v>
      </c>
      <c r="D52" s="12">
        <v>791</v>
      </c>
      <c r="E52" s="12">
        <v>840</v>
      </c>
      <c r="F52" s="12">
        <v>834</v>
      </c>
      <c r="G52" s="12">
        <v>817</v>
      </c>
      <c r="H52" s="12">
        <v>780</v>
      </c>
      <c r="I52" s="12">
        <v>745</v>
      </c>
      <c r="J52" s="26"/>
      <c r="K52" s="12">
        <f t="shared" si="7"/>
        <v>818.2</v>
      </c>
      <c r="L52" s="12"/>
      <c r="M52" s="12">
        <f t="shared" si="8"/>
        <v>762.5</v>
      </c>
      <c r="N52" s="22">
        <v>18</v>
      </c>
      <c r="O52" s="43">
        <f t="shared" si="9"/>
        <v>3.6000000000000227</v>
      </c>
      <c r="P52" s="33">
        <f t="shared" si="10"/>
        <v>854.80000000000007</v>
      </c>
      <c r="Q52" s="394">
        <f t="shared" si="11"/>
        <v>798.80000000000007</v>
      </c>
    </row>
    <row r="53" spans="1:17" x14ac:dyDescent="0.2">
      <c r="B53" s="15">
        <v>19</v>
      </c>
      <c r="C53" s="12">
        <v>875</v>
      </c>
      <c r="D53" s="12">
        <v>877</v>
      </c>
      <c r="E53" s="12">
        <v>879</v>
      </c>
      <c r="F53" s="12">
        <v>897</v>
      </c>
      <c r="G53" s="12">
        <v>868</v>
      </c>
      <c r="H53" s="12">
        <v>827</v>
      </c>
      <c r="I53" s="12">
        <v>822</v>
      </c>
      <c r="J53" s="26"/>
      <c r="K53" s="12">
        <f t="shared" si="7"/>
        <v>879.2</v>
      </c>
      <c r="L53" s="12"/>
      <c r="M53" s="12">
        <f t="shared" si="8"/>
        <v>824.5</v>
      </c>
      <c r="N53" s="22">
        <v>19</v>
      </c>
      <c r="O53" s="43">
        <f t="shared" si="9"/>
        <v>61</v>
      </c>
      <c r="P53" s="33">
        <f t="shared" si="10"/>
        <v>915.80000000000007</v>
      </c>
      <c r="Q53" s="394">
        <f t="shared" si="11"/>
        <v>859.80000000000007</v>
      </c>
    </row>
    <row r="54" spans="1:17" x14ac:dyDescent="0.2">
      <c r="B54" s="16">
        <v>20</v>
      </c>
      <c r="C54" s="13">
        <v>859</v>
      </c>
      <c r="D54" s="13">
        <v>842</v>
      </c>
      <c r="E54" s="13">
        <v>888</v>
      </c>
      <c r="F54" s="13">
        <v>879</v>
      </c>
      <c r="G54" s="13">
        <v>841</v>
      </c>
      <c r="H54" s="13">
        <v>793</v>
      </c>
      <c r="I54" s="13">
        <v>797</v>
      </c>
      <c r="J54" s="27"/>
      <c r="K54" s="13">
        <f t="shared" si="7"/>
        <v>861.8</v>
      </c>
      <c r="L54" s="13"/>
      <c r="M54" s="13">
        <f t="shared" si="8"/>
        <v>795</v>
      </c>
      <c r="N54" s="23">
        <v>20</v>
      </c>
      <c r="O54" s="49">
        <f t="shared" si="9"/>
        <v>-17.400000000000091</v>
      </c>
      <c r="P54" s="33">
        <f t="shared" si="10"/>
        <v>898.4</v>
      </c>
      <c r="Q54" s="394">
        <f t="shared" si="11"/>
        <v>842.4</v>
      </c>
    </row>
    <row r="55" spans="1:17" x14ac:dyDescent="0.2">
      <c r="B55" s="15">
        <v>21</v>
      </c>
      <c r="C55" s="12">
        <v>819</v>
      </c>
      <c r="D55" s="12">
        <v>799</v>
      </c>
      <c r="E55" s="12">
        <v>848</v>
      </c>
      <c r="F55" s="12">
        <v>838</v>
      </c>
      <c r="G55" s="12">
        <v>792</v>
      </c>
      <c r="H55" s="12">
        <v>788</v>
      </c>
      <c r="I55" s="12">
        <v>779</v>
      </c>
      <c r="J55" s="26"/>
      <c r="K55" s="12">
        <f t="shared" si="7"/>
        <v>819.2</v>
      </c>
      <c r="L55" s="12"/>
      <c r="M55" s="12">
        <f t="shared" si="8"/>
        <v>783.5</v>
      </c>
      <c r="N55" s="22">
        <v>21</v>
      </c>
      <c r="O55" s="48">
        <f t="shared" si="9"/>
        <v>-42.599999999999909</v>
      </c>
      <c r="P55" s="33">
        <f t="shared" si="10"/>
        <v>855.80000000000007</v>
      </c>
      <c r="Q55" s="394">
        <f t="shared" si="11"/>
        <v>799.80000000000007</v>
      </c>
    </row>
    <row r="56" spans="1:17" x14ac:dyDescent="0.2">
      <c r="B56" s="15">
        <v>22</v>
      </c>
      <c r="C56" s="12">
        <v>746</v>
      </c>
      <c r="D56" s="12">
        <v>742</v>
      </c>
      <c r="E56" s="12">
        <v>762</v>
      </c>
      <c r="F56" s="12">
        <v>765</v>
      </c>
      <c r="G56" s="12">
        <v>760</v>
      </c>
      <c r="H56" s="12">
        <v>737</v>
      </c>
      <c r="I56" s="12">
        <v>689</v>
      </c>
      <c r="J56" s="26"/>
      <c r="K56" s="12">
        <f t="shared" si="7"/>
        <v>755</v>
      </c>
      <c r="L56" s="12"/>
      <c r="M56" s="12">
        <f t="shared" si="8"/>
        <v>713</v>
      </c>
      <c r="N56" s="22">
        <v>22</v>
      </c>
      <c r="O56" s="43">
        <f t="shared" si="9"/>
        <v>-64.200000000000045</v>
      </c>
      <c r="P56" s="33"/>
      <c r="Q56" s="33"/>
    </row>
    <row r="57" spans="1:17" x14ac:dyDescent="0.2">
      <c r="B57" s="15">
        <v>23</v>
      </c>
      <c r="C57" s="12">
        <v>667</v>
      </c>
      <c r="D57" s="12">
        <v>665</v>
      </c>
      <c r="E57" s="12">
        <v>686</v>
      </c>
      <c r="F57" s="12">
        <v>697</v>
      </c>
      <c r="G57" s="12">
        <v>693</v>
      </c>
      <c r="H57" s="12">
        <v>635</v>
      </c>
      <c r="I57" s="12">
        <v>617</v>
      </c>
      <c r="J57" s="26"/>
      <c r="K57" s="12">
        <f t="shared" si="7"/>
        <v>681.6</v>
      </c>
      <c r="L57" s="12"/>
      <c r="M57" s="12">
        <f t="shared" si="8"/>
        <v>626</v>
      </c>
      <c r="N57" s="22">
        <v>23</v>
      </c>
      <c r="O57" s="43">
        <f t="shared" si="9"/>
        <v>-73.399999999999977</v>
      </c>
      <c r="P57" s="33"/>
      <c r="Q57" s="33"/>
    </row>
    <row r="58" spans="1:17" x14ac:dyDescent="0.2">
      <c r="B58" s="16">
        <v>24</v>
      </c>
      <c r="C58" s="13">
        <v>610</v>
      </c>
      <c r="D58" s="12">
        <v>608</v>
      </c>
      <c r="E58" s="12">
        <v>640</v>
      </c>
      <c r="F58" s="12">
        <v>646</v>
      </c>
      <c r="G58" s="12">
        <v>643</v>
      </c>
      <c r="H58" s="12">
        <v>628</v>
      </c>
      <c r="I58" s="12">
        <v>598</v>
      </c>
      <c r="J58" s="27"/>
      <c r="K58" s="12">
        <f t="shared" si="7"/>
        <v>629.4</v>
      </c>
      <c r="L58" s="13"/>
      <c r="M58" s="12">
        <f t="shared" si="8"/>
        <v>613</v>
      </c>
      <c r="N58" s="23">
        <v>24</v>
      </c>
      <c r="O58" s="49">
        <f t="shared" si="9"/>
        <v>-52.200000000000045</v>
      </c>
      <c r="P58" s="33"/>
    </row>
    <row r="59" spans="1:17" ht="13.5" thickBot="1" x14ac:dyDescent="0.25">
      <c r="B59" s="17" t="s">
        <v>54</v>
      </c>
      <c r="C59" s="25">
        <f t="shared" ref="C59:I59" si="12">SUM(C35:C58)</f>
        <v>17765</v>
      </c>
      <c r="D59" s="25">
        <f t="shared" si="12"/>
        <v>17929</v>
      </c>
      <c r="E59" s="25">
        <f t="shared" si="12"/>
        <v>18431</v>
      </c>
      <c r="F59" s="25">
        <f t="shared" si="12"/>
        <v>18644</v>
      </c>
      <c r="G59" s="25">
        <f t="shared" si="12"/>
        <v>18533</v>
      </c>
      <c r="H59" s="25">
        <f t="shared" si="12"/>
        <v>16883</v>
      </c>
      <c r="I59" s="25">
        <f t="shared" si="12"/>
        <v>15925</v>
      </c>
      <c r="J59" s="25"/>
      <c r="K59" s="25">
        <f>SUM(K35:K58)</f>
        <v>18260.400000000001</v>
      </c>
      <c r="L59" s="25"/>
      <c r="M59" s="25">
        <f>SUM(M35:M58)</f>
        <v>16404</v>
      </c>
      <c r="N59" s="24"/>
      <c r="O59" s="44"/>
    </row>
    <row r="60" spans="1:17" ht="13.5" thickTop="1" x14ac:dyDescent="0.2">
      <c r="B60" s="410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2"/>
      <c r="O60" s="413"/>
    </row>
    <row r="61" spans="1:17" x14ac:dyDescent="0.2">
      <c r="K61" s="110"/>
    </row>
    <row r="62" spans="1:17" x14ac:dyDescent="0.2">
      <c r="A62" s="10"/>
      <c r="B62" s="10"/>
      <c r="C62" s="10"/>
      <c r="D62" s="10"/>
      <c r="E62" s="10"/>
      <c r="F62" s="10"/>
      <c r="H62" s="10"/>
      <c r="I62" s="10"/>
      <c r="J62" s="10"/>
      <c r="K62" s="10"/>
      <c r="L62" s="10"/>
      <c r="M62" s="10"/>
      <c r="N62" s="10"/>
    </row>
    <row r="63" spans="1:17" ht="15.75" x14ac:dyDescent="0.25">
      <c r="G63" s="11" t="s">
        <v>58</v>
      </c>
    </row>
    <row r="64" spans="1:17" x14ac:dyDescent="0.2">
      <c r="C64">
        <f>I33+1</f>
        <v>13</v>
      </c>
      <c r="D64">
        <f t="shared" ref="D64:I64" si="13">C64+1</f>
        <v>14</v>
      </c>
      <c r="E64">
        <f t="shared" si="13"/>
        <v>15</v>
      </c>
      <c r="F64">
        <f t="shared" si="13"/>
        <v>16</v>
      </c>
      <c r="G64">
        <f t="shared" si="13"/>
        <v>17</v>
      </c>
      <c r="H64">
        <f t="shared" si="13"/>
        <v>18</v>
      </c>
      <c r="I64">
        <f t="shared" si="13"/>
        <v>19</v>
      </c>
    </row>
    <row r="65" spans="2:16" x14ac:dyDescent="0.2">
      <c r="B65" s="14" t="s">
        <v>53</v>
      </c>
      <c r="C65" s="18" t="s">
        <v>46</v>
      </c>
      <c r="D65" s="18" t="s">
        <v>47</v>
      </c>
      <c r="E65" s="18" t="s">
        <v>48</v>
      </c>
      <c r="F65" s="18" t="s">
        <v>49</v>
      </c>
      <c r="G65" s="18" t="s">
        <v>50</v>
      </c>
      <c r="H65" s="18" t="s">
        <v>51</v>
      </c>
      <c r="I65" s="18" t="s">
        <v>52</v>
      </c>
      <c r="J65" s="19"/>
      <c r="K65" s="299" t="s">
        <v>143</v>
      </c>
      <c r="L65" s="20"/>
      <c r="M65" s="299" t="s">
        <v>144</v>
      </c>
      <c r="N65" s="21" t="s">
        <v>53</v>
      </c>
      <c r="O65" s="42" t="s">
        <v>63</v>
      </c>
    </row>
    <row r="66" spans="2:16" x14ac:dyDescent="0.2">
      <c r="B66" s="31">
        <v>1</v>
      </c>
      <c r="C66" s="29">
        <v>558</v>
      </c>
      <c r="D66" s="29">
        <v>619</v>
      </c>
      <c r="E66" s="29">
        <v>599</v>
      </c>
      <c r="F66" s="29">
        <v>595</v>
      </c>
      <c r="G66" s="120">
        <v>604</v>
      </c>
      <c r="H66" s="29">
        <v>593</v>
      </c>
      <c r="I66" s="29">
        <v>573</v>
      </c>
      <c r="J66" s="30"/>
      <c r="K66" s="29">
        <f>AVERAGE(C66:G66)</f>
        <v>595</v>
      </c>
      <c r="L66" s="29"/>
      <c r="M66" s="29">
        <f>AVERAGE(H66:I66)</f>
        <v>583</v>
      </c>
      <c r="N66" s="32">
        <v>1</v>
      </c>
      <c r="O66" s="48">
        <f>K66-K89</f>
        <v>-35.600000000000023</v>
      </c>
    </row>
    <row r="67" spans="2:16" x14ac:dyDescent="0.2">
      <c r="B67" s="15">
        <v>2</v>
      </c>
      <c r="C67" s="12">
        <v>548</v>
      </c>
      <c r="D67" s="12">
        <v>595</v>
      </c>
      <c r="E67" s="12">
        <v>586</v>
      </c>
      <c r="F67" s="12">
        <v>582</v>
      </c>
      <c r="G67" s="34">
        <v>601</v>
      </c>
      <c r="H67" s="12">
        <v>597</v>
      </c>
      <c r="I67" s="12">
        <v>572</v>
      </c>
      <c r="J67" s="26"/>
      <c r="K67" s="12">
        <f t="shared" ref="K67:K89" si="14">AVERAGE(C67:G67)</f>
        <v>582.4</v>
      </c>
      <c r="L67" s="12"/>
      <c r="M67" s="12">
        <f t="shared" ref="M67:M89" si="15">AVERAGE(H67:I67)</f>
        <v>584.5</v>
      </c>
      <c r="N67" s="22">
        <v>2</v>
      </c>
      <c r="O67" s="43">
        <f>K67-K66</f>
        <v>-12.600000000000023</v>
      </c>
    </row>
    <row r="68" spans="2:16" x14ac:dyDescent="0.2">
      <c r="B68" s="15">
        <v>3</v>
      </c>
      <c r="C68" s="12">
        <v>562</v>
      </c>
      <c r="D68" s="12">
        <v>596</v>
      </c>
      <c r="E68" s="12">
        <v>575</v>
      </c>
      <c r="F68" s="12">
        <v>575</v>
      </c>
      <c r="G68" s="34">
        <v>567</v>
      </c>
      <c r="H68" s="12">
        <v>576</v>
      </c>
      <c r="I68" s="12">
        <v>549</v>
      </c>
      <c r="J68" s="26"/>
      <c r="K68" s="12">
        <f t="shared" si="14"/>
        <v>575</v>
      </c>
      <c r="L68" s="12"/>
      <c r="M68" s="12">
        <f t="shared" si="15"/>
        <v>562.5</v>
      </c>
      <c r="N68" s="22">
        <v>3</v>
      </c>
      <c r="O68" s="43">
        <f t="shared" ref="O68:O89" si="16">K68-K67</f>
        <v>-7.3999999999999773</v>
      </c>
    </row>
    <row r="69" spans="2:16" x14ac:dyDescent="0.2">
      <c r="B69" s="16">
        <v>4</v>
      </c>
      <c r="C69" s="13">
        <v>579</v>
      </c>
      <c r="D69" s="13">
        <v>609</v>
      </c>
      <c r="E69" s="13">
        <v>611</v>
      </c>
      <c r="F69" s="13">
        <v>577</v>
      </c>
      <c r="G69" s="121">
        <v>562</v>
      </c>
      <c r="H69" s="13">
        <v>573</v>
      </c>
      <c r="I69" s="13">
        <v>563</v>
      </c>
      <c r="J69" s="27"/>
      <c r="K69" s="13">
        <f t="shared" si="14"/>
        <v>587.6</v>
      </c>
      <c r="L69" s="13"/>
      <c r="M69" s="13">
        <f t="shared" si="15"/>
        <v>568</v>
      </c>
      <c r="N69" s="23">
        <v>4</v>
      </c>
      <c r="O69" s="49">
        <f t="shared" si="16"/>
        <v>12.600000000000023</v>
      </c>
    </row>
    <row r="70" spans="2:16" x14ac:dyDescent="0.2">
      <c r="B70" s="31">
        <v>5</v>
      </c>
      <c r="C70" s="29">
        <v>641</v>
      </c>
      <c r="D70" s="29">
        <v>632</v>
      </c>
      <c r="E70" s="29">
        <v>643</v>
      </c>
      <c r="F70" s="29">
        <v>638</v>
      </c>
      <c r="G70" s="120">
        <v>633</v>
      </c>
      <c r="H70" s="29">
        <v>583</v>
      </c>
      <c r="I70" s="29">
        <v>554</v>
      </c>
      <c r="J70" s="30"/>
      <c r="K70" s="29">
        <f t="shared" si="14"/>
        <v>637.4</v>
      </c>
      <c r="L70" s="29"/>
      <c r="M70" s="29">
        <f t="shared" si="15"/>
        <v>568.5</v>
      </c>
      <c r="N70" s="32">
        <v>5</v>
      </c>
      <c r="O70" s="45">
        <f t="shared" si="16"/>
        <v>49.799999999999955</v>
      </c>
    </row>
    <row r="71" spans="2:16" x14ac:dyDescent="0.2">
      <c r="B71" s="15">
        <v>6</v>
      </c>
      <c r="C71" s="12">
        <v>717</v>
      </c>
      <c r="D71" s="12">
        <v>719</v>
      </c>
      <c r="E71" s="12">
        <v>741</v>
      </c>
      <c r="F71" s="12">
        <v>708</v>
      </c>
      <c r="G71" s="34">
        <v>719</v>
      </c>
      <c r="H71" s="12">
        <v>608</v>
      </c>
      <c r="I71" s="12">
        <v>588</v>
      </c>
      <c r="J71" s="26"/>
      <c r="K71" s="12">
        <f t="shared" si="14"/>
        <v>720.8</v>
      </c>
      <c r="L71" s="12"/>
      <c r="M71" s="12">
        <f t="shared" si="15"/>
        <v>598</v>
      </c>
      <c r="N71" s="22">
        <v>6</v>
      </c>
      <c r="O71" s="46">
        <f t="shared" si="16"/>
        <v>83.399999999999977</v>
      </c>
      <c r="P71">
        <v>705</v>
      </c>
    </row>
    <row r="72" spans="2:16" x14ac:dyDescent="0.2">
      <c r="B72" s="15">
        <v>7</v>
      </c>
      <c r="C72" s="12">
        <v>762</v>
      </c>
      <c r="D72" s="12">
        <v>778</v>
      </c>
      <c r="E72" s="12">
        <v>783</v>
      </c>
      <c r="F72" s="12">
        <v>760</v>
      </c>
      <c r="G72" s="34">
        <v>755</v>
      </c>
      <c r="H72" s="12">
        <v>658</v>
      </c>
      <c r="I72" s="12">
        <v>569</v>
      </c>
      <c r="J72" s="26"/>
      <c r="K72" s="12">
        <f t="shared" si="14"/>
        <v>767.6</v>
      </c>
      <c r="L72" s="12"/>
      <c r="M72" s="12">
        <f t="shared" si="15"/>
        <v>613.5</v>
      </c>
      <c r="N72" s="22">
        <v>7</v>
      </c>
      <c r="O72" s="46">
        <f t="shared" si="16"/>
        <v>46.800000000000068</v>
      </c>
      <c r="P72" s="130">
        <f>P71+O72</f>
        <v>751.80000000000007</v>
      </c>
    </row>
    <row r="73" spans="2:16" x14ac:dyDescent="0.2">
      <c r="B73" s="16">
        <v>8</v>
      </c>
      <c r="C73" s="13">
        <v>756</v>
      </c>
      <c r="D73" s="13">
        <v>794</v>
      </c>
      <c r="E73" s="13">
        <v>795</v>
      </c>
      <c r="F73" s="13">
        <v>779</v>
      </c>
      <c r="G73" s="121">
        <v>777</v>
      </c>
      <c r="H73" s="13">
        <v>688</v>
      </c>
      <c r="I73" s="13">
        <v>609</v>
      </c>
      <c r="J73" s="27"/>
      <c r="K73" s="13">
        <f t="shared" si="14"/>
        <v>780.2</v>
      </c>
      <c r="L73" s="13"/>
      <c r="M73" s="13">
        <f t="shared" si="15"/>
        <v>648.5</v>
      </c>
      <c r="N73" s="23">
        <v>8</v>
      </c>
      <c r="O73" s="47">
        <f t="shared" si="16"/>
        <v>12.600000000000023</v>
      </c>
      <c r="P73" s="130">
        <f>P72+O73</f>
        <v>764.40000000000009</v>
      </c>
    </row>
    <row r="74" spans="2:16" x14ac:dyDescent="0.2">
      <c r="B74" s="15">
        <v>9</v>
      </c>
      <c r="C74" s="12">
        <v>784</v>
      </c>
      <c r="D74" s="12">
        <v>807</v>
      </c>
      <c r="E74" s="12">
        <v>835</v>
      </c>
      <c r="F74" s="12">
        <v>798</v>
      </c>
      <c r="G74" s="34">
        <v>805</v>
      </c>
      <c r="H74" s="12">
        <v>715</v>
      </c>
      <c r="I74" s="12">
        <v>630</v>
      </c>
      <c r="J74" s="26"/>
      <c r="K74" s="12">
        <f t="shared" si="14"/>
        <v>805.8</v>
      </c>
      <c r="L74" s="12"/>
      <c r="M74" s="12">
        <f t="shared" si="15"/>
        <v>672.5</v>
      </c>
      <c r="N74" s="22">
        <v>9</v>
      </c>
      <c r="O74" s="48">
        <f t="shared" si="16"/>
        <v>25.599999999999909</v>
      </c>
      <c r="P74" s="130">
        <f>P73+O74</f>
        <v>790</v>
      </c>
    </row>
    <row r="75" spans="2:16" x14ac:dyDescent="0.2">
      <c r="B75" s="15">
        <v>10</v>
      </c>
      <c r="C75" s="12">
        <v>829</v>
      </c>
      <c r="D75" s="12">
        <v>828</v>
      </c>
      <c r="E75" s="12">
        <v>859</v>
      </c>
      <c r="F75" s="12">
        <v>794</v>
      </c>
      <c r="G75" s="34">
        <v>849</v>
      </c>
      <c r="H75" s="12">
        <v>750</v>
      </c>
      <c r="I75" s="12">
        <v>668</v>
      </c>
      <c r="J75" s="26"/>
      <c r="K75" s="12">
        <f t="shared" si="14"/>
        <v>831.8</v>
      </c>
      <c r="L75" s="12"/>
      <c r="M75" s="12">
        <f t="shared" si="15"/>
        <v>709</v>
      </c>
      <c r="N75" s="22">
        <v>10</v>
      </c>
      <c r="O75" s="43">
        <f t="shared" si="16"/>
        <v>26</v>
      </c>
      <c r="P75" s="130">
        <f t="shared" ref="P75:P89" si="17">P74+O75</f>
        <v>816</v>
      </c>
    </row>
    <row r="76" spans="2:16" x14ac:dyDescent="0.2">
      <c r="B76" s="15">
        <v>11</v>
      </c>
      <c r="C76" s="12">
        <v>847</v>
      </c>
      <c r="D76" s="12">
        <v>848</v>
      </c>
      <c r="E76" s="12">
        <v>858</v>
      </c>
      <c r="F76" s="12">
        <v>805</v>
      </c>
      <c r="G76" s="34">
        <v>855</v>
      </c>
      <c r="H76" s="12">
        <v>729</v>
      </c>
      <c r="I76" s="12">
        <v>682</v>
      </c>
      <c r="J76" s="26"/>
      <c r="K76" s="12">
        <f t="shared" si="14"/>
        <v>842.6</v>
      </c>
      <c r="L76" s="12"/>
      <c r="M76" s="12">
        <f t="shared" si="15"/>
        <v>705.5</v>
      </c>
      <c r="N76" s="22">
        <v>11</v>
      </c>
      <c r="O76" s="43">
        <f t="shared" si="16"/>
        <v>10.800000000000068</v>
      </c>
      <c r="P76" s="130">
        <f t="shared" si="17"/>
        <v>826.80000000000007</v>
      </c>
    </row>
    <row r="77" spans="2:16" x14ac:dyDescent="0.2">
      <c r="B77" s="16">
        <v>12</v>
      </c>
      <c r="C77" s="13">
        <v>869</v>
      </c>
      <c r="D77" s="13">
        <v>866</v>
      </c>
      <c r="E77" s="13">
        <v>888</v>
      </c>
      <c r="F77" s="13">
        <v>798</v>
      </c>
      <c r="G77" s="121">
        <v>862</v>
      </c>
      <c r="H77" s="13">
        <v>742</v>
      </c>
      <c r="I77" s="13">
        <v>677</v>
      </c>
      <c r="J77" s="27"/>
      <c r="K77" s="13">
        <f t="shared" si="14"/>
        <v>856.6</v>
      </c>
      <c r="L77" s="13"/>
      <c r="M77" s="13">
        <f t="shared" si="15"/>
        <v>709.5</v>
      </c>
      <c r="N77" s="23">
        <v>12</v>
      </c>
      <c r="O77" s="49">
        <f t="shared" si="16"/>
        <v>14</v>
      </c>
      <c r="P77" s="130">
        <f t="shared" si="17"/>
        <v>840.80000000000007</v>
      </c>
    </row>
    <row r="78" spans="2:16" x14ac:dyDescent="0.2">
      <c r="B78" s="15">
        <v>13</v>
      </c>
      <c r="C78" s="12">
        <v>892</v>
      </c>
      <c r="D78" s="12">
        <v>878</v>
      </c>
      <c r="E78" s="12">
        <v>858</v>
      </c>
      <c r="F78" s="12">
        <v>797</v>
      </c>
      <c r="G78" s="34">
        <v>871</v>
      </c>
      <c r="H78" s="12">
        <v>726</v>
      </c>
      <c r="I78" s="12">
        <v>685</v>
      </c>
      <c r="J78" s="26"/>
      <c r="K78" s="12">
        <f t="shared" si="14"/>
        <v>859.2</v>
      </c>
      <c r="L78" s="12"/>
      <c r="M78" s="12">
        <f t="shared" si="15"/>
        <v>705.5</v>
      </c>
      <c r="N78" s="22">
        <v>13</v>
      </c>
      <c r="O78" s="48">
        <f t="shared" si="16"/>
        <v>2.6000000000000227</v>
      </c>
      <c r="P78" s="130">
        <f t="shared" si="17"/>
        <v>843.40000000000009</v>
      </c>
    </row>
    <row r="79" spans="2:16" x14ac:dyDescent="0.2">
      <c r="B79" s="15">
        <v>14</v>
      </c>
      <c r="C79" s="12">
        <v>905</v>
      </c>
      <c r="D79" s="12">
        <v>870</v>
      </c>
      <c r="E79" s="12">
        <v>852</v>
      </c>
      <c r="F79" s="12">
        <v>802</v>
      </c>
      <c r="G79" s="34">
        <v>868</v>
      </c>
      <c r="H79" s="12">
        <v>716</v>
      </c>
      <c r="I79" s="12">
        <v>704</v>
      </c>
      <c r="J79" s="26"/>
      <c r="K79" s="12">
        <f t="shared" si="14"/>
        <v>859.4</v>
      </c>
      <c r="L79" s="12"/>
      <c r="M79" s="12">
        <f t="shared" si="15"/>
        <v>710</v>
      </c>
      <c r="N79" s="22">
        <v>14</v>
      </c>
      <c r="O79" s="43">
        <f t="shared" si="16"/>
        <v>0.19999999999993179</v>
      </c>
      <c r="P79" s="130">
        <f t="shared" si="17"/>
        <v>843.6</v>
      </c>
    </row>
    <row r="80" spans="2:16" x14ac:dyDescent="0.2">
      <c r="B80" s="15">
        <v>15</v>
      </c>
      <c r="C80" s="12">
        <v>911</v>
      </c>
      <c r="D80" s="12">
        <v>897</v>
      </c>
      <c r="E80" s="12">
        <v>850</v>
      </c>
      <c r="F80" s="12">
        <v>799</v>
      </c>
      <c r="G80" s="34">
        <v>861</v>
      </c>
      <c r="H80" s="12">
        <v>691</v>
      </c>
      <c r="I80" s="12">
        <v>669</v>
      </c>
      <c r="J80" s="26"/>
      <c r="K80" s="12">
        <f t="shared" si="14"/>
        <v>863.6</v>
      </c>
      <c r="L80" s="12"/>
      <c r="M80" s="12">
        <f t="shared" si="15"/>
        <v>680</v>
      </c>
      <c r="N80" s="22">
        <v>15</v>
      </c>
      <c r="O80" s="43">
        <f t="shared" si="16"/>
        <v>4.2000000000000455</v>
      </c>
      <c r="P80" s="130">
        <f t="shared" si="17"/>
        <v>847.80000000000007</v>
      </c>
    </row>
    <row r="81" spans="1:16" x14ac:dyDescent="0.2">
      <c r="B81" s="16">
        <v>16</v>
      </c>
      <c r="C81" s="13">
        <v>900</v>
      </c>
      <c r="D81" s="13">
        <v>888</v>
      </c>
      <c r="E81" s="13">
        <v>844</v>
      </c>
      <c r="F81" s="13">
        <v>776</v>
      </c>
      <c r="G81" s="121">
        <v>833</v>
      </c>
      <c r="H81" s="13">
        <v>707</v>
      </c>
      <c r="I81" s="13">
        <v>681</v>
      </c>
      <c r="J81" s="27"/>
      <c r="K81" s="13">
        <f t="shared" si="14"/>
        <v>848.2</v>
      </c>
      <c r="L81" s="13"/>
      <c r="M81" s="13">
        <f t="shared" si="15"/>
        <v>694</v>
      </c>
      <c r="N81" s="23">
        <v>16</v>
      </c>
      <c r="O81" s="49">
        <f t="shared" si="16"/>
        <v>-15.399999999999977</v>
      </c>
      <c r="P81" s="130">
        <f t="shared" si="17"/>
        <v>832.40000000000009</v>
      </c>
    </row>
    <row r="82" spans="1:16" x14ac:dyDescent="0.2">
      <c r="B82" s="15">
        <v>17</v>
      </c>
      <c r="C82" s="12">
        <v>858</v>
      </c>
      <c r="D82" s="12">
        <v>857</v>
      </c>
      <c r="E82" s="12">
        <v>828</v>
      </c>
      <c r="F82" s="12">
        <v>778</v>
      </c>
      <c r="G82" s="34">
        <v>800</v>
      </c>
      <c r="H82" s="12">
        <v>691</v>
      </c>
      <c r="I82" s="12">
        <v>705</v>
      </c>
      <c r="J82" s="26"/>
      <c r="K82" s="12">
        <f t="shared" si="14"/>
        <v>824.2</v>
      </c>
      <c r="L82" s="12"/>
      <c r="M82" s="12">
        <f t="shared" si="15"/>
        <v>698</v>
      </c>
      <c r="N82" s="22">
        <v>17</v>
      </c>
      <c r="O82" s="48">
        <f t="shared" si="16"/>
        <v>-24</v>
      </c>
      <c r="P82" s="130">
        <f t="shared" si="17"/>
        <v>808.40000000000009</v>
      </c>
    </row>
    <row r="83" spans="1:16" x14ac:dyDescent="0.2">
      <c r="B83" s="15">
        <v>18</v>
      </c>
      <c r="C83" s="12">
        <v>840</v>
      </c>
      <c r="D83" s="12">
        <v>901</v>
      </c>
      <c r="E83" s="12">
        <v>831</v>
      </c>
      <c r="F83" s="12">
        <v>845</v>
      </c>
      <c r="G83" s="34">
        <v>836</v>
      </c>
      <c r="H83" s="12">
        <v>731</v>
      </c>
      <c r="I83" s="12">
        <v>748</v>
      </c>
      <c r="J83" s="26"/>
      <c r="K83" s="12">
        <f t="shared" si="14"/>
        <v>850.6</v>
      </c>
      <c r="L83" s="12"/>
      <c r="M83" s="12">
        <f t="shared" si="15"/>
        <v>739.5</v>
      </c>
      <c r="N83" s="22">
        <v>18</v>
      </c>
      <c r="O83" s="43">
        <f t="shared" si="16"/>
        <v>26.399999999999977</v>
      </c>
      <c r="P83" s="130">
        <f t="shared" si="17"/>
        <v>834.80000000000007</v>
      </c>
    </row>
    <row r="84" spans="1:16" x14ac:dyDescent="0.2">
      <c r="B84" s="15">
        <v>19</v>
      </c>
      <c r="C84" s="12">
        <v>931</v>
      </c>
      <c r="D84" s="12">
        <v>901</v>
      </c>
      <c r="E84" s="12">
        <v>909</v>
      </c>
      <c r="F84" s="12">
        <v>847</v>
      </c>
      <c r="G84" s="34">
        <v>850</v>
      </c>
      <c r="H84" s="12">
        <v>778</v>
      </c>
      <c r="I84" s="12">
        <v>783</v>
      </c>
      <c r="J84" s="26"/>
      <c r="K84" s="12">
        <f t="shared" si="14"/>
        <v>887.6</v>
      </c>
      <c r="L84" s="12"/>
      <c r="M84" s="12">
        <f t="shared" si="15"/>
        <v>780.5</v>
      </c>
      <c r="N84" s="22">
        <v>19</v>
      </c>
      <c r="O84" s="43">
        <f t="shared" si="16"/>
        <v>37</v>
      </c>
      <c r="P84" s="130">
        <f t="shared" si="17"/>
        <v>871.80000000000007</v>
      </c>
    </row>
    <row r="85" spans="1:16" x14ac:dyDescent="0.2">
      <c r="B85" s="16">
        <v>20</v>
      </c>
      <c r="C85" s="13">
        <v>894</v>
      </c>
      <c r="D85" s="13">
        <v>895</v>
      </c>
      <c r="E85" s="13">
        <v>871</v>
      </c>
      <c r="F85" s="13">
        <v>863</v>
      </c>
      <c r="G85" s="121">
        <v>826</v>
      </c>
      <c r="H85" s="13">
        <v>763</v>
      </c>
      <c r="I85" s="13">
        <v>778</v>
      </c>
      <c r="J85" s="27"/>
      <c r="K85" s="13">
        <f t="shared" si="14"/>
        <v>869.8</v>
      </c>
      <c r="L85" s="13"/>
      <c r="M85" s="13">
        <f t="shared" si="15"/>
        <v>770.5</v>
      </c>
      <c r="N85" s="23">
        <v>20</v>
      </c>
      <c r="O85" s="49">
        <f t="shared" si="16"/>
        <v>-17.800000000000068</v>
      </c>
      <c r="P85" s="130">
        <f t="shared" si="17"/>
        <v>854</v>
      </c>
    </row>
    <row r="86" spans="1:16" x14ac:dyDescent="0.2">
      <c r="B86" s="15">
        <v>21</v>
      </c>
      <c r="C86" s="12">
        <v>820</v>
      </c>
      <c r="D86" s="12">
        <v>812</v>
      </c>
      <c r="E86" s="12">
        <v>823</v>
      </c>
      <c r="F86" s="12">
        <v>787</v>
      </c>
      <c r="G86" s="34">
        <v>783</v>
      </c>
      <c r="H86" s="12">
        <v>749</v>
      </c>
      <c r="I86" s="12">
        <v>742</v>
      </c>
      <c r="J86" s="26"/>
      <c r="K86" s="12">
        <f t="shared" si="14"/>
        <v>805</v>
      </c>
      <c r="L86" s="12"/>
      <c r="M86" s="12">
        <f t="shared" si="15"/>
        <v>745.5</v>
      </c>
      <c r="N86" s="22">
        <v>21</v>
      </c>
      <c r="O86" s="48">
        <f t="shared" si="16"/>
        <v>-64.799999999999955</v>
      </c>
      <c r="P86" s="130">
        <f t="shared" si="17"/>
        <v>789.2</v>
      </c>
    </row>
    <row r="87" spans="1:16" x14ac:dyDescent="0.2">
      <c r="B87" s="15">
        <v>22</v>
      </c>
      <c r="C87" s="12">
        <v>772</v>
      </c>
      <c r="D87" s="12">
        <v>774</v>
      </c>
      <c r="E87" s="12">
        <v>724</v>
      </c>
      <c r="F87" s="12">
        <v>742</v>
      </c>
      <c r="G87" s="34">
        <v>742</v>
      </c>
      <c r="H87" s="12">
        <v>699</v>
      </c>
      <c r="I87" s="12">
        <v>687</v>
      </c>
      <c r="J87" s="26"/>
      <c r="K87" s="12">
        <f t="shared" si="14"/>
        <v>750.8</v>
      </c>
      <c r="L87" s="12"/>
      <c r="M87" s="12">
        <f t="shared" si="15"/>
        <v>693</v>
      </c>
      <c r="N87" s="22">
        <v>22</v>
      </c>
      <c r="O87" s="43">
        <f t="shared" si="16"/>
        <v>-54.200000000000045</v>
      </c>
      <c r="P87" s="130">
        <f t="shared" si="17"/>
        <v>735</v>
      </c>
    </row>
    <row r="88" spans="1:16" x14ac:dyDescent="0.2">
      <c r="B88" s="15">
        <v>23</v>
      </c>
      <c r="C88" s="12">
        <v>680</v>
      </c>
      <c r="D88" s="12">
        <v>679</v>
      </c>
      <c r="E88" s="12">
        <v>667</v>
      </c>
      <c r="F88" s="12">
        <v>663</v>
      </c>
      <c r="G88" s="34">
        <v>658</v>
      </c>
      <c r="H88" s="12">
        <v>648</v>
      </c>
      <c r="I88" s="12">
        <v>617</v>
      </c>
      <c r="J88" s="26"/>
      <c r="K88" s="12">
        <f t="shared" si="14"/>
        <v>669.4</v>
      </c>
      <c r="L88" s="12"/>
      <c r="M88" s="12">
        <f t="shared" si="15"/>
        <v>632.5</v>
      </c>
      <c r="N88" s="22">
        <v>23</v>
      </c>
      <c r="O88" s="43">
        <f t="shared" si="16"/>
        <v>-81.399999999999977</v>
      </c>
      <c r="P88" s="130">
        <f t="shared" si="17"/>
        <v>653.6</v>
      </c>
    </row>
    <row r="89" spans="1:16" x14ac:dyDescent="0.2">
      <c r="B89" s="16">
        <v>24</v>
      </c>
      <c r="C89" s="12">
        <v>639</v>
      </c>
      <c r="D89" s="12">
        <v>640</v>
      </c>
      <c r="E89" s="12">
        <v>621</v>
      </c>
      <c r="F89" s="12">
        <v>612</v>
      </c>
      <c r="G89" s="34">
        <v>641</v>
      </c>
      <c r="H89" s="12">
        <v>593</v>
      </c>
      <c r="I89" s="12">
        <v>590</v>
      </c>
      <c r="J89" s="27"/>
      <c r="K89" s="12">
        <f t="shared" si="14"/>
        <v>630.6</v>
      </c>
      <c r="L89" s="13"/>
      <c r="M89" s="12">
        <f t="shared" si="15"/>
        <v>591.5</v>
      </c>
      <c r="N89" s="23">
        <v>24</v>
      </c>
      <c r="O89" s="49">
        <f t="shared" si="16"/>
        <v>-38.799999999999955</v>
      </c>
      <c r="P89" s="130">
        <f t="shared" si="17"/>
        <v>614.80000000000007</v>
      </c>
    </row>
    <row r="90" spans="1:16" ht="13.5" thickBot="1" x14ac:dyDescent="0.25">
      <c r="B90" s="17" t="s">
        <v>54</v>
      </c>
      <c r="C90" s="25">
        <f t="shared" ref="C90:I90" si="18">SUM(C66:C89)</f>
        <v>18494</v>
      </c>
      <c r="D90" s="25">
        <f t="shared" si="18"/>
        <v>18683</v>
      </c>
      <c r="E90" s="25">
        <f t="shared" si="18"/>
        <v>18451</v>
      </c>
      <c r="F90" s="25">
        <f t="shared" si="18"/>
        <v>17720</v>
      </c>
      <c r="G90" s="25">
        <f t="shared" si="18"/>
        <v>18158</v>
      </c>
      <c r="H90" s="25">
        <f t="shared" si="18"/>
        <v>16304</v>
      </c>
      <c r="I90" s="25">
        <f t="shared" si="18"/>
        <v>15623</v>
      </c>
      <c r="J90" s="25"/>
      <c r="K90" s="25">
        <f>SUM(K66:K89)</f>
        <v>18301.200000000004</v>
      </c>
      <c r="L90" s="25"/>
      <c r="M90" s="25">
        <f>SUM(M66:M89)</f>
        <v>15963.5</v>
      </c>
      <c r="N90" s="24"/>
      <c r="O90" s="44"/>
    </row>
    <row r="91" spans="1:16" ht="13.5" thickTop="1" x14ac:dyDescent="0.2">
      <c r="K91" s="110"/>
    </row>
    <row r="92" spans="1:16" x14ac:dyDescent="0.2">
      <c r="K92" s="110"/>
    </row>
    <row r="93" spans="1:16" x14ac:dyDescent="0.2">
      <c r="A93" s="10"/>
      <c r="B93" s="10"/>
      <c r="C93" s="10"/>
      <c r="D93" s="10"/>
      <c r="E93" s="10"/>
      <c r="F93" s="10"/>
      <c r="H93" s="10"/>
      <c r="I93" s="10"/>
      <c r="J93" s="10"/>
      <c r="K93" s="10"/>
      <c r="L93" s="10"/>
      <c r="M93" s="10"/>
      <c r="N93" s="10"/>
    </row>
    <row r="94" spans="1:16" ht="15.75" x14ac:dyDescent="0.25">
      <c r="G94" s="11" t="s">
        <v>57</v>
      </c>
    </row>
    <row r="95" spans="1:16" x14ac:dyDescent="0.2">
      <c r="C95">
        <f>I64+1</f>
        <v>20</v>
      </c>
      <c r="D95">
        <f t="shared" ref="D95:I95" si="19">C95+1</f>
        <v>21</v>
      </c>
      <c r="E95">
        <f t="shared" si="19"/>
        <v>22</v>
      </c>
      <c r="F95">
        <f t="shared" si="19"/>
        <v>23</v>
      </c>
      <c r="G95">
        <f t="shared" si="19"/>
        <v>24</v>
      </c>
      <c r="H95">
        <f t="shared" si="19"/>
        <v>25</v>
      </c>
      <c r="I95">
        <f t="shared" si="19"/>
        <v>26</v>
      </c>
    </row>
    <row r="96" spans="1:16" x14ac:dyDescent="0.2">
      <c r="B96" s="14" t="s">
        <v>53</v>
      </c>
      <c r="C96" s="18" t="s">
        <v>46</v>
      </c>
      <c r="D96" s="18" t="s">
        <v>47</v>
      </c>
      <c r="E96" s="18" t="s">
        <v>48</v>
      </c>
      <c r="F96" s="18" t="s">
        <v>49</v>
      </c>
      <c r="G96" s="18" t="s">
        <v>50</v>
      </c>
      <c r="H96" s="18" t="s">
        <v>51</v>
      </c>
      <c r="I96" s="18" t="s">
        <v>52</v>
      </c>
      <c r="J96" s="19"/>
      <c r="K96" s="299" t="s">
        <v>143</v>
      </c>
      <c r="L96" s="20"/>
      <c r="M96" s="299" t="s">
        <v>144</v>
      </c>
      <c r="N96" s="21" t="s">
        <v>53</v>
      </c>
      <c r="O96" s="42" t="s">
        <v>63</v>
      </c>
    </row>
    <row r="97" spans="2:31" x14ac:dyDescent="0.2">
      <c r="B97" s="31">
        <v>1</v>
      </c>
      <c r="C97" s="29">
        <v>564</v>
      </c>
      <c r="D97" s="29">
        <v>593</v>
      </c>
      <c r="E97" s="29">
        <v>599</v>
      </c>
      <c r="F97" s="29">
        <v>574</v>
      </c>
      <c r="G97" s="120">
        <v>596</v>
      </c>
      <c r="H97" s="29">
        <v>599</v>
      </c>
      <c r="I97" s="29">
        <v>552</v>
      </c>
      <c r="J97" s="30"/>
      <c r="K97" s="29">
        <f>AVERAGE(C97:G97)</f>
        <v>585.20000000000005</v>
      </c>
      <c r="L97" s="29"/>
      <c r="M97" s="29">
        <f>AVERAGE(H97:I97)</f>
        <v>575.5</v>
      </c>
      <c r="N97" s="32">
        <v>1</v>
      </c>
      <c r="O97" s="48">
        <f>K97-K120</f>
        <v>-35.599999999999909</v>
      </c>
    </row>
    <row r="98" spans="2:31" x14ac:dyDescent="0.2">
      <c r="B98" s="15">
        <v>2</v>
      </c>
      <c r="C98" s="12">
        <v>569</v>
      </c>
      <c r="D98" s="12">
        <v>587</v>
      </c>
      <c r="E98" s="12">
        <v>575</v>
      </c>
      <c r="F98" s="12">
        <v>573</v>
      </c>
      <c r="G98" s="34">
        <v>575</v>
      </c>
      <c r="H98" s="12">
        <v>575</v>
      </c>
      <c r="I98" s="12">
        <v>516</v>
      </c>
      <c r="J98" s="26"/>
      <c r="K98" s="12">
        <f t="shared" ref="K98:K120" si="20">AVERAGE(C98:G98)</f>
        <v>575.79999999999995</v>
      </c>
      <c r="L98" s="12"/>
      <c r="M98" s="12">
        <f t="shared" ref="M98:M120" si="21">AVERAGE(H98:I98)</f>
        <v>545.5</v>
      </c>
      <c r="N98" s="22">
        <v>2</v>
      </c>
      <c r="O98" s="43">
        <f>K98-K97</f>
        <v>-9.4000000000000909</v>
      </c>
    </row>
    <row r="99" spans="2:31" x14ac:dyDescent="0.2">
      <c r="B99" s="15">
        <v>3</v>
      </c>
      <c r="C99" s="12">
        <v>562</v>
      </c>
      <c r="D99" s="12">
        <v>589</v>
      </c>
      <c r="E99" s="12">
        <v>577</v>
      </c>
      <c r="F99" s="12">
        <v>555</v>
      </c>
      <c r="G99" s="34">
        <v>571</v>
      </c>
      <c r="H99" s="12">
        <v>584</v>
      </c>
      <c r="I99" s="12">
        <v>525</v>
      </c>
      <c r="J99" s="26"/>
      <c r="K99" s="12">
        <f t="shared" si="20"/>
        <v>570.79999999999995</v>
      </c>
      <c r="L99" s="12"/>
      <c r="M99" s="12">
        <f t="shared" si="21"/>
        <v>554.5</v>
      </c>
      <c r="N99" s="22">
        <v>3</v>
      </c>
      <c r="O99" s="43">
        <f t="shared" ref="O99:O120" si="22">K99-K98</f>
        <v>-5</v>
      </c>
    </row>
    <row r="100" spans="2:31" x14ac:dyDescent="0.2">
      <c r="B100" s="16">
        <v>4</v>
      </c>
      <c r="C100" s="13">
        <v>586</v>
      </c>
      <c r="D100" s="13">
        <v>606</v>
      </c>
      <c r="E100" s="13">
        <v>571</v>
      </c>
      <c r="F100" s="13">
        <v>571</v>
      </c>
      <c r="G100" s="121">
        <v>577</v>
      </c>
      <c r="H100" s="13">
        <v>577</v>
      </c>
      <c r="I100" s="13">
        <v>524</v>
      </c>
      <c r="J100" s="27"/>
      <c r="K100" s="13">
        <f t="shared" si="20"/>
        <v>582.20000000000005</v>
      </c>
      <c r="L100" s="13"/>
      <c r="M100" s="13">
        <f t="shared" si="21"/>
        <v>550.5</v>
      </c>
      <c r="N100" s="23">
        <v>4</v>
      </c>
      <c r="O100" s="49">
        <f t="shared" si="22"/>
        <v>11.400000000000091</v>
      </c>
    </row>
    <row r="101" spans="2:31" x14ac:dyDescent="0.2">
      <c r="B101" s="31">
        <v>5</v>
      </c>
      <c r="C101" s="29">
        <v>604</v>
      </c>
      <c r="D101" s="29">
        <v>650</v>
      </c>
      <c r="E101" s="29">
        <v>628</v>
      </c>
      <c r="F101" s="29">
        <v>622</v>
      </c>
      <c r="G101" s="120">
        <v>626</v>
      </c>
      <c r="H101" s="29">
        <v>589</v>
      </c>
      <c r="I101" s="29">
        <v>523</v>
      </c>
      <c r="J101" s="30"/>
      <c r="K101" s="29">
        <f t="shared" si="20"/>
        <v>626</v>
      </c>
      <c r="L101" s="29"/>
      <c r="M101" s="29">
        <f t="shared" si="21"/>
        <v>556</v>
      </c>
      <c r="N101" s="32">
        <v>5</v>
      </c>
      <c r="O101" s="48">
        <f t="shared" si="22"/>
        <v>43.799999999999955</v>
      </c>
    </row>
    <row r="102" spans="2:31" x14ac:dyDescent="0.2">
      <c r="B102" s="15">
        <v>6</v>
      </c>
      <c r="C102" s="12">
        <v>702</v>
      </c>
      <c r="D102" s="12">
        <v>752</v>
      </c>
      <c r="E102" s="12">
        <v>715</v>
      </c>
      <c r="F102" s="12">
        <v>713</v>
      </c>
      <c r="G102" s="34">
        <v>704</v>
      </c>
      <c r="H102" s="12">
        <v>618</v>
      </c>
      <c r="I102" s="12">
        <v>560</v>
      </c>
      <c r="J102" s="26"/>
      <c r="K102" s="12">
        <f t="shared" si="20"/>
        <v>717.2</v>
      </c>
      <c r="L102" s="12"/>
      <c r="M102" s="12">
        <f t="shared" si="21"/>
        <v>589</v>
      </c>
      <c r="N102" s="22">
        <v>6</v>
      </c>
      <c r="O102" s="43">
        <f t="shared" si="22"/>
        <v>91.200000000000045</v>
      </c>
      <c r="P102">
        <v>804</v>
      </c>
    </row>
    <row r="103" spans="2:31" x14ac:dyDescent="0.2">
      <c r="B103" s="15">
        <v>7</v>
      </c>
      <c r="C103" s="12">
        <v>756</v>
      </c>
      <c r="D103" s="12">
        <v>797</v>
      </c>
      <c r="E103" s="12">
        <v>745</v>
      </c>
      <c r="F103" s="12">
        <v>761</v>
      </c>
      <c r="G103" s="34">
        <v>780</v>
      </c>
      <c r="H103" s="12">
        <v>647</v>
      </c>
      <c r="I103" s="12">
        <v>569</v>
      </c>
      <c r="J103" s="26"/>
      <c r="K103" s="12">
        <f t="shared" si="20"/>
        <v>767.8</v>
      </c>
      <c r="L103" s="12"/>
      <c r="M103" s="12">
        <f t="shared" si="21"/>
        <v>608</v>
      </c>
      <c r="N103" s="22">
        <v>7</v>
      </c>
      <c r="O103" s="43">
        <f t="shared" si="22"/>
        <v>50.599999999999909</v>
      </c>
      <c r="P103" s="130">
        <f>P102+O103</f>
        <v>854.59999999999991</v>
      </c>
      <c r="Q103">
        <v>864</v>
      </c>
    </row>
    <row r="104" spans="2:31" x14ac:dyDescent="0.2">
      <c r="B104" s="16">
        <v>8</v>
      </c>
      <c r="C104" s="13">
        <v>787</v>
      </c>
      <c r="D104" s="13">
        <v>799</v>
      </c>
      <c r="E104" s="13">
        <v>791</v>
      </c>
      <c r="F104" s="13">
        <v>775</v>
      </c>
      <c r="G104" s="121">
        <v>788</v>
      </c>
      <c r="H104" s="13">
        <v>689</v>
      </c>
      <c r="I104" s="13">
        <v>573</v>
      </c>
      <c r="J104" s="27"/>
      <c r="K104" s="13">
        <f t="shared" si="20"/>
        <v>788</v>
      </c>
      <c r="L104" s="13"/>
      <c r="M104" s="13">
        <f t="shared" si="21"/>
        <v>631</v>
      </c>
      <c r="N104" s="23">
        <v>8</v>
      </c>
      <c r="O104" s="49">
        <f t="shared" si="22"/>
        <v>20.200000000000045</v>
      </c>
      <c r="P104" s="130">
        <f>P103+O104</f>
        <v>874.8</v>
      </c>
      <c r="Q104" s="339">
        <f>Q103+O104</f>
        <v>884.2</v>
      </c>
    </row>
    <row r="105" spans="2:31" x14ac:dyDescent="0.2">
      <c r="B105" s="15">
        <v>9</v>
      </c>
      <c r="C105" s="12">
        <v>802</v>
      </c>
      <c r="D105" s="12">
        <v>821</v>
      </c>
      <c r="E105" s="12">
        <v>815</v>
      </c>
      <c r="F105" s="12">
        <v>794</v>
      </c>
      <c r="G105" s="34">
        <v>793</v>
      </c>
      <c r="H105" s="12">
        <v>738</v>
      </c>
      <c r="I105" s="12">
        <v>621</v>
      </c>
      <c r="J105" s="26"/>
      <c r="K105" s="12">
        <f t="shared" si="20"/>
        <v>805</v>
      </c>
      <c r="L105" s="12"/>
      <c r="M105" s="12">
        <f t="shared" si="21"/>
        <v>679.5</v>
      </c>
      <c r="N105" s="22">
        <v>9</v>
      </c>
      <c r="O105" s="48">
        <f t="shared" si="22"/>
        <v>17</v>
      </c>
      <c r="P105" s="130">
        <f>P104+O105</f>
        <v>891.8</v>
      </c>
      <c r="Q105" s="339">
        <f>Q104+O105</f>
        <v>901.2</v>
      </c>
    </row>
    <row r="106" spans="2:31" x14ac:dyDescent="0.2">
      <c r="B106" s="15">
        <v>10</v>
      </c>
      <c r="C106" s="12">
        <v>850</v>
      </c>
      <c r="D106" s="12">
        <v>827</v>
      </c>
      <c r="E106" s="12">
        <v>818</v>
      </c>
      <c r="F106" s="12">
        <v>806</v>
      </c>
      <c r="G106" s="34">
        <v>813</v>
      </c>
      <c r="H106" s="12">
        <v>740</v>
      </c>
      <c r="I106" s="12">
        <v>635</v>
      </c>
      <c r="J106" s="26"/>
      <c r="K106" s="12">
        <f t="shared" si="20"/>
        <v>822.8</v>
      </c>
      <c r="L106" s="12"/>
      <c r="M106" s="12">
        <f t="shared" si="21"/>
        <v>687.5</v>
      </c>
      <c r="N106" s="22">
        <v>10</v>
      </c>
      <c r="O106" s="43">
        <f t="shared" si="22"/>
        <v>17.799999999999955</v>
      </c>
      <c r="P106" s="130">
        <f t="shared" ref="P106:P119" si="23">P105+O106</f>
        <v>909.59999999999991</v>
      </c>
      <c r="Q106" s="339">
        <f>Q105+O106</f>
        <v>919</v>
      </c>
    </row>
    <row r="107" spans="2:31" x14ac:dyDescent="0.2">
      <c r="B107" s="15">
        <v>11</v>
      </c>
      <c r="C107" s="12">
        <v>830</v>
      </c>
      <c r="D107" s="12">
        <v>818</v>
      </c>
      <c r="E107" s="12">
        <v>848</v>
      </c>
      <c r="F107" s="12">
        <v>808</v>
      </c>
      <c r="G107" s="34">
        <v>832</v>
      </c>
      <c r="H107" s="12">
        <v>727</v>
      </c>
      <c r="I107" s="12">
        <v>651</v>
      </c>
      <c r="J107" s="26"/>
      <c r="K107" s="12">
        <f t="shared" si="20"/>
        <v>827.2</v>
      </c>
      <c r="L107" s="12"/>
      <c r="M107" s="12">
        <f t="shared" si="21"/>
        <v>689</v>
      </c>
      <c r="N107" s="22">
        <v>11</v>
      </c>
      <c r="O107" s="43">
        <f t="shared" si="22"/>
        <v>4.4000000000000909</v>
      </c>
      <c r="P107" s="130">
        <f t="shared" si="23"/>
        <v>914</v>
      </c>
      <c r="Q107" s="339">
        <f>Q106+O107</f>
        <v>923.40000000000009</v>
      </c>
    </row>
    <row r="108" spans="2:31" x14ac:dyDescent="0.2">
      <c r="B108" s="16">
        <v>12</v>
      </c>
      <c r="C108" s="13">
        <v>824</v>
      </c>
      <c r="D108" s="13">
        <v>803</v>
      </c>
      <c r="E108" s="13">
        <v>861</v>
      </c>
      <c r="F108" s="13">
        <v>815</v>
      </c>
      <c r="G108" s="121">
        <v>831</v>
      </c>
      <c r="H108" s="13">
        <v>728</v>
      </c>
      <c r="I108" s="13">
        <v>660</v>
      </c>
      <c r="J108" s="27"/>
      <c r="K108" s="13">
        <f t="shared" si="20"/>
        <v>826.8</v>
      </c>
      <c r="L108" s="13"/>
      <c r="M108" s="13">
        <f t="shared" si="21"/>
        <v>694</v>
      </c>
      <c r="N108" s="23">
        <v>12</v>
      </c>
      <c r="O108" s="49">
        <f t="shared" si="22"/>
        <v>-0.40000000000009095</v>
      </c>
      <c r="P108" s="130">
        <f t="shared" si="23"/>
        <v>913.59999999999991</v>
      </c>
      <c r="Q108" s="339">
        <f>Q107+O108</f>
        <v>923</v>
      </c>
    </row>
    <row r="109" spans="2:31" x14ac:dyDescent="0.2">
      <c r="B109" s="15">
        <v>13</v>
      </c>
      <c r="C109" s="12">
        <v>842</v>
      </c>
      <c r="D109" s="12">
        <v>801</v>
      </c>
      <c r="E109" s="12">
        <v>854</v>
      </c>
      <c r="F109" s="12">
        <v>827</v>
      </c>
      <c r="G109" s="34">
        <v>834</v>
      </c>
      <c r="H109" s="12">
        <v>702</v>
      </c>
      <c r="I109" s="12">
        <v>660</v>
      </c>
      <c r="J109" s="26"/>
      <c r="K109" s="12">
        <f t="shared" si="20"/>
        <v>831.6</v>
      </c>
      <c r="L109" s="12"/>
      <c r="M109" s="12">
        <f t="shared" si="21"/>
        <v>681</v>
      </c>
      <c r="N109" s="22">
        <v>13</v>
      </c>
      <c r="O109" s="48">
        <f t="shared" si="22"/>
        <v>4.8000000000000682</v>
      </c>
      <c r="P109" s="130">
        <f t="shared" si="23"/>
        <v>918.4</v>
      </c>
      <c r="Q109" s="339">
        <f t="shared" ref="Q109:Q118" si="24">Q108+O109</f>
        <v>927.80000000000007</v>
      </c>
    </row>
    <row r="110" spans="2:31" x14ac:dyDescent="0.2">
      <c r="B110" s="15">
        <v>14</v>
      </c>
      <c r="C110" s="12">
        <v>856</v>
      </c>
      <c r="D110" s="12">
        <v>791</v>
      </c>
      <c r="E110" s="12">
        <v>853</v>
      </c>
      <c r="F110" s="12">
        <v>826</v>
      </c>
      <c r="G110" s="34">
        <v>824</v>
      </c>
      <c r="H110" s="12">
        <v>678</v>
      </c>
      <c r="I110" s="12">
        <v>662</v>
      </c>
      <c r="J110" s="26"/>
      <c r="K110" s="12">
        <f t="shared" si="20"/>
        <v>830</v>
      </c>
      <c r="L110" s="12"/>
      <c r="M110" s="12">
        <f t="shared" si="21"/>
        <v>670</v>
      </c>
      <c r="N110" s="22">
        <v>14</v>
      </c>
      <c r="O110" s="43">
        <f t="shared" si="22"/>
        <v>-1.6000000000000227</v>
      </c>
      <c r="P110" s="130">
        <f t="shared" si="23"/>
        <v>916.8</v>
      </c>
      <c r="Q110" s="339">
        <f t="shared" si="24"/>
        <v>926.2</v>
      </c>
    </row>
    <row r="111" spans="2:31" x14ac:dyDescent="0.2">
      <c r="B111" s="15">
        <v>15</v>
      </c>
      <c r="C111" s="12">
        <v>836</v>
      </c>
      <c r="D111" s="12">
        <v>809</v>
      </c>
      <c r="E111" s="12">
        <v>854</v>
      </c>
      <c r="F111" s="12">
        <v>820</v>
      </c>
      <c r="G111" s="34">
        <v>804</v>
      </c>
      <c r="H111" s="12">
        <v>667</v>
      </c>
      <c r="I111" s="12">
        <v>649</v>
      </c>
      <c r="J111" s="26"/>
      <c r="K111" s="12">
        <f t="shared" si="20"/>
        <v>824.6</v>
      </c>
      <c r="L111" s="12"/>
      <c r="M111" s="12">
        <f t="shared" si="21"/>
        <v>658</v>
      </c>
      <c r="N111" s="22">
        <v>15</v>
      </c>
      <c r="O111" s="43">
        <f t="shared" si="22"/>
        <v>-5.3999999999999773</v>
      </c>
      <c r="P111" s="130">
        <f t="shared" si="23"/>
        <v>911.4</v>
      </c>
      <c r="Q111" s="339">
        <f t="shared" si="24"/>
        <v>920.80000000000007</v>
      </c>
      <c r="R111" s="216"/>
      <c r="S111" s="216"/>
      <c r="T111" s="21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2:31" x14ac:dyDescent="0.2">
      <c r="B112" s="16">
        <v>16</v>
      </c>
      <c r="C112" s="13">
        <v>839</v>
      </c>
      <c r="D112" s="13">
        <v>788</v>
      </c>
      <c r="E112" s="13">
        <v>818</v>
      </c>
      <c r="F112" s="13">
        <v>817</v>
      </c>
      <c r="G112" s="121">
        <v>803</v>
      </c>
      <c r="H112" s="13">
        <v>675</v>
      </c>
      <c r="I112" s="13">
        <v>654</v>
      </c>
      <c r="J112" s="27"/>
      <c r="K112" s="13">
        <f t="shared" si="20"/>
        <v>813</v>
      </c>
      <c r="L112" s="13"/>
      <c r="M112" s="13">
        <f t="shared" si="21"/>
        <v>664.5</v>
      </c>
      <c r="N112" s="23">
        <v>16</v>
      </c>
      <c r="O112" s="49">
        <f t="shared" si="22"/>
        <v>-11.600000000000023</v>
      </c>
      <c r="P112" s="130">
        <f t="shared" si="23"/>
        <v>899.8</v>
      </c>
      <c r="Q112" s="339">
        <f t="shared" si="24"/>
        <v>909.2</v>
      </c>
      <c r="R112" s="216"/>
      <c r="S112" s="216"/>
      <c r="T112" s="21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2:31" x14ac:dyDescent="0.2">
      <c r="B113" s="15">
        <v>17</v>
      </c>
      <c r="C113" s="12">
        <v>812</v>
      </c>
      <c r="D113" s="12">
        <v>774</v>
      </c>
      <c r="E113" s="12">
        <v>798</v>
      </c>
      <c r="F113" s="12">
        <v>784</v>
      </c>
      <c r="G113" s="34">
        <v>782</v>
      </c>
      <c r="H113" s="12">
        <v>691</v>
      </c>
      <c r="I113" s="12">
        <v>657</v>
      </c>
      <c r="J113" s="26"/>
      <c r="K113" s="12">
        <f t="shared" si="20"/>
        <v>790</v>
      </c>
      <c r="L113" s="12"/>
      <c r="M113" s="12">
        <f t="shared" si="21"/>
        <v>674</v>
      </c>
      <c r="N113" s="22">
        <v>17</v>
      </c>
      <c r="O113" s="48">
        <f t="shared" si="22"/>
        <v>-23</v>
      </c>
      <c r="P113" s="130">
        <f t="shared" si="23"/>
        <v>876.8</v>
      </c>
      <c r="Q113" s="339">
        <f t="shared" si="24"/>
        <v>886.2</v>
      </c>
      <c r="R113" s="216"/>
      <c r="S113" s="216"/>
      <c r="T113" s="216"/>
      <c r="U113" s="216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2:31" x14ac:dyDescent="0.2">
      <c r="B114" s="15">
        <v>18</v>
      </c>
      <c r="C114" s="12">
        <v>836</v>
      </c>
      <c r="D114" s="12">
        <v>791</v>
      </c>
      <c r="E114" s="12">
        <v>845</v>
      </c>
      <c r="F114" s="12">
        <v>835</v>
      </c>
      <c r="G114" s="34">
        <v>811</v>
      </c>
      <c r="H114" s="12">
        <v>705</v>
      </c>
      <c r="I114" s="12">
        <v>725</v>
      </c>
      <c r="J114" s="26"/>
      <c r="K114" s="12">
        <f t="shared" si="20"/>
        <v>823.6</v>
      </c>
      <c r="L114" s="12"/>
      <c r="M114" s="12">
        <f t="shared" si="21"/>
        <v>715</v>
      </c>
      <c r="N114" s="22">
        <v>18</v>
      </c>
      <c r="O114" s="43">
        <f t="shared" si="22"/>
        <v>33.600000000000023</v>
      </c>
      <c r="P114" s="130">
        <f t="shared" si="23"/>
        <v>910.4</v>
      </c>
      <c r="Q114" s="339">
        <f t="shared" si="24"/>
        <v>919.80000000000007</v>
      </c>
      <c r="R114" s="216"/>
      <c r="S114" s="216"/>
      <c r="T114" s="216"/>
      <c r="U114" s="216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2:31" x14ac:dyDescent="0.2">
      <c r="B115" s="15">
        <v>19</v>
      </c>
      <c r="C115" s="12">
        <v>885</v>
      </c>
      <c r="D115" s="12">
        <v>877</v>
      </c>
      <c r="E115" s="12">
        <v>858</v>
      </c>
      <c r="F115" s="12">
        <v>854</v>
      </c>
      <c r="G115" s="34">
        <v>845</v>
      </c>
      <c r="H115" s="12">
        <v>746</v>
      </c>
      <c r="I115" s="12">
        <v>773</v>
      </c>
      <c r="J115" s="26"/>
      <c r="K115" s="12">
        <f t="shared" si="20"/>
        <v>863.8</v>
      </c>
      <c r="L115" s="12"/>
      <c r="M115" s="12">
        <f t="shared" si="21"/>
        <v>759.5</v>
      </c>
      <c r="N115" s="22">
        <v>19</v>
      </c>
      <c r="O115" s="43">
        <f t="shared" si="22"/>
        <v>40.199999999999932</v>
      </c>
      <c r="P115" s="130">
        <f t="shared" si="23"/>
        <v>950.59999999999991</v>
      </c>
      <c r="Q115" s="339">
        <f t="shared" si="24"/>
        <v>960</v>
      </c>
      <c r="R115" s="216"/>
      <c r="S115" s="216"/>
      <c r="T115" s="216"/>
      <c r="U115" s="216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2:31" x14ac:dyDescent="0.2">
      <c r="B116" s="16">
        <v>20</v>
      </c>
      <c r="C116" s="13">
        <v>869</v>
      </c>
      <c r="D116" s="13">
        <v>842</v>
      </c>
      <c r="E116" s="13">
        <v>856</v>
      </c>
      <c r="F116" s="13">
        <v>838</v>
      </c>
      <c r="G116" s="121">
        <v>804</v>
      </c>
      <c r="H116" s="13">
        <v>734</v>
      </c>
      <c r="I116" s="13">
        <v>746</v>
      </c>
      <c r="J116" s="27"/>
      <c r="K116" s="13">
        <f t="shared" si="20"/>
        <v>841.8</v>
      </c>
      <c r="L116" s="13"/>
      <c r="M116" s="13">
        <f t="shared" si="21"/>
        <v>740</v>
      </c>
      <c r="N116" s="23">
        <v>20</v>
      </c>
      <c r="O116" s="49">
        <f>K116-K115</f>
        <v>-22</v>
      </c>
      <c r="P116" s="130">
        <f t="shared" si="23"/>
        <v>928.59999999999991</v>
      </c>
      <c r="Q116" s="339">
        <f t="shared" si="24"/>
        <v>938</v>
      </c>
      <c r="R116" s="216"/>
      <c r="S116" s="216"/>
      <c r="T116" s="216"/>
      <c r="U116" s="216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2:31" x14ac:dyDescent="0.2">
      <c r="B117" s="15">
        <v>21</v>
      </c>
      <c r="C117" s="12">
        <v>817</v>
      </c>
      <c r="D117" s="12">
        <v>799</v>
      </c>
      <c r="E117" s="12">
        <v>818</v>
      </c>
      <c r="F117" s="12">
        <v>804</v>
      </c>
      <c r="G117" s="34">
        <v>799</v>
      </c>
      <c r="H117" s="12">
        <v>720</v>
      </c>
      <c r="I117" s="12">
        <v>714</v>
      </c>
      <c r="J117" s="26"/>
      <c r="K117" s="12">
        <f t="shared" si="20"/>
        <v>807.4</v>
      </c>
      <c r="L117" s="12"/>
      <c r="M117" s="12">
        <f t="shared" si="21"/>
        <v>717</v>
      </c>
      <c r="N117" s="22">
        <v>21</v>
      </c>
      <c r="O117" s="48">
        <f t="shared" si="22"/>
        <v>-34.399999999999977</v>
      </c>
      <c r="P117" s="130">
        <f t="shared" si="23"/>
        <v>894.19999999999993</v>
      </c>
      <c r="Q117" s="339">
        <f t="shared" si="24"/>
        <v>903.6</v>
      </c>
      <c r="R117" s="216"/>
      <c r="S117" s="216"/>
      <c r="T117" s="216"/>
      <c r="U117" s="216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2:31" x14ac:dyDescent="0.2">
      <c r="B118" s="15">
        <v>22</v>
      </c>
      <c r="C118" s="12">
        <v>759</v>
      </c>
      <c r="D118" s="12">
        <v>742</v>
      </c>
      <c r="E118" s="12">
        <v>729</v>
      </c>
      <c r="F118" s="12">
        <v>732</v>
      </c>
      <c r="G118" s="34">
        <v>739</v>
      </c>
      <c r="H118" s="12">
        <v>683</v>
      </c>
      <c r="I118" s="12">
        <v>693</v>
      </c>
      <c r="J118" s="26"/>
      <c r="K118" s="12">
        <f t="shared" si="20"/>
        <v>740.2</v>
      </c>
      <c r="L118" s="12"/>
      <c r="M118" s="12">
        <f t="shared" si="21"/>
        <v>688</v>
      </c>
      <c r="N118" s="22">
        <v>22</v>
      </c>
      <c r="O118" s="43">
        <f t="shared" si="22"/>
        <v>-67.199999999999932</v>
      </c>
      <c r="P118" s="130">
        <f t="shared" si="23"/>
        <v>827</v>
      </c>
      <c r="Q118" s="339">
        <f t="shared" si="24"/>
        <v>836.40000000000009</v>
      </c>
      <c r="R118" s="216"/>
      <c r="S118" s="216"/>
      <c r="T118" s="216"/>
      <c r="U118" s="216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2:31" x14ac:dyDescent="0.2">
      <c r="B119" s="15">
        <v>23</v>
      </c>
      <c r="C119" s="12">
        <v>683</v>
      </c>
      <c r="D119" s="12">
        <v>665</v>
      </c>
      <c r="E119" s="12">
        <v>687</v>
      </c>
      <c r="F119" s="12">
        <v>664</v>
      </c>
      <c r="G119" s="34">
        <v>685</v>
      </c>
      <c r="H119" s="12">
        <v>618</v>
      </c>
      <c r="I119" s="12">
        <v>637</v>
      </c>
      <c r="J119" s="26"/>
      <c r="K119" s="12">
        <f t="shared" si="20"/>
        <v>676.8</v>
      </c>
      <c r="L119" s="12"/>
      <c r="M119" s="12">
        <f t="shared" si="21"/>
        <v>627.5</v>
      </c>
      <c r="N119" s="22">
        <v>23</v>
      </c>
      <c r="O119" s="43">
        <f t="shared" si="22"/>
        <v>-63.400000000000091</v>
      </c>
      <c r="P119" s="130">
        <f t="shared" si="23"/>
        <v>763.59999999999991</v>
      </c>
      <c r="Q119" s="216"/>
      <c r="R119" s="225"/>
      <c r="S119" s="225"/>
      <c r="T119" s="225"/>
      <c r="U119" s="216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2:31" x14ac:dyDescent="0.2">
      <c r="B120" s="16">
        <v>24</v>
      </c>
      <c r="C120" s="12">
        <v>619</v>
      </c>
      <c r="D120" s="12">
        <v>608</v>
      </c>
      <c r="E120" s="12">
        <v>618</v>
      </c>
      <c r="F120" s="12">
        <v>619</v>
      </c>
      <c r="G120" s="34">
        <v>640</v>
      </c>
      <c r="H120" s="12">
        <v>575</v>
      </c>
      <c r="I120" s="12">
        <v>588</v>
      </c>
      <c r="J120" s="27"/>
      <c r="K120" s="12">
        <f t="shared" si="20"/>
        <v>620.79999999999995</v>
      </c>
      <c r="L120" s="13"/>
      <c r="M120" s="12">
        <f t="shared" si="21"/>
        <v>581.5</v>
      </c>
      <c r="N120" s="23">
        <v>24</v>
      </c>
      <c r="O120" s="49">
        <f t="shared" si="22"/>
        <v>-56</v>
      </c>
      <c r="P120" s="224"/>
      <c r="Q120" s="216"/>
      <c r="R120" s="216"/>
      <c r="S120" s="216"/>
      <c r="T120" s="216"/>
      <c r="U120" s="216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2:31" ht="13.5" thickBot="1" x14ac:dyDescent="0.25">
      <c r="B121" s="17" t="s">
        <v>54</v>
      </c>
      <c r="C121" s="25">
        <f t="shared" ref="C121:I121" si="25">SUM(C97:C120)</f>
        <v>18089</v>
      </c>
      <c r="D121" s="25">
        <f t="shared" si="25"/>
        <v>17929</v>
      </c>
      <c r="E121" s="25">
        <f t="shared" si="25"/>
        <v>18131</v>
      </c>
      <c r="F121" s="25">
        <f t="shared" si="25"/>
        <v>17787</v>
      </c>
      <c r="G121" s="25">
        <f t="shared" si="25"/>
        <v>17856</v>
      </c>
      <c r="H121" s="25">
        <f t="shared" si="25"/>
        <v>16005</v>
      </c>
      <c r="I121" s="25">
        <f t="shared" si="25"/>
        <v>15067</v>
      </c>
      <c r="J121" s="25"/>
      <c r="K121" s="25">
        <f>SUM(K97:K120)</f>
        <v>17958.399999999998</v>
      </c>
      <c r="L121" s="25"/>
      <c r="M121" s="25">
        <f>SUM(M97:M120)</f>
        <v>15536</v>
      </c>
      <c r="N121" s="24"/>
      <c r="O121" s="44"/>
      <c r="P121" s="37"/>
      <c r="Q121" s="226"/>
      <c r="R121" s="216"/>
      <c r="S121" s="216"/>
      <c r="T121" s="216"/>
      <c r="U121" s="216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2:31" ht="13.5" thickTop="1" x14ac:dyDescent="0.2">
      <c r="K122" s="110"/>
      <c r="P122" s="37"/>
      <c r="Q122" s="37"/>
      <c r="R122" s="37"/>
      <c r="S122" s="37"/>
      <c r="T122" s="37"/>
      <c r="U122" s="216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2:31" x14ac:dyDescent="0.2">
      <c r="C123" s="33"/>
      <c r="D123" s="33"/>
      <c r="P123" s="37"/>
      <c r="Q123" s="37"/>
      <c r="R123" s="37"/>
      <c r="S123" s="37"/>
      <c r="T123" s="37"/>
      <c r="U123" s="216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2:31" ht="15.75" x14ac:dyDescent="0.25">
      <c r="D124" s="33"/>
      <c r="G124" s="11" t="s">
        <v>60</v>
      </c>
      <c r="P124" s="37"/>
      <c r="Q124" s="37"/>
      <c r="R124" s="37"/>
      <c r="S124" s="41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2:31" x14ac:dyDescent="0.2">
      <c r="C125">
        <f>I95+1</f>
        <v>27</v>
      </c>
      <c r="D125">
        <f>C125+1</f>
        <v>28</v>
      </c>
      <c r="E125">
        <v>29</v>
      </c>
      <c r="F125">
        <v>30</v>
      </c>
      <c r="G125">
        <v>1</v>
      </c>
      <c r="H125">
        <f>G125+1</f>
        <v>2</v>
      </c>
      <c r="I125">
        <f>H125+1</f>
        <v>3</v>
      </c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2:31" x14ac:dyDescent="0.2">
      <c r="B126" s="14" t="s">
        <v>53</v>
      </c>
      <c r="C126" s="18" t="s">
        <v>46</v>
      </c>
      <c r="D126" s="18" t="s">
        <v>47</v>
      </c>
      <c r="E126" s="18" t="s">
        <v>48</v>
      </c>
      <c r="F126" s="18" t="s">
        <v>49</v>
      </c>
      <c r="G126" s="18" t="s">
        <v>50</v>
      </c>
      <c r="H126" s="18" t="s">
        <v>51</v>
      </c>
      <c r="I126" s="18" t="s">
        <v>52</v>
      </c>
      <c r="J126" s="19"/>
      <c r="K126" s="299" t="s">
        <v>143</v>
      </c>
      <c r="L126" s="20"/>
      <c r="M126" s="299" t="s">
        <v>144</v>
      </c>
      <c r="N126" s="21" t="s">
        <v>53</v>
      </c>
      <c r="O126" s="42" t="s">
        <v>63</v>
      </c>
      <c r="P126" s="37"/>
      <c r="Q126" s="35"/>
      <c r="R126" s="36"/>
      <c r="S126" s="36"/>
      <c r="T126" s="36"/>
      <c r="U126" s="36"/>
      <c r="V126" s="36"/>
      <c r="W126" s="36"/>
      <c r="X126" s="36"/>
      <c r="Y126" s="37"/>
      <c r="Z126" s="38"/>
      <c r="AA126" s="39"/>
      <c r="AB126" s="38"/>
      <c r="AC126" s="35"/>
      <c r="AD126" s="36"/>
      <c r="AE126" s="37"/>
    </row>
    <row r="127" spans="2:31" x14ac:dyDescent="0.2">
      <c r="B127" s="31">
        <v>1</v>
      </c>
      <c r="C127" s="29">
        <v>548</v>
      </c>
      <c r="D127" s="29">
        <v>609</v>
      </c>
      <c r="E127" s="29">
        <v>600</v>
      </c>
      <c r="F127" s="29">
        <v>633</v>
      </c>
      <c r="G127" s="29">
        <v>605</v>
      </c>
      <c r="H127" s="29">
        <v>616</v>
      </c>
      <c r="I127" s="29">
        <v>601</v>
      </c>
      <c r="J127" s="30"/>
      <c r="K127" s="29">
        <f>AVERAGE(C127:G127)</f>
        <v>599</v>
      </c>
      <c r="L127" s="29"/>
      <c r="M127" s="29">
        <f>AVERAGE(H127:I127)</f>
        <v>608.5</v>
      </c>
      <c r="N127" s="32">
        <v>1</v>
      </c>
      <c r="O127" s="48">
        <f>K127-K150</f>
        <v>-45.200000000000045</v>
      </c>
      <c r="P127" s="37"/>
      <c r="Q127" s="40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40"/>
      <c r="AD127" s="229"/>
      <c r="AE127" s="37"/>
    </row>
    <row r="128" spans="2:31" x14ac:dyDescent="0.2">
      <c r="B128" s="15">
        <v>2</v>
      </c>
      <c r="C128" s="12">
        <v>534</v>
      </c>
      <c r="D128" s="12">
        <v>584</v>
      </c>
      <c r="E128" s="12">
        <v>592</v>
      </c>
      <c r="F128" s="12">
        <v>596</v>
      </c>
      <c r="G128" s="12">
        <v>604</v>
      </c>
      <c r="H128" s="12">
        <v>605</v>
      </c>
      <c r="I128" s="12">
        <v>577</v>
      </c>
      <c r="J128" s="26"/>
      <c r="K128" s="12">
        <f t="shared" ref="K128:K150" si="26">AVERAGE(C128:G128)</f>
        <v>582</v>
      </c>
      <c r="L128" s="12"/>
      <c r="M128" s="12">
        <f t="shared" ref="M128:M150" si="27">AVERAGE(H128:I128)</f>
        <v>591</v>
      </c>
      <c r="N128" s="22">
        <v>2</v>
      </c>
      <c r="O128" s="43">
        <f>K128-K127</f>
        <v>-17</v>
      </c>
      <c r="P128" s="37"/>
      <c r="Q128" s="40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40"/>
      <c r="AD128" s="229"/>
      <c r="AE128" s="37"/>
    </row>
    <row r="129" spans="2:31" x14ac:dyDescent="0.2">
      <c r="B129" s="15">
        <v>3</v>
      </c>
      <c r="C129" s="12">
        <v>544</v>
      </c>
      <c r="D129" s="12">
        <v>566</v>
      </c>
      <c r="E129" s="12">
        <v>583</v>
      </c>
      <c r="F129" s="12">
        <v>591</v>
      </c>
      <c r="G129" s="12">
        <v>585</v>
      </c>
      <c r="H129" s="12">
        <v>594</v>
      </c>
      <c r="I129" s="12">
        <v>552</v>
      </c>
      <c r="J129" s="26"/>
      <c r="K129" s="12">
        <f t="shared" si="26"/>
        <v>573.79999999999995</v>
      </c>
      <c r="L129" s="12"/>
      <c r="M129" s="12">
        <f t="shared" si="27"/>
        <v>573</v>
      </c>
      <c r="N129" s="22">
        <v>3</v>
      </c>
      <c r="O129" s="43">
        <f t="shared" ref="O129:O150" si="28">K129-K128</f>
        <v>-8.2000000000000455</v>
      </c>
      <c r="P129" s="37"/>
      <c r="Q129" s="40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40"/>
      <c r="AD129" s="229"/>
      <c r="AE129" s="37"/>
    </row>
    <row r="130" spans="2:31" x14ac:dyDescent="0.2">
      <c r="B130" s="16">
        <v>4</v>
      </c>
      <c r="C130" s="13">
        <v>539</v>
      </c>
      <c r="D130" s="13">
        <v>561</v>
      </c>
      <c r="E130" s="13">
        <v>565</v>
      </c>
      <c r="F130" s="13">
        <v>596</v>
      </c>
      <c r="G130" s="13">
        <v>594</v>
      </c>
      <c r="H130" s="13">
        <v>564</v>
      </c>
      <c r="I130" s="13">
        <v>555</v>
      </c>
      <c r="J130" s="27"/>
      <c r="K130" s="13">
        <f t="shared" si="26"/>
        <v>571</v>
      </c>
      <c r="L130" s="13"/>
      <c r="M130" s="13">
        <f t="shared" si="27"/>
        <v>559.5</v>
      </c>
      <c r="N130" s="23">
        <v>4</v>
      </c>
      <c r="O130" s="49">
        <f t="shared" si="28"/>
        <v>-2.7999999999999545</v>
      </c>
      <c r="P130" s="37"/>
      <c r="Q130" s="40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40"/>
      <c r="AD130" s="229"/>
      <c r="AE130" s="37"/>
    </row>
    <row r="131" spans="2:31" x14ac:dyDescent="0.2">
      <c r="B131" s="31">
        <v>5</v>
      </c>
      <c r="C131" s="29">
        <v>544</v>
      </c>
      <c r="D131" s="29">
        <v>591</v>
      </c>
      <c r="E131" s="29">
        <v>566</v>
      </c>
      <c r="F131" s="29">
        <v>589</v>
      </c>
      <c r="G131" s="12">
        <v>635</v>
      </c>
      <c r="H131" s="12">
        <v>606</v>
      </c>
      <c r="I131" s="12">
        <v>564</v>
      </c>
      <c r="J131" s="30"/>
      <c r="K131" s="29">
        <f t="shared" si="26"/>
        <v>585</v>
      </c>
      <c r="L131" s="29"/>
      <c r="M131" s="29">
        <f t="shared" si="27"/>
        <v>585</v>
      </c>
      <c r="N131" s="32">
        <v>5</v>
      </c>
      <c r="O131" s="48">
        <f t="shared" si="28"/>
        <v>14</v>
      </c>
      <c r="P131" s="37"/>
      <c r="Q131" s="40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40"/>
      <c r="AD131" s="229"/>
      <c r="AE131" s="37"/>
    </row>
    <row r="132" spans="2:31" x14ac:dyDescent="0.2">
      <c r="B132" s="15">
        <v>6</v>
      </c>
      <c r="C132" s="12">
        <v>614</v>
      </c>
      <c r="D132" s="12">
        <v>641</v>
      </c>
      <c r="E132" s="12">
        <v>629</v>
      </c>
      <c r="F132" s="12">
        <v>654</v>
      </c>
      <c r="G132" s="12">
        <v>718</v>
      </c>
      <c r="H132" s="12">
        <v>626</v>
      </c>
      <c r="I132" s="12">
        <v>580</v>
      </c>
      <c r="J132" s="26"/>
      <c r="K132" s="12">
        <f t="shared" si="26"/>
        <v>651.20000000000005</v>
      </c>
      <c r="L132" s="12"/>
      <c r="M132" s="12">
        <f t="shared" si="27"/>
        <v>603</v>
      </c>
      <c r="N132" s="22">
        <v>6</v>
      </c>
      <c r="O132" s="43">
        <f t="shared" si="28"/>
        <v>66.200000000000045</v>
      </c>
      <c r="P132" s="35">
        <v>668</v>
      </c>
      <c r="Q132" s="40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40"/>
      <c r="AD132" s="229"/>
      <c r="AE132" s="37"/>
    </row>
    <row r="133" spans="2:31" x14ac:dyDescent="0.2">
      <c r="B133" s="15">
        <v>7</v>
      </c>
      <c r="C133" s="12">
        <v>698</v>
      </c>
      <c r="D133" s="12">
        <v>720</v>
      </c>
      <c r="E133" s="12">
        <v>712</v>
      </c>
      <c r="F133" s="12">
        <v>745</v>
      </c>
      <c r="G133" s="12">
        <v>773</v>
      </c>
      <c r="H133" s="12">
        <v>623</v>
      </c>
      <c r="I133" s="12">
        <v>570</v>
      </c>
      <c r="J133" s="26"/>
      <c r="K133" s="12">
        <f t="shared" si="26"/>
        <v>729.6</v>
      </c>
      <c r="L133" s="12"/>
      <c r="M133" s="12">
        <f t="shared" si="27"/>
        <v>596.5</v>
      </c>
      <c r="N133" s="22">
        <v>7</v>
      </c>
      <c r="O133" s="43">
        <f t="shared" si="28"/>
        <v>78.399999999999977</v>
      </c>
      <c r="P133" s="230">
        <f>P132+O133</f>
        <v>746.4</v>
      </c>
      <c r="Q133" s="40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40"/>
      <c r="AD133" s="229"/>
      <c r="AE133" s="37"/>
    </row>
    <row r="134" spans="2:31" x14ac:dyDescent="0.2">
      <c r="B134" s="16">
        <v>8</v>
      </c>
      <c r="C134" s="13">
        <v>736</v>
      </c>
      <c r="D134" s="13">
        <v>764</v>
      </c>
      <c r="E134" s="13">
        <v>758</v>
      </c>
      <c r="F134" s="13">
        <v>762</v>
      </c>
      <c r="G134" s="13">
        <v>791</v>
      </c>
      <c r="H134" s="13">
        <v>662</v>
      </c>
      <c r="I134" s="13">
        <v>575</v>
      </c>
      <c r="J134" s="27"/>
      <c r="K134" s="13">
        <f t="shared" si="26"/>
        <v>762.2</v>
      </c>
      <c r="L134" s="13"/>
      <c r="M134" s="13">
        <f t="shared" si="27"/>
        <v>618.5</v>
      </c>
      <c r="N134" s="23">
        <v>8</v>
      </c>
      <c r="O134" s="49">
        <f t="shared" si="28"/>
        <v>32.600000000000023</v>
      </c>
      <c r="P134" s="230">
        <f>P133+O134</f>
        <v>779</v>
      </c>
      <c r="Q134" s="40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40"/>
      <c r="AD134" s="229"/>
      <c r="AE134" s="37"/>
    </row>
    <row r="135" spans="2:31" x14ac:dyDescent="0.2">
      <c r="B135" s="15">
        <v>9</v>
      </c>
      <c r="C135" s="12">
        <v>762</v>
      </c>
      <c r="D135" s="12">
        <v>778</v>
      </c>
      <c r="E135" s="12">
        <v>785</v>
      </c>
      <c r="F135" s="12">
        <v>771</v>
      </c>
      <c r="G135" s="12">
        <v>824</v>
      </c>
      <c r="H135" s="12">
        <v>709</v>
      </c>
      <c r="I135" s="12">
        <v>610</v>
      </c>
      <c r="J135" s="26"/>
      <c r="K135" s="12">
        <f t="shared" si="26"/>
        <v>784</v>
      </c>
      <c r="L135" s="12"/>
      <c r="M135" s="12">
        <f t="shared" si="27"/>
        <v>659.5</v>
      </c>
      <c r="N135" s="22">
        <v>9</v>
      </c>
      <c r="O135" s="48">
        <f t="shared" si="28"/>
        <v>21.799999999999955</v>
      </c>
      <c r="P135" s="230">
        <f>P134+O135</f>
        <v>800.8</v>
      </c>
      <c r="Q135" s="40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40"/>
      <c r="AD135" s="229"/>
      <c r="AE135" s="37"/>
    </row>
    <row r="136" spans="2:31" x14ac:dyDescent="0.2">
      <c r="B136" s="15">
        <v>10</v>
      </c>
      <c r="C136" s="12">
        <v>779</v>
      </c>
      <c r="D136" s="12">
        <v>792</v>
      </c>
      <c r="E136" s="12">
        <v>792</v>
      </c>
      <c r="F136" s="12">
        <v>774</v>
      </c>
      <c r="G136" s="12">
        <v>871</v>
      </c>
      <c r="H136" s="12">
        <v>731</v>
      </c>
      <c r="I136" s="12">
        <v>689</v>
      </c>
      <c r="J136" s="26"/>
      <c r="K136" s="12">
        <f t="shared" si="26"/>
        <v>801.6</v>
      </c>
      <c r="L136" s="12"/>
      <c r="M136" s="12">
        <f t="shared" si="27"/>
        <v>710</v>
      </c>
      <c r="N136" s="22">
        <v>10</v>
      </c>
      <c r="O136" s="43">
        <f t="shared" si="28"/>
        <v>17.600000000000023</v>
      </c>
      <c r="P136" s="230">
        <f t="shared" ref="P136:P148" si="29">P135+O136</f>
        <v>818.4</v>
      </c>
      <c r="Q136" s="40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40"/>
      <c r="AD136" s="229"/>
      <c r="AE136" s="37"/>
    </row>
    <row r="137" spans="2:31" x14ac:dyDescent="0.2">
      <c r="B137" s="15">
        <v>11</v>
      </c>
      <c r="C137" s="12">
        <v>793</v>
      </c>
      <c r="D137" s="12">
        <v>802</v>
      </c>
      <c r="E137" s="12">
        <v>806</v>
      </c>
      <c r="F137" s="12">
        <v>780</v>
      </c>
      <c r="G137" s="12">
        <v>871</v>
      </c>
      <c r="H137" s="12">
        <v>771</v>
      </c>
      <c r="I137" s="12">
        <v>695</v>
      </c>
      <c r="J137" s="26"/>
      <c r="K137" s="12">
        <f t="shared" si="26"/>
        <v>810.4</v>
      </c>
      <c r="L137" s="12"/>
      <c r="M137" s="12">
        <f t="shared" si="27"/>
        <v>733</v>
      </c>
      <c r="N137" s="22">
        <v>11</v>
      </c>
      <c r="O137" s="43">
        <f t="shared" si="28"/>
        <v>8.7999999999999545</v>
      </c>
      <c r="P137" s="230">
        <f t="shared" si="29"/>
        <v>827.19999999999993</v>
      </c>
      <c r="Q137" s="40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40"/>
      <c r="AD137" s="229"/>
      <c r="AE137" s="37"/>
    </row>
    <row r="138" spans="2:31" x14ac:dyDescent="0.2">
      <c r="B138" s="16">
        <v>12</v>
      </c>
      <c r="C138" s="13">
        <v>803</v>
      </c>
      <c r="D138" s="13">
        <v>815</v>
      </c>
      <c r="E138" s="13">
        <v>801</v>
      </c>
      <c r="F138" s="13">
        <v>775</v>
      </c>
      <c r="G138" s="13">
        <v>882</v>
      </c>
      <c r="H138" s="13">
        <v>762</v>
      </c>
      <c r="I138" s="13">
        <v>704</v>
      </c>
      <c r="J138" s="27"/>
      <c r="K138" s="13">
        <f t="shared" si="26"/>
        <v>815.2</v>
      </c>
      <c r="L138" s="13"/>
      <c r="M138" s="13">
        <f t="shared" si="27"/>
        <v>733</v>
      </c>
      <c r="N138" s="23">
        <v>12</v>
      </c>
      <c r="O138" s="49">
        <f t="shared" si="28"/>
        <v>4.8000000000000682</v>
      </c>
      <c r="P138" s="230">
        <f t="shared" si="29"/>
        <v>832</v>
      </c>
      <c r="Q138" s="40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40"/>
      <c r="AD138" s="229"/>
      <c r="AE138" s="37"/>
    </row>
    <row r="139" spans="2:31" x14ac:dyDescent="0.2">
      <c r="B139" s="15">
        <v>13</v>
      </c>
      <c r="C139" s="12">
        <v>804</v>
      </c>
      <c r="D139" s="12">
        <v>811</v>
      </c>
      <c r="E139" s="12">
        <v>786</v>
      </c>
      <c r="F139" s="12">
        <v>773</v>
      </c>
      <c r="G139" s="12">
        <v>882</v>
      </c>
      <c r="H139" s="12">
        <v>778</v>
      </c>
      <c r="I139" s="12">
        <v>728</v>
      </c>
      <c r="J139" s="26"/>
      <c r="K139" s="12">
        <f t="shared" si="26"/>
        <v>811.2</v>
      </c>
      <c r="L139" s="12"/>
      <c r="M139" s="12">
        <f t="shared" si="27"/>
        <v>753</v>
      </c>
      <c r="N139" s="22">
        <v>13</v>
      </c>
      <c r="O139" s="48">
        <f t="shared" si="28"/>
        <v>-4</v>
      </c>
      <c r="P139" s="230">
        <f t="shared" si="29"/>
        <v>828</v>
      </c>
      <c r="Q139" s="40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40"/>
      <c r="AD139" s="229"/>
      <c r="AE139" s="37"/>
    </row>
    <row r="140" spans="2:31" x14ac:dyDescent="0.2">
      <c r="B140" s="15">
        <v>14</v>
      </c>
      <c r="C140" s="12">
        <v>819</v>
      </c>
      <c r="D140" s="12">
        <v>813</v>
      </c>
      <c r="E140" s="12">
        <v>815</v>
      </c>
      <c r="F140" s="12">
        <v>776</v>
      </c>
      <c r="G140" s="12">
        <v>889</v>
      </c>
      <c r="H140" s="12">
        <v>776</v>
      </c>
      <c r="I140" s="12">
        <v>729</v>
      </c>
      <c r="J140" s="26"/>
      <c r="K140" s="12">
        <f t="shared" si="26"/>
        <v>822.4</v>
      </c>
      <c r="L140" s="12"/>
      <c r="M140" s="12">
        <f t="shared" si="27"/>
        <v>752.5</v>
      </c>
      <c r="N140" s="22">
        <v>14</v>
      </c>
      <c r="O140" s="43">
        <f t="shared" si="28"/>
        <v>11.199999999999932</v>
      </c>
      <c r="P140" s="230">
        <f t="shared" si="29"/>
        <v>839.19999999999993</v>
      </c>
      <c r="Q140" s="40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40"/>
      <c r="AD140" s="229"/>
      <c r="AE140" s="37"/>
    </row>
    <row r="141" spans="2:31" x14ac:dyDescent="0.2">
      <c r="B141" s="15">
        <v>15</v>
      </c>
      <c r="C141" s="12">
        <v>815</v>
      </c>
      <c r="D141" s="12">
        <v>824</v>
      </c>
      <c r="E141" s="12">
        <v>794</v>
      </c>
      <c r="F141" s="12">
        <v>768</v>
      </c>
      <c r="G141" s="12">
        <v>881</v>
      </c>
      <c r="H141" s="12">
        <v>760</v>
      </c>
      <c r="I141" s="12">
        <v>709</v>
      </c>
      <c r="J141" s="26"/>
      <c r="K141" s="12">
        <f t="shared" si="26"/>
        <v>816.4</v>
      </c>
      <c r="L141" s="12"/>
      <c r="M141" s="12">
        <f t="shared" si="27"/>
        <v>734.5</v>
      </c>
      <c r="N141" s="22">
        <v>15</v>
      </c>
      <c r="O141" s="43">
        <f t="shared" si="28"/>
        <v>-6</v>
      </c>
      <c r="P141" s="230">
        <f t="shared" si="29"/>
        <v>833.19999999999993</v>
      </c>
      <c r="Q141" s="40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40"/>
      <c r="AD141" s="229"/>
      <c r="AE141" s="37"/>
    </row>
    <row r="142" spans="2:31" x14ac:dyDescent="0.2">
      <c r="B142" s="16">
        <v>16</v>
      </c>
      <c r="C142" s="13">
        <v>796</v>
      </c>
      <c r="D142" s="13">
        <v>793</v>
      </c>
      <c r="E142" s="13">
        <v>781</v>
      </c>
      <c r="F142" s="13">
        <v>754</v>
      </c>
      <c r="G142" s="13">
        <v>871</v>
      </c>
      <c r="H142" s="13">
        <v>760</v>
      </c>
      <c r="I142" s="13">
        <v>732</v>
      </c>
      <c r="J142" s="27"/>
      <c r="K142" s="13">
        <f t="shared" si="26"/>
        <v>799</v>
      </c>
      <c r="L142" s="13"/>
      <c r="M142" s="13">
        <f t="shared" si="27"/>
        <v>746</v>
      </c>
      <c r="N142" s="23">
        <v>16</v>
      </c>
      <c r="O142" s="49">
        <f t="shared" si="28"/>
        <v>-17.399999999999977</v>
      </c>
      <c r="P142" s="230">
        <f t="shared" si="29"/>
        <v>815.8</v>
      </c>
      <c r="Q142" s="40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40"/>
      <c r="AD142" s="229"/>
      <c r="AE142" s="37"/>
    </row>
    <row r="143" spans="2:31" x14ac:dyDescent="0.2">
      <c r="B143" s="15">
        <v>17</v>
      </c>
      <c r="C143" s="12">
        <v>785</v>
      </c>
      <c r="D143" s="12">
        <v>796</v>
      </c>
      <c r="E143" s="12">
        <v>766</v>
      </c>
      <c r="F143" s="12">
        <v>755</v>
      </c>
      <c r="G143" s="12">
        <v>843</v>
      </c>
      <c r="H143" s="12">
        <v>752</v>
      </c>
      <c r="I143" s="12">
        <v>708</v>
      </c>
      <c r="J143" s="26"/>
      <c r="K143" s="12">
        <f t="shared" si="26"/>
        <v>789</v>
      </c>
      <c r="L143" s="12"/>
      <c r="M143" s="12">
        <f t="shared" si="27"/>
        <v>730</v>
      </c>
      <c r="N143" s="22">
        <v>17</v>
      </c>
      <c r="O143" s="48">
        <f t="shared" si="28"/>
        <v>-10</v>
      </c>
      <c r="P143" s="230">
        <f t="shared" si="29"/>
        <v>805.8</v>
      </c>
      <c r="Q143" s="40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40"/>
      <c r="AD143" s="229"/>
      <c r="AE143" s="37"/>
    </row>
    <row r="144" spans="2:31" x14ac:dyDescent="0.2">
      <c r="B144" s="15">
        <v>18</v>
      </c>
      <c r="C144" s="12">
        <v>862</v>
      </c>
      <c r="D144" s="12">
        <v>837</v>
      </c>
      <c r="E144" s="12">
        <v>800</v>
      </c>
      <c r="F144" s="12">
        <v>773</v>
      </c>
      <c r="G144" s="12">
        <v>817</v>
      </c>
      <c r="H144" s="12">
        <v>780</v>
      </c>
      <c r="I144" s="12">
        <v>745</v>
      </c>
      <c r="J144" s="26"/>
      <c r="K144" s="12">
        <f t="shared" si="26"/>
        <v>817.8</v>
      </c>
      <c r="L144" s="12"/>
      <c r="M144" s="12">
        <f t="shared" si="27"/>
        <v>762.5</v>
      </c>
      <c r="N144" s="22">
        <v>18</v>
      </c>
      <c r="O144" s="43">
        <f t="shared" si="28"/>
        <v>28.799999999999955</v>
      </c>
      <c r="P144" s="230">
        <f t="shared" si="29"/>
        <v>834.59999999999991</v>
      </c>
      <c r="Q144" s="40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40"/>
      <c r="AD144" s="229"/>
      <c r="AE144" s="37"/>
    </row>
    <row r="145" spans="1:31" x14ac:dyDescent="0.2">
      <c r="B145" s="15">
        <v>19</v>
      </c>
      <c r="C145" s="12">
        <v>871</v>
      </c>
      <c r="D145" s="12">
        <v>812</v>
      </c>
      <c r="E145" s="12">
        <v>876</v>
      </c>
      <c r="F145" s="12">
        <v>833</v>
      </c>
      <c r="G145" s="12">
        <v>868</v>
      </c>
      <c r="H145" s="12">
        <v>827</v>
      </c>
      <c r="I145" s="12">
        <v>822</v>
      </c>
      <c r="J145" s="26"/>
      <c r="K145" s="12">
        <f t="shared" si="26"/>
        <v>852</v>
      </c>
      <c r="L145" s="12"/>
      <c r="M145" s="12">
        <f t="shared" si="27"/>
        <v>824.5</v>
      </c>
      <c r="N145" s="22">
        <v>19</v>
      </c>
      <c r="O145" s="43">
        <f t="shared" si="28"/>
        <v>34.200000000000045</v>
      </c>
      <c r="P145" s="230">
        <f t="shared" si="29"/>
        <v>868.8</v>
      </c>
      <c r="Q145" s="40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40"/>
      <c r="AD145" s="229"/>
      <c r="AE145" s="37"/>
    </row>
    <row r="146" spans="1:31" x14ac:dyDescent="0.2">
      <c r="B146" s="16">
        <v>20</v>
      </c>
      <c r="C146" s="13">
        <v>854</v>
      </c>
      <c r="D146" s="13">
        <v>807</v>
      </c>
      <c r="E146" s="13">
        <v>873</v>
      </c>
      <c r="F146" s="13">
        <v>819</v>
      </c>
      <c r="G146" s="13">
        <v>841</v>
      </c>
      <c r="H146" s="13">
        <v>793</v>
      </c>
      <c r="I146" s="13">
        <v>797</v>
      </c>
      <c r="J146" s="27"/>
      <c r="K146" s="13">
        <f t="shared" si="26"/>
        <v>838.8</v>
      </c>
      <c r="L146" s="13"/>
      <c r="M146" s="13">
        <f t="shared" si="27"/>
        <v>795</v>
      </c>
      <c r="N146" s="23">
        <v>20</v>
      </c>
      <c r="O146" s="49">
        <f t="shared" si="28"/>
        <v>-13.200000000000045</v>
      </c>
      <c r="P146" s="230">
        <f t="shared" si="29"/>
        <v>855.59999999999991</v>
      </c>
      <c r="Q146" s="40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40"/>
      <c r="AD146" s="229"/>
      <c r="AE146" s="37"/>
    </row>
    <row r="147" spans="1:31" x14ac:dyDescent="0.2">
      <c r="B147" s="15">
        <v>21</v>
      </c>
      <c r="C147" s="12">
        <v>831</v>
      </c>
      <c r="D147" s="12">
        <v>793</v>
      </c>
      <c r="E147" s="12">
        <v>857</v>
      </c>
      <c r="F147" s="12">
        <v>798</v>
      </c>
      <c r="G147" s="12">
        <v>792</v>
      </c>
      <c r="H147" s="12">
        <v>788</v>
      </c>
      <c r="I147" s="12">
        <v>779</v>
      </c>
      <c r="J147" s="26"/>
      <c r="K147" s="12">
        <f t="shared" si="26"/>
        <v>814.2</v>
      </c>
      <c r="L147" s="12"/>
      <c r="M147" s="12">
        <f t="shared" si="27"/>
        <v>783.5</v>
      </c>
      <c r="N147" s="22">
        <v>21</v>
      </c>
      <c r="O147" s="48">
        <f t="shared" si="28"/>
        <v>-24.599999999999909</v>
      </c>
      <c r="P147" s="230">
        <f t="shared" si="29"/>
        <v>831</v>
      </c>
      <c r="Q147" s="40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40"/>
      <c r="AD147" s="229"/>
      <c r="AE147" s="37"/>
    </row>
    <row r="148" spans="1:31" x14ac:dyDescent="0.2">
      <c r="B148" s="15">
        <v>22</v>
      </c>
      <c r="C148" s="12">
        <v>800</v>
      </c>
      <c r="D148" s="12">
        <v>780</v>
      </c>
      <c r="E148" s="12">
        <v>790</v>
      </c>
      <c r="F148" s="12">
        <v>770</v>
      </c>
      <c r="G148" s="12">
        <v>760</v>
      </c>
      <c r="H148" s="12">
        <v>737</v>
      </c>
      <c r="I148" s="12">
        <v>689</v>
      </c>
      <c r="J148" s="26"/>
      <c r="K148" s="12">
        <f t="shared" si="26"/>
        <v>780</v>
      </c>
      <c r="L148" s="12"/>
      <c r="M148" s="12">
        <f t="shared" si="27"/>
        <v>713</v>
      </c>
      <c r="N148" s="22">
        <v>22</v>
      </c>
      <c r="O148" s="43">
        <f t="shared" si="28"/>
        <v>-34.200000000000045</v>
      </c>
      <c r="P148" s="230">
        <f t="shared" si="29"/>
        <v>796.8</v>
      </c>
      <c r="Q148" s="40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40"/>
      <c r="AD148" s="229"/>
      <c r="AE148" s="37"/>
    </row>
    <row r="149" spans="1:31" x14ac:dyDescent="0.2">
      <c r="B149" s="15">
        <v>23</v>
      </c>
      <c r="C149" s="12">
        <v>707</v>
      </c>
      <c r="D149" s="12">
        <v>707</v>
      </c>
      <c r="E149" s="12">
        <v>722</v>
      </c>
      <c r="F149" s="12">
        <v>676</v>
      </c>
      <c r="G149" s="12">
        <v>693</v>
      </c>
      <c r="H149" s="12">
        <v>635</v>
      </c>
      <c r="I149" s="12">
        <v>617</v>
      </c>
      <c r="J149" s="26"/>
      <c r="K149" s="12">
        <f t="shared" si="26"/>
        <v>701</v>
      </c>
      <c r="L149" s="12"/>
      <c r="M149" s="12">
        <f t="shared" si="27"/>
        <v>626</v>
      </c>
      <c r="N149" s="22">
        <v>23</v>
      </c>
      <c r="O149" s="43">
        <f t="shared" si="28"/>
        <v>-79</v>
      </c>
      <c r="P149" s="230"/>
      <c r="Q149" s="40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40"/>
      <c r="AD149" s="229"/>
      <c r="AE149" s="37"/>
    </row>
    <row r="150" spans="1:31" x14ac:dyDescent="0.2">
      <c r="B150" s="16">
        <v>24</v>
      </c>
      <c r="C150" s="12">
        <v>659</v>
      </c>
      <c r="D150" s="12">
        <v>646</v>
      </c>
      <c r="E150" s="12">
        <v>650</v>
      </c>
      <c r="F150" s="12">
        <v>623</v>
      </c>
      <c r="G150" s="13">
        <v>643</v>
      </c>
      <c r="H150" s="13">
        <v>628</v>
      </c>
      <c r="I150" s="13">
        <v>598</v>
      </c>
      <c r="J150" s="27"/>
      <c r="K150" s="12">
        <f t="shared" si="26"/>
        <v>644.20000000000005</v>
      </c>
      <c r="L150" s="13"/>
      <c r="M150" s="12">
        <f t="shared" si="27"/>
        <v>613</v>
      </c>
      <c r="N150" s="23">
        <v>24</v>
      </c>
      <c r="O150" s="49">
        <f t="shared" si="28"/>
        <v>-56.799999999999955</v>
      </c>
      <c r="P150" s="230"/>
      <c r="Q150" s="40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40"/>
      <c r="AD150" s="229"/>
      <c r="AE150" s="37"/>
    </row>
    <row r="151" spans="1:31" ht="13.5" thickBot="1" x14ac:dyDescent="0.25">
      <c r="B151" s="17" t="s">
        <v>54</v>
      </c>
      <c r="C151" s="25">
        <f t="shared" ref="C151:I151" si="30">SUM(C127:C150)</f>
        <v>17497</v>
      </c>
      <c r="D151" s="25">
        <f t="shared" si="30"/>
        <v>17642</v>
      </c>
      <c r="E151" s="25">
        <f t="shared" si="30"/>
        <v>17699</v>
      </c>
      <c r="F151" s="25">
        <f t="shared" si="30"/>
        <v>17384</v>
      </c>
      <c r="G151" s="25">
        <f t="shared" si="30"/>
        <v>18533</v>
      </c>
      <c r="H151" s="25">
        <f t="shared" si="30"/>
        <v>16883</v>
      </c>
      <c r="I151" s="25">
        <f t="shared" si="30"/>
        <v>15925</v>
      </c>
      <c r="J151" s="25"/>
      <c r="K151" s="25">
        <f>SUM(K127:K150)</f>
        <v>17751</v>
      </c>
      <c r="L151" s="25"/>
      <c r="M151" s="25">
        <f>SUM(M127:M150)</f>
        <v>16404</v>
      </c>
      <c r="N151" s="24"/>
      <c r="O151" s="44"/>
      <c r="P151" s="37"/>
      <c r="Q151" s="35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37"/>
      <c r="AD151" s="231"/>
      <c r="AE151" s="37"/>
    </row>
    <row r="152" spans="1:31" ht="13.5" thickTop="1" x14ac:dyDescent="0.2">
      <c r="B152" s="410"/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1"/>
      <c r="N152" s="412"/>
      <c r="O152" s="413"/>
      <c r="P152" s="37"/>
      <c r="Q152" s="35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37"/>
      <c r="AD152" s="231"/>
      <c r="AE152" s="37"/>
    </row>
    <row r="153" spans="1:31" x14ac:dyDescent="0.2"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1" ht="15.75" x14ac:dyDescent="0.25">
      <c r="A154" s="10"/>
      <c r="B154" s="122" t="str">
        <f>A1</f>
        <v xml:space="preserve"> Nov 00</v>
      </c>
      <c r="C154" s="10"/>
      <c r="D154" s="10"/>
      <c r="E154" s="10"/>
      <c r="F154" s="10"/>
      <c r="G154" s="11" t="s">
        <v>59</v>
      </c>
      <c r="H154" s="10"/>
      <c r="I154" s="10"/>
      <c r="J154" s="10"/>
      <c r="K154" s="10"/>
      <c r="L154" s="10"/>
      <c r="M154" s="10"/>
      <c r="N154" s="10"/>
      <c r="P154" s="227"/>
      <c r="Q154" s="227"/>
      <c r="R154" s="227"/>
      <c r="S154" s="227"/>
      <c r="T154" s="227"/>
      <c r="U154" s="227"/>
      <c r="V154" s="228"/>
      <c r="W154" s="227"/>
      <c r="X154" s="227"/>
      <c r="Y154" s="227"/>
      <c r="Z154" s="227"/>
      <c r="AA154" s="227"/>
      <c r="AB154" s="227"/>
      <c r="AC154" s="227"/>
      <c r="AD154" s="37"/>
      <c r="AE154" s="37"/>
    </row>
    <row r="155" spans="1:31" x14ac:dyDescent="0.2">
      <c r="F155" t="s">
        <v>61</v>
      </c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 spans="1:31" x14ac:dyDescent="0.2">
      <c r="B156" t="s">
        <v>175</v>
      </c>
      <c r="C156">
        <v>0.95</v>
      </c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 spans="1:31" x14ac:dyDescent="0.2">
      <c r="B157" s="14" t="s">
        <v>53</v>
      </c>
      <c r="C157" s="18" t="s">
        <v>46</v>
      </c>
      <c r="D157" s="18" t="s">
        <v>47</v>
      </c>
      <c r="E157" s="18" t="s">
        <v>48</v>
      </c>
      <c r="F157" s="18" t="s">
        <v>49</v>
      </c>
      <c r="G157" s="18" t="s">
        <v>50</v>
      </c>
      <c r="H157" s="18" t="s">
        <v>51</v>
      </c>
      <c r="I157" s="18" t="s">
        <v>52</v>
      </c>
      <c r="J157" s="19"/>
      <c r="K157" s="299" t="s">
        <v>143</v>
      </c>
      <c r="L157" s="20"/>
      <c r="M157" s="299" t="s">
        <v>144</v>
      </c>
      <c r="N157" s="21" t="s">
        <v>53</v>
      </c>
      <c r="O157" s="42" t="s">
        <v>63</v>
      </c>
      <c r="P157" s="37"/>
      <c r="Q157" s="35"/>
      <c r="R157" s="36"/>
      <c r="S157" s="36"/>
      <c r="T157" s="36"/>
      <c r="U157" s="36"/>
      <c r="V157" s="36"/>
      <c r="W157" s="36"/>
      <c r="X157" s="36"/>
      <c r="Y157" s="37"/>
      <c r="Z157" s="38"/>
      <c r="AA157" s="39"/>
      <c r="AB157" s="38"/>
      <c r="AC157" s="35"/>
      <c r="AD157" s="36"/>
      <c r="AE157" s="37"/>
    </row>
    <row r="158" spans="1:31" x14ac:dyDescent="0.2">
      <c r="B158" s="31">
        <v>1</v>
      </c>
      <c r="C158" s="29">
        <f t="shared" ref="C158:I167" si="31">AVERAGE(C5,C97,C66,C35,C127)*$C$156</f>
        <v>529.72</v>
      </c>
      <c r="D158" s="29">
        <f t="shared" si="31"/>
        <v>574.37</v>
      </c>
      <c r="E158" s="29">
        <f t="shared" si="31"/>
        <v>570.57000000000005</v>
      </c>
      <c r="F158" s="29">
        <f t="shared" si="31"/>
        <v>578.92999999999995</v>
      </c>
      <c r="G158" s="29">
        <f t="shared" si="31"/>
        <v>572.85</v>
      </c>
      <c r="H158" s="29">
        <f t="shared" si="31"/>
        <v>577.6</v>
      </c>
      <c r="I158" s="29">
        <f t="shared" si="31"/>
        <v>556.32000000000005</v>
      </c>
      <c r="J158" s="30"/>
      <c r="K158" s="29">
        <f>AVERAGE(C158:G158)</f>
        <v>565.28800000000001</v>
      </c>
      <c r="L158" s="29"/>
      <c r="M158" s="29">
        <f t="shared" ref="M158:M181" si="32">AVERAGE(M5,M97,M66,M35)</f>
        <v>593.875</v>
      </c>
      <c r="N158" s="32">
        <v>1</v>
      </c>
      <c r="O158" s="48">
        <f>K158-K181</f>
        <v>-36.8599999999999</v>
      </c>
      <c r="P158" s="37"/>
      <c r="Q158" s="40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40"/>
      <c r="AD158" s="229"/>
      <c r="AE158" s="37"/>
    </row>
    <row r="159" spans="1:31" x14ac:dyDescent="0.2">
      <c r="B159" s="15">
        <v>2</v>
      </c>
      <c r="C159" s="12">
        <f t="shared" si="31"/>
        <v>520.79</v>
      </c>
      <c r="D159" s="12">
        <f t="shared" si="31"/>
        <v>558.03</v>
      </c>
      <c r="E159" s="12">
        <f t="shared" si="31"/>
        <v>558.6</v>
      </c>
      <c r="F159" s="12">
        <f t="shared" si="31"/>
        <v>556.32000000000005</v>
      </c>
      <c r="G159" s="12">
        <f t="shared" si="31"/>
        <v>567.72</v>
      </c>
      <c r="H159" s="12">
        <f t="shared" si="31"/>
        <v>567.53</v>
      </c>
      <c r="I159" s="12">
        <f t="shared" si="31"/>
        <v>535.6099999999999</v>
      </c>
      <c r="J159" s="26"/>
      <c r="K159" s="12">
        <f t="shared" ref="K159:K181" si="33">AVERAGE(C159:G159)</f>
        <v>552.29200000000003</v>
      </c>
      <c r="L159" s="12"/>
      <c r="M159" s="12">
        <f t="shared" si="32"/>
        <v>578</v>
      </c>
      <c r="N159" s="22">
        <v>2</v>
      </c>
      <c r="O159" s="43">
        <f>K159-K158</f>
        <v>-12.995999999999981</v>
      </c>
      <c r="P159" s="37"/>
      <c r="Q159" s="40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40"/>
      <c r="AD159" s="229"/>
      <c r="AE159" s="37"/>
    </row>
    <row r="160" spans="1:31" x14ac:dyDescent="0.2">
      <c r="B160" s="15">
        <v>3</v>
      </c>
      <c r="C160" s="12">
        <f t="shared" si="31"/>
        <v>526.87</v>
      </c>
      <c r="D160" s="12">
        <f t="shared" si="31"/>
        <v>552.14</v>
      </c>
      <c r="E160" s="12">
        <f t="shared" si="31"/>
        <v>549.1</v>
      </c>
      <c r="F160" s="12">
        <f t="shared" si="31"/>
        <v>554.2299999999999</v>
      </c>
      <c r="G160" s="12">
        <f t="shared" si="31"/>
        <v>549.66999999999996</v>
      </c>
      <c r="H160" s="12">
        <f t="shared" si="31"/>
        <v>558.9799999999999</v>
      </c>
      <c r="I160" s="12">
        <f t="shared" si="31"/>
        <v>518.69999999999993</v>
      </c>
      <c r="J160" s="26"/>
      <c r="K160" s="12">
        <f t="shared" si="33"/>
        <v>546.40200000000004</v>
      </c>
      <c r="L160" s="12"/>
      <c r="M160" s="12">
        <f t="shared" si="32"/>
        <v>565.75</v>
      </c>
      <c r="N160" s="22">
        <v>3</v>
      </c>
      <c r="O160" s="43">
        <f t="shared" ref="O160:O181" si="34">K160-K159</f>
        <v>-5.8899999999999864</v>
      </c>
      <c r="P160" s="37"/>
      <c r="Q160" s="40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40"/>
      <c r="AD160" s="229"/>
      <c r="AE160" s="37"/>
    </row>
    <row r="161" spans="2:31" x14ac:dyDescent="0.2">
      <c r="B161" s="16">
        <v>4</v>
      </c>
      <c r="C161" s="13">
        <f t="shared" si="31"/>
        <v>533.9</v>
      </c>
      <c r="D161" s="13">
        <f t="shared" si="31"/>
        <v>559.16999999999996</v>
      </c>
      <c r="E161" s="13">
        <f t="shared" si="31"/>
        <v>548.91</v>
      </c>
      <c r="F161" s="13">
        <f t="shared" si="31"/>
        <v>557.84</v>
      </c>
      <c r="G161" s="13">
        <f t="shared" si="31"/>
        <v>554.99</v>
      </c>
      <c r="H161" s="13">
        <f t="shared" si="31"/>
        <v>539.9799999999999</v>
      </c>
      <c r="I161" s="13">
        <f t="shared" si="31"/>
        <v>522.88</v>
      </c>
      <c r="J161" s="27"/>
      <c r="K161" s="13">
        <f t="shared" si="33"/>
        <v>550.9620000000001</v>
      </c>
      <c r="L161" s="13"/>
      <c r="M161" s="13">
        <f t="shared" si="32"/>
        <v>559.375</v>
      </c>
      <c r="N161" s="23">
        <v>4</v>
      </c>
      <c r="O161" s="49">
        <f t="shared" si="34"/>
        <v>4.5600000000000591</v>
      </c>
      <c r="P161" s="37"/>
      <c r="Q161" s="40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40"/>
      <c r="AD161" s="229"/>
      <c r="AE161" s="37"/>
    </row>
    <row r="162" spans="2:31" x14ac:dyDescent="0.2">
      <c r="B162" s="31">
        <v>5</v>
      </c>
      <c r="C162" s="29">
        <f t="shared" si="31"/>
        <v>558.41</v>
      </c>
      <c r="D162" s="29">
        <f t="shared" si="31"/>
        <v>591.66</v>
      </c>
      <c r="E162" s="29">
        <f t="shared" si="31"/>
        <v>580.64</v>
      </c>
      <c r="F162" s="29">
        <f t="shared" si="31"/>
        <v>582.16</v>
      </c>
      <c r="G162" s="29">
        <f t="shared" si="31"/>
        <v>601.16</v>
      </c>
      <c r="H162" s="29">
        <f t="shared" si="31"/>
        <v>568.1</v>
      </c>
      <c r="I162" s="29">
        <f t="shared" si="31"/>
        <v>526.1099999999999</v>
      </c>
      <c r="J162" s="30"/>
      <c r="K162" s="29">
        <f t="shared" si="33"/>
        <v>582.80599999999993</v>
      </c>
      <c r="L162" s="29"/>
      <c r="M162" s="29">
        <f t="shared" si="32"/>
        <v>573.625</v>
      </c>
      <c r="N162" s="32">
        <v>5</v>
      </c>
      <c r="O162" s="48">
        <f t="shared" si="34"/>
        <v>31.843999999999824</v>
      </c>
      <c r="P162" s="37"/>
      <c r="Q162" s="40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40"/>
      <c r="AD162" s="229"/>
      <c r="AE162" s="37"/>
    </row>
    <row r="163" spans="2:31" x14ac:dyDescent="0.2">
      <c r="B163" s="15">
        <v>6</v>
      </c>
      <c r="C163" s="12">
        <f t="shared" si="31"/>
        <v>635.54999999999995</v>
      </c>
      <c r="D163" s="12">
        <f t="shared" si="31"/>
        <v>665.94999999999993</v>
      </c>
      <c r="E163" s="12">
        <f t="shared" si="31"/>
        <v>656.44999999999993</v>
      </c>
      <c r="F163" s="12">
        <f t="shared" si="31"/>
        <v>657.78</v>
      </c>
      <c r="G163" s="12">
        <f t="shared" si="31"/>
        <v>679.63</v>
      </c>
      <c r="H163" s="12">
        <f t="shared" si="31"/>
        <v>589.75999999999988</v>
      </c>
      <c r="I163" s="12">
        <f t="shared" si="31"/>
        <v>548.72</v>
      </c>
      <c r="J163" s="26"/>
      <c r="K163" s="12">
        <f t="shared" si="33"/>
        <v>659.07199999999989</v>
      </c>
      <c r="L163" s="12"/>
      <c r="M163" s="12">
        <f t="shared" si="32"/>
        <v>598.25</v>
      </c>
      <c r="N163" s="22">
        <v>6</v>
      </c>
      <c r="O163" s="43">
        <f t="shared" si="34"/>
        <v>76.265999999999963</v>
      </c>
      <c r="P163" s="37">
        <v>804</v>
      </c>
      <c r="Q163" s="40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40"/>
      <c r="AD163" s="229"/>
      <c r="AE163" s="37"/>
    </row>
    <row r="164" spans="2:31" x14ac:dyDescent="0.2">
      <c r="B164" s="15">
        <v>7</v>
      </c>
      <c r="C164" s="12">
        <f t="shared" si="31"/>
        <v>698.81999999999994</v>
      </c>
      <c r="D164" s="12">
        <f t="shared" si="31"/>
        <v>724.28</v>
      </c>
      <c r="E164" s="12">
        <f t="shared" si="31"/>
        <v>711.3599999999999</v>
      </c>
      <c r="F164" s="12">
        <f t="shared" si="31"/>
        <v>718.39</v>
      </c>
      <c r="G164" s="12">
        <f t="shared" si="31"/>
        <v>732.25999999999988</v>
      </c>
      <c r="H164" s="12">
        <f t="shared" si="31"/>
        <v>603.05999999999995</v>
      </c>
      <c r="I164" s="12">
        <f t="shared" si="31"/>
        <v>541.12</v>
      </c>
      <c r="J164" s="26"/>
      <c r="K164" s="12">
        <f t="shared" si="33"/>
        <v>717.02199999999993</v>
      </c>
      <c r="L164" s="12"/>
      <c r="M164" s="12">
        <f t="shared" si="32"/>
        <v>603.625</v>
      </c>
      <c r="N164" s="22">
        <v>7</v>
      </c>
      <c r="O164" s="43">
        <f t="shared" si="34"/>
        <v>57.950000000000045</v>
      </c>
      <c r="P164" s="224">
        <f>P163+O164</f>
        <v>861.95</v>
      </c>
      <c r="Q164" s="40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40"/>
      <c r="AD164" s="229"/>
      <c r="AE164" s="37"/>
    </row>
    <row r="165" spans="2:31" x14ac:dyDescent="0.2">
      <c r="B165" s="16">
        <v>8</v>
      </c>
      <c r="C165" s="13">
        <f t="shared" si="31"/>
        <v>723.52</v>
      </c>
      <c r="D165" s="13">
        <f t="shared" si="31"/>
        <v>744.8</v>
      </c>
      <c r="E165" s="13">
        <f t="shared" si="31"/>
        <v>739.29</v>
      </c>
      <c r="F165" s="13">
        <f t="shared" si="31"/>
        <v>737.39</v>
      </c>
      <c r="G165" s="13">
        <f t="shared" si="31"/>
        <v>748.22</v>
      </c>
      <c r="H165" s="13">
        <f t="shared" si="31"/>
        <v>638.97</v>
      </c>
      <c r="I165" s="13">
        <f t="shared" si="31"/>
        <v>552.32999999999993</v>
      </c>
      <c r="J165" s="27"/>
      <c r="K165" s="13">
        <f t="shared" si="33"/>
        <v>738.64399999999989</v>
      </c>
      <c r="L165" s="13"/>
      <c r="M165" s="13">
        <f t="shared" si="32"/>
        <v>629.125</v>
      </c>
      <c r="N165" s="23">
        <v>8</v>
      </c>
      <c r="O165" s="49">
        <f t="shared" si="34"/>
        <v>21.621999999999957</v>
      </c>
      <c r="P165" s="224">
        <f>P164+O165</f>
        <v>883.572</v>
      </c>
      <c r="Q165" s="40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40"/>
      <c r="AD165" s="229"/>
      <c r="AE165" s="37"/>
    </row>
    <row r="166" spans="2:31" x14ac:dyDescent="0.2">
      <c r="B166" s="15">
        <v>9</v>
      </c>
      <c r="C166" s="29">
        <f t="shared" si="31"/>
        <v>745.94</v>
      </c>
      <c r="D166" s="29">
        <f t="shared" si="31"/>
        <v>760.94999999999993</v>
      </c>
      <c r="E166" s="29">
        <f t="shared" si="31"/>
        <v>766.65</v>
      </c>
      <c r="F166" s="29">
        <f t="shared" si="31"/>
        <v>749.74</v>
      </c>
      <c r="G166" s="29">
        <f t="shared" si="31"/>
        <v>773.3</v>
      </c>
      <c r="H166" s="29">
        <f t="shared" si="31"/>
        <v>680.19999999999993</v>
      </c>
      <c r="I166" s="29">
        <f t="shared" si="31"/>
        <v>585.39</v>
      </c>
      <c r="J166" s="26"/>
      <c r="K166" s="12">
        <f t="shared" si="33"/>
        <v>759.31600000000003</v>
      </c>
      <c r="L166" s="12"/>
      <c r="M166" s="12">
        <f t="shared" si="32"/>
        <v>667.75</v>
      </c>
      <c r="N166" s="22">
        <v>9</v>
      </c>
      <c r="O166" s="48">
        <f t="shared" si="34"/>
        <v>20.672000000000139</v>
      </c>
      <c r="P166" s="224">
        <f>P165+O166</f>
        <v>904.24400000000014</v>
      </c>
      <c r="Q166" s="40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40"/>
      <c r="AD166" s="229"/>
      <c r="AE166" s="37"/>
    </row>
    <row r="167" spans="2:31" x14ac:dyDescent="0.2">
      <c r="B167" s="15">
        <v>10</v>
      </c>
      <c r="C167" s="12">
        <f t="shared" si="31"/>
        <v>772.54</v>
      </c>
      <c r="D167" s="12">
        <f t="shared" si="31"/>
        <v>772.54</v>
      </c>
      <c r="E167" s="12">
        <f t="shared" si="31"/>
        <v>776.15</v>
      </c>
      <c r="F167" s="12">
        <f t="shared" si="31"/>
        <v>762.66</v>
      </c>
      <c r="G167" s="12">
        <f t="shared" si="31"/>
        <v>812.25</v>
      </c>
      <c r="H167" s="12">
        <f t="shared" si="31"/>
        <v>699.77</v>
      </c>
      <c r="I167" s="12">
        <f t="shared" si="31"/>
        <v>640.29999999999995</v>
      </c>
      <c r="J167" s="26"/>
      <c r="K167" s="12">
        <f t="shared" si="33"/>
        <v>779.22799999999995</v>
      </c>
      <c r="L167" s="12"/>
      <c r="M167" s="12">
        <f t="shared" si="32"/>
        <v>704.125</v>
      </c>
      <c r="N167" s="22">
        <v>10</v>
      </c>
      <c r="O167" s="43">
        <f t="shared" si="34"/>
        <v>19.911999999999921</v>
      </c>
      <c r="P167" s="224">
        <f t="shared" ref="P167:P178" si="35">P166+O167</f>
        <v>924.15600000000006</v>
      </c>
      <c r="Q167" s="40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40"/>
      <c r="AD167" s="229"/>
      <c r="AE167" s="37"/>
    </row>
    <row r="168" spans="2:31" x14ac:dyDescent="0.2">
      <c r="B168" s="15">
        <v>11</v>
      </c>
      <c r="C168" s="12">
        <f t="shared" ref="C168:I177" si="36">AVERAGE(C15,C107,C76,C45,C137)*$C$156</f>
        <v>777.67</v>
      </c>
      <c r="D168" s="12">
        <f t="shared" si="36"/>
        <v>776.72</v>
      </c>
      <c r="E168" s="12">
        <f t="shared" si="36"/>
        <v>788.31</v>
      </c>
      <c r="F168" s="12">
        <f t="shared" si="36"/>
        <v>767.59999999999991</v>
      </c>
      <c r="G168" s="12">
        <f t="shared" si="36"/>
        <v>817</v>
      </c>
      <c r="H168" s="12">
        <f t="shared" si="36"/>
        <v>716.1099999999999</v>
      </c>
      <c r="I168" s="12">
        <f t="shared" si="36"/>
        <v>649.41999999999996</v>
      </c>
      <c r="J168" s="26"/>
      <c r="K168" s="12">
        <f t="shared" si="33"/>
        <v>785.45999999999992</v>
      </c>
      <c r="L168" s="12"/>
      <c r="M168" s="12">
        <f t="shared" si="32"/>
        <v>715.125</v>
      </c>
      <c r="N168" s="22">
        <v>11</v>
      </c>
      <c r="O168" s="43">
        <f t="shared" si="34"/>
        <v>6.2319999999999709</v>
      </c>
      <c r="P168" s="224">
        <f t="shared" si="35"/>
        <v>930.38800000000003</v>
      </c>
      <c r="Q168" s="40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40"/>
      <c r="AD168" s="229"/>
      <c r="AE168" s="37"/>
    </row>
    <row r="169" spans="2:31" x14ac:dyDescent="0.2">
      <c r="B169" s="16">
        <v>12</v>
      </c>
      <c r="C169" s="13">
        <f t="shared" si="36"/>
        <v>782.42</v>
      </c>
      <c r="D169" s="13">
        <f t="shared" si="36"/>
        <v>779.38</v>
      </c>
      <c r="E169" s="13">
        <f t="shared" si="36"/>
        <v>794.57999999999993</v>
      </c>
      <c r="F169" s="13">
        <f t="shared" si="36"/>
        <v>764.56</v>
      </c>
      <c r="G169" s="13">
        <f t="shared" si="36"/>
        <v>824.41</v>
      </c>
      <c r="H169" s="13">
        <f t="shared" si="36"/>
        <v>713.64</v>
      </c>
      <c r="I169" s="13">
        <f t="shared" si="36"/>
        <v>655.30999999999995</v>
      </c>
      <c r="J169" s="27"/>
      <c r="K169" s="13">
        <f t="shared" si="33"/>
        <v>789.06999999999994</v>
      </c>
      <c r="L169" s="13"/>
      <c r="M169" s="13">
        <f t="shared" si="32"/>
        <v>717.375</v>
      </c>
      <c r="N169" s="23">
        <v>12</v>
      </c>
      <c r="O169" s="49">
        <f t="shared" si="34"/>
        <v>3.6100000000000136</v>
      </c>
      <c r="P169" s="224">
        <f t="shared" si="35"/>
        <v>933.99800000000005</v>
      </c>
      <c r="Q169" s="40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40"/>
      <c r="AD169" s="229"/>
      <c r="AE169" s="37"/>
    </row>
    <row r="170" spans="2:31" x14ac:dyDescent="0.2">
      <c r="B170" s="15">
        <v>13</v>
      </c>
      <c r="C170" s="29">
        <f t="shared" si="36"/>
        <v>789.64</v>
      </c>
      <c r="D170" s="29">
        <f t="shared" si="36"/>
        <v>779.38</v>
      </c>
      <c r="E170" s="29">
        <f t="shared" si="36"/>
        <v>786.9799999999999</v>
      </c>
      <c r="F170" s="29">
        <f t="shared" si="36"/>
        <v>768.93</v>
      </c>
      <c r="G170" s="29">
        <f t="shared" si="36"/>
        <v>826.69</v>
      </c>
      <c r="H170" s="29">
        <f t="shared" si="36"/>
        <v>714.78</v>
      </c>
      <c r="I170" s="29">
        <f t="shared" si="36"/>
        <v>670.50999999999988</v>
      </c>
      <c r="J170" s="26"/>
      <c r="K170" s="12">
        <f t="shared" si="33"/>
        <v>790.32399999999996</v>
      </c>
      <c r="L170" s="12"/>
      <c r="M170" s="12">
        <f t="shared" si="32"/>
        <v>723.125</v>
      </c>
      <c r="N170" s="22">
        <v>13</v>
      </c>
      <c r="O170" s="48">
        <f t="shared" si="34"/>
        <v>1.2540000000000191</v>
      </c>
      <c r="P170" s="224">
        <f t="shared" si="35"/>
        <v>935.25200000000007</v>
      </c>
      <c r="Q170" s="40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40"/>
      <c r="AD170" s="229"/>
      <c r="AE170" s="37"/>
    </row>
    <row r="171" spans="2:31" x14ac:dyDescent="0.2">
      <c r="B171" s="15">
        <v>14</v>
      </c>
      <c r="C171" s="12">
        <f t="shared" si="36"/>
        <v>798.38</v>
      </c>
      <c r="D171" s="12">
        <f t="shared" si="36"/>
        <v>774.81999999999994</v>
      </c>
      <c r="E171" s="12">
        <f t="shared" si="36"/>
        <v>798.38</v>
      </c>
      <c r="F171" s="12">
        <f t="shared" si="36"/>
        <v>772.92</v>
      </c>
      <c r="G171" s="12">
        <f t="shared" si="36"/>
        <v>828.20999999999992</v>
      </c>
      <c r="H171" s="12">
        <f t="shared" si="36"/>
        <v>707.18</v>
      </c>
      <c r="I171" s="12">
        <f t="shared" si="36"/>
        <v>675.06999999999994</v>
      </c>
      <c r="J171" s="26"/>
      <c r="K171" s="12">
        <f t="shared" si="33"/>
        <v>794.54200000000003</v>
      </c>
      <c r="L171" s="12"/>
      <c r="M171" s="12">
        <f t="shared" si="32"/>
        <v>721.25</v>
      </c>
      <c r="N171" s="22">
        <v>14</v>
      </c>
      <c r="O171" s="43">
        <f t="shared" si="34"/>
        <v>4.2180000000000746</v>
      </c>
      <c r="P171" s="224">
        <f t="shared" si="35"/>
        <v>939.47000000000014</v>
      </c>
      <c r="Q171" s="40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40"/>
      <c r="AD171" s="229"/>
      <c r="AE171" s="37"/>
    </row>
    <row r="172" spans="2:31" x14ac:dyDescent="0.2">
      <c r="B172" s="15">
        <v>15</v>
      </c>
      <c r="C172" s="12">
        <f t="shared" si="36"/>
        <v>791.34999999999991</v>
      </c>
      <c r="D172" s="12">
        <f t="shared" si="36"/>
        <v>790.97</v>
      </c>
      <c r="E172" s="12">
        <f t="shared" si="36"/>
        <v>789.06999999999994</v>
      </c>
      <c r="F172" s="12">
        <f t="shared" si="36"/>
        <v>765.89</v>
      </c>
      <c r="G172" s="12">
        <f t="shared" si="36"/>
        <v>818.52</v>
      </c>
      <c r="H172" s="12">
        <f t="shared" si="36"/>
        <v>691.22</v>
      </c>
      <c r="I172" s="12">
        <f t="shared" si="36"/>
        <v>654.54999999999995</v>
      </c>
      <c r="J172" s="26"/>
      <c r="K172" s="12">
        <f t="shared" si="33"/>
        <v>791.16</v>
      </c>
      <c r="L172" s="12"/>
      <c r="M172" s="12">
        <f t="shared" si="32"/>
        <v>701.75</v>
      </c>
      <c r="N172" s="22">
        <v>15</v>
      </c>
      <c r="O172" s="43">
        <f t="shared" si="34"/>
        <v>-3.3820000000000618</v>
      </c>
      <c r="P172" s="224">
        <f t="shared" si="35"/>
        <v>936.08800000000008</v>
      </c>
      <c r="Q172" s="40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40"/>
      <c r="AD172" s="229"/>
      <c r="AE172" s="37"/>
    </row>
    <row r="173" spans="2:31" x14ac:dyDescent="0.2">
      <c r="B173" s="16">
        <v>16</v>
      </c>
      <c r="C173" s="13">
        <f t="shared" si="36"/>
        <v>782.6099999999999</v>
      </c>
      <c r="D173" s="13">
        <f t="shared" si="36"/>
        <v>769.5</v>
      </c>
      <c r="E173" s="13">
        <f t="shared" si="36"/>
        <v>773.87</v>
      </c>
      <c r="F173" s="13">
        <f t="shared" si="36"/>
        <v>753.54</v>
      </c>
      <c r="G173" s="13">
        <f t="shared" si="36"/>
        <v>807.31</v>
      </c>
      <c r="H173" s="13">
        <f t="shared" si="36"/>
        <v>695.78</v>
      </c>
      <c r="I173" s="13">
        <f t="shared" si="36"/>
        <v>670.89</v>
      </c>
      <c r="J173" s="27"/>
      <c r="K173" s="13">
        <f t="shared" si="33"/>
        <v>777.36599999999999</v>
      </c>
      <c r="L173" s="13"/>
      <c r="M173" s="13">
        <f t="shared" si="32"/>
        <v>712.625</v>
      </c>
      <c r="N173" s="23">
        <v>16</v>
      </c>
      <c r="O173" s="49">
        <f t="shared" si="34"/>
        <v>-13.793999999999983</v>
      </c>
      <c r="P173" s="224">
        <f t="shared" si="35"/>
        <v>922.2940000000001</v>
      </c>
      <c r="Q173" s="40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40"/>
      <c r="AD173" s="229"/>
      <c r="AE173" s="37"/>
    </row>
    <row r="174" spans="2:31" x14ac:dyDescent="0.2">
      <c r="B174" s="15">
        <v>17</v>
      </c>
      <c r="C174" s="29">
        <f t="shared" si="36"/>
        <v>763.42</v>
      </c>
      <c r="D174" s="29">
        <f t="shared" si="36"/>
        <v>759.43</v>
      </c>
      <c r="E174" s="29">
        <f t="shared" si="36"/>
        <v>757.34</v>
      </c>
      <c r="F174" s="29">
        <f t="shared" si="36"/>
        <v>745.18</v>
      </c>
      <c r="G174" s="29">
        <f t="shared" si="36"/>
        <v>781.09</v>
      </c>
      <c r="H174" s="29">
        <f t="shared" si="36"/>
        <v>691.22</v>
      </c>
      <c r="I174" s="29">
        <f t="shared" si="36"/>
        <v>662.34</v>
      </c>
      <c r="J174" s="26"/>
      <c r="K174" s="12">
        <f t="shared" si="33"/>
        <v>761.29200000000003</v>
      </c>
      <c r="L174" s="12"/>
      <c r="M174" s="12">
        <f t="shared" si="32"/>
        <v>708</v>
      </c>
      <c r="N174" s="22">
        <v>17</v>
      </c>
      <c r="O174" s="48">
        <f t="shared" si="34"/>
        <v>-16.073999999999955</v>
      </c>
      <c r="P174" s="224">
        <f t="shared" si="35"/>
        <v>906.22000000000014</v>
      </c>
      <c r="Q174" s="40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40"/>
      <c r="AD174" s="229"/>
      <c r="AE174" s="37"/>
    </row>
    <row r="175" spans="2:31" x14ac:dyDescent="0.2">
      <c r="B175" s="15">
        <v>18</v>
      </c>
      <c r="C175" s="12">
        <f t="shared" si="36"/>
        <v>799.70999999999992</v>
      </c>
      <c r="D175" s="12">
        <f t="shared" si="36"/>
        <v>789.82999999999993</v>
      </c>
      <c r="E175" s="12">
        <f t="shared" si="36"/>
        <v>782.04</v>
      </c>
      <c r="F175" s="12">
        <f t="shared" si="36"/>
        <v>771.4</v>
      </c>
      <c r="G175" s="12">
        <f t="shared" si="36"/>
        <v>778.62</v>
      </c>
      <c r="H175" s="12">
        <f t="shared" si="36"/>
        <v>717.44</v>
      </c>
      <c r="I175" s="12">
        <f t="shared" si="36"/>
        <v>704.52</v>
      </c>
      <c r="J175" s="26"/>
      <c r="K175" s="12">
        <f t="shared" si="33"/>
        <v>784.31999999999994</v>
      </c>
      <c r="L175" s="12"/>
      <c r="M175" s="12">
        <f t="shared" si="32"/>
        <v>744.875</v>
      </c>
      <c r="N175" s="22">
        <v>18</v>
      </c>
      <c r="O175" s="43">
        <f t="shared" si="34"/>
        <v>23.027999999999906</v>
      </c>
      <c r="P175" s="224">
        <f t="shared" si="35"/>
        <v>929.24800000000005</v>
      </c>
      <c r="Q175" s="40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40"/>
      <c r="AD175" s="229"/>
      <c r="AE175" s="37"/>
    </row>
    <row r="176" spans="2:31" x14ac:dyDescent="0.2">
      <c r="B176" s="15">
        <v>19</v>
      </c>
      <c r="C176" s="12">
        <f t="shared" si="36"/>
        <v>842.27</v>
      </c>
      <c r="D176" s="12">
        <f t="shared" si="36"/>
        <v>813.00999999999988</v>
      </c>
      <c r="E176" s="12">
        <f t="shared" si="36"/>
        <v>835.62</v>
      </c>
      <c r="F176" s="12">
        <f t="shared" si="36"/>
        <v>810.16</v>
      </c>
      <c r="G176" s="12">
        <f t="shared" si="36"/>
        <v>816.81</v>
      </c>
      <c r="H176" s="12">
        <f t="shared" si="36"/>
        <v>760.94999999999993</v>
      </c>
      <c r="I176" s="12">
        <f t="shared" si="36"/>
        <v>764.18</v>
      </c>
      <c r="J176" s="26"/>
      <c r="K176" s="12">
        <f t="shared" si="33"/>
        <v>823.57399999999984</v>
      </c>
      <c r="L176" s="12"/>
      <c r="M176" s="12">
        <f t="shared" si="32"/>
        <v>797.25</v>
      </c>
      <c r="N176" s="22">
        <v>19</v>
      </c>
      <c r="O176" s="43">
        <f t="shared" si="34"/>
        <v>39.253999999999905</v>
      </c>
      <c r="P176" s="224">
        <f t="shared" si="35"/>
        <v>968.50199999999995</v>
      </c>
      <c r="Q176" s="40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40"/>
      <c r="AD176" s="229"/>
      <c r="AE176" s="37"/>
    </row>
    <row r="177" spans="1:31" x14ac:dyDescent="0.2">
      <c r="B177" s="16">
        <v>20</v>
      </c>
      <c r="C177" s="13">
        <f t="shared" si="36"/>
        <v>822.69999999999993</v>
      </c>
      <c r="D177" s="13">
        <f t="shared" si="36"/>
        <v>796.67</v>
      </c>
      <c r="E177" s="13">
        <f t="shared" si="36"/>
        <v>828.59</v>
      </c>
      <c r="F177" s="13">
        <f t="shared" si="36"/>
        <v>801.42</v>
      </c>
      <c r="G177" s="13">
        <f t="shared" si="36"/>
        <v>789.06999999999994</v>
      </c>
      <c r="H177" s="13">
        <f t="shared" si="36"/>
        <v>736.44</v>
      </c>
      <c r="I177" s="13">
        <f t="shared" si="36"/>
        <v>743.84999999999991</v>
      </c>
      <c r="J177" s="27"/>
      <c r="K177" s="13">
        <f t="shared" si="33"/>
        <v>807.68999999999994</v>
      </c>
      <c r="L177" s="13"/>
      <c r="M177" s="13">
        <f t="shared" si="32"/>
        <v>775.125</v>
      </c>
      <c r="N177" s="23">
        <v>20</v>
      </c>
      <c r="O177" s="49">
        <f t="shared" si="34"/>
        <v>-15.883999999999901</v>
      </c>
      <c r="P177" s="224">
        <f t="shared" si="35"/>
        <v>952.61800000000005</v>
      </c>
      <c r="Q177" s="40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40"/>
      <c r="AD177" s="229"/>
      <c r="AE177" s="37"/>
    </row>
    <row r="178" spans="1:31" x14ac:dyDescent="0.2">
      <c r="B178" s="15">
        <v>21</v>
      </c>
      <c r="C178" s="29">
        <f t="shared" ref="C178:I181" si="37">AVERAGE(C25,C117,C86,C55,C147)*$C$156</f>
        <v>782.42</v>
      </c>
      <c r="D178" s="29">
        <f t="shared" si="37"/>
        <v>759.24</v>
      </c>
      <c r="E178" s="29">
        <f t="shared" si="37"/>
        <v>798.56999999999994</v>
      </c>
      <c r="F178" s="29">
        <f t="shared" si="37"/>
        <v>764.75</v>
      </c>
      <c r="G178" s="29">
        <f t="shared" si="37"/>
        <v>752.02</v>
      </c>
      <c r="H178" s="29">
        <f t="shared" si="37"/>
        <v>728.27</v>
      </c>
      <c r="I178" s="29">
        <f t="shared" si="37"/>
        <v>720.67</v>
      </c>
      <c r="J178" s="26"/>
      <c r="K178" s="12">
        <f t="shared" si="33"/>
        <v>771.39999999999986</v>
      </c>
      <c r="L178" s="12"/>
      <c r="M178" s="12">
        <f t="shared" si="32"/>
        <v>757.375</v>
      </c>
      <c r="N178" s="22">
        <v>21</v>
      </c>
      <c r="O178" s="48">
        <f t="shared" si="34"/>
        <v>-36.290000000000077</v>
      </c>
      <c r="P178" s="224">
        <f t="shared" si="35"/>
        <v>916.32799999999997</v>
      </c>
      <c r="Q178" s="40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40"/>
      <c r="AD178" s="229"/>
      <c r="AE178" s="37"/>
    </row>
    <row r="179" spans="1:31" x14ac:dyDescent="0.2">
      <c r="B179" s="15">
        <v>22</v>
      </c>
      <c r="C179" s="12">
        <f t="shared" si="37"/>
        <v>736.63</v>
      </c>
      <c r="D179" s="12">
        <f t="shared" si="37"/>
        <v>725.42</v>
      </c>
      <c r="E179" s="12">
        <f t="shared" si="37"/>
        <v>721.05</v>
      </c>
      <c r="F179" s="12">
        <f t="shared" si="37"/>
        <v>718.00999999999988</v>
      </c>
      <c r="G179" s="12">
        <f t="shared" si="37"/>
        <v>714.59</v>
      </c>
      <c r="H179" s="12">
        <f t="shared" si="37"/>
        <v>682.67</v>
      </c>
      <c r="I179" s="12">
        <f t="shared" si="37"/>
        <v>654.92999999999995</v>
      </c>
      <c r="J179" s="26"/>
      <c r="K179" s="12">
        <f t="shared" si="33"/>
        <v>723.14</v>
      </c>
      <c r="L179" s="12"/>
      <c r="M179" s="12">
        <f t="shared" si="32"/>
        <v>701.75</v>
      </c>
      <c r="N179" s="22">
        <v>22</v>
      </c>
      <c r="O179" s="43">
        <f t="shared" si="34"/>
        <v>-48.259999999999877</v>
      </c>
      <c r="P179" s="37"/>
      <c r="Q179" s="40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40"/>
      <c r="AD179" s="229"/>
      <c r="AE179" s="37"/>
    </row>
    <row r="180" spans="1:31" x14ac:dyDescent="0.2">
      <c r="B180" s="15">
        <v>23</v>
      </c>
      <c r="C180" s="12">
        <f t="shared" si="37"/>
        <v>654.3599999999999</v>
      </c>
      <c r="D180" s="12">
        <f t="shared" si="37"/>
        <v>650.37</v>
      </c>
      <c r="E180" s="12">
        <f t="shared" si="37"/>
        <v>661.95999999999992</v>
      </c>
      <c r="F180" s="12">
        <f t="shared" si="37"/>
        <v>641.44000000000005</v>
      </c>
      <c r="G180" s="12">
        <f t="shared" si="37"/>
        <v>650.17999999999995</v>
      </c>
      <c r="H180" s="12">
        <f t="shared" si="37"/>
        <v>602.49</v>
      </c>
      <c r="I180" s="12">
        <f t="shared" si="37"/>
        <v>589.94999999999993</v>
      </c>
      <c r="J180" s="26"/>
      <c r="K180" s="12">
        <f t="shared" si="33"/>
        <v>651.66200000000003</v>
      </c>
      <c r="L180" s="12"/>
      <c r="M180" s="12">
        <f t="shared" si="32"/>
        <v>628</v>
      </c>
      <c r="N180" s="22">
        <v>23</v>
      </c>
      <c r="O180" s="43">
        <f t="shared" si="34"/>
        <v>-71.477999999999952</v>
      </c>
      <c r="P180" s="37"/>
      <c r="Q180" s="40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40"/>
      <c r="AD180" s="229"/>
      <c r="AE180" s="37"/>
    </row>
    <row r="181" spans="1:31" x14ac:dyDescent="0.2">
      <c r="B181" s="16">
        <v>24</v>
      </c>
      <c r="C181" s="13">
        <f t="shared" si="37"/>
        <v>605.34</v>
      </c>
      <c r="D181" s="13">
        <f t="shared" si="37"/>
        <v>598.12</v>
      </c>
      <c r="E181" s="13">
        <f t="shared" si="37"/>
        <v>604.00999999999988</v>
      </c>
      <c r="F181" s="13">
        <f t="shared" si="37"/>
        <v>593.37</v>
      </c>
      <c r="G181" s="13">
        <f t="shared" si="37"/>
        <v>609.9</v>
      </c>
      <c r="H181" s="13">
        <f t="shared" si="37"/>
        <v>579.88</v>
      </c>
      <c r="I181" s="13">
        <f t="shared" si="37"/>
        <v>564.67999999999995</v>
      </c>
      <c r="J181" s="27"/>
      <c r="K181" s="12">
        <f t="shared" si="33"/>
        <v>602.14799999999991</v>
      </c>
      <c r="L181" s="13"/>
      <c r="M181" s="12">
        <f t="shared" si="32"/>
        <v>599.75</v>
      </c>
      <c r="N181" s="23">
        <v>24</v>
      </c>
      <c r="O181" s="49">
        <f t="shared" si="34"/>
        <v>-49.514000000000124</v>
      </c>
      <c r="P181" s="37"/>
      <c r="Q181" s="40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0"/>
      <c r="AD181" s="229"/>
      <c r="AE181" s="37"/>
    </row>
    <row r="182" spans="1:31" ht="13.5" thickBot="1" x14ac:dyDescent="0.25">
      <c r="B182" s="17" t="s">
        <v>54</v>
      </c>
      <c r="C182" s="25">
        <f t="shared" ref="C182:I182" si="38">SUM(C158:C181)</f>
        <v>16974.98</v>
      </c>
      <c r="D182" s="25">
        <f t="shared" si="38"/>
        <v>17066.749999999996</v>
      </c>
      <c r="E182" s="25">
        <f t="shared" si="38"/>
        <v>17178.089999999997</v>
      </c>
      <c r="F182" s="25">
        <f t="shared" si="38"/>
        <v>16894.61</v>
      </c>
      <c r="G182" s="25">
        <f t="shared" si="38"/>
        <v>17406.47</v>
      </c>
      <c r="H182" s="25">
        <f t="shared" si="38"/>
        <v>15762.019999999999</v>
      </c>
      <c r="I182" s="25">
        <f t="shared" si="38"/>
        <v>14908.350000000002</v>
      </c>
      <c r="J182" s="25"/>
      <c r="K182" s="25">
        <f>SUM(K158:K181)</f>
        <v>17104.18</v>
      </c>
      <c r="L182" s="25"/>
      <c r="M182" s="25">
        <f>SUM(M158:M181)</f>
        <v>16076.875</v>
      </c>
      <c r="N182" s="24"/>
      <c r="O182" s="44"/>
      <c r="P182" s="37"/>
      <c r="Q182" s="35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37"/>
      <c r="AD182" s="231"/>
      <c r="AE182" s="37"/>
    </row>
    <row r="183" spans="1:31" ht="13.5" thickTop="1" x14ac:dyDescent="0.2">
      <c r="C183" s="9"/>
      <c r="D183" s="9"/>
      <c r="E183" s="9"/>
      <c r="F183" s="9"/>
      <c r="G183" s="9"/>
      <c r="H183" s="9"/>
      <c r="I183" s="9"/>
      <c r="K183" s="110"/>
      <c r="N183" s="109"/>
      <c r="O183" s="9"/>
      <c r="P183" s="37"/>
      <c r="Q183" s="37"/>
      <c r="R183" s="234"/>
      <c r="S183" s="234"/>
      <c r="T183" s="234"/>
      <c r="U183" s="234"/>
      <c r="V183" s="234"/>
      <c r="W183" s="234"/>
      <c r="X183" s="234"/>
      <c r="Y183" s="37"/>
      <c r="Z183" s="232"/>
      <c r="AA183" s="37"/>
      <c r="AB183" s="37"/>
      <c r="AC183" s="233"/>
      <c r="AD183" s="234"/>
      <c r="AE183" s="37"/>
    </row>
    <row r="184" spans="1:31" x14ac:dyDescent="0.2">
      <c r="B184" s="110"/>
      <c r="C184" s="9"/>
      <c r="D184" s="9"/>
      <c r="E184" s="9"/>
      <c r="F184" s="9"/>
      <c r="G184" s="9"/>
      <c r="H184" s="9"/>
      <c r="I184" s="9"/>
      <c r="K184" s="110"/>
      <c r="M184" s="110"/>
      <c r="N184" s="109"/>
      <c r="O184" s="9"/>
      <c r="P184" s="37"/>
      <c r="Q184" s="232"/>
      <c r="R184" s="234"/>
      <c r="S184" s="234"/>
      <c r="T184" s="234"/>
      <c r="U184" s="234"/>
      <c r="V184" s="234"/>
      <c r="W184" s="234"/>
      <c r="X184" s="234"/>
      <c r="Y184" s="37"/>
      <c r="Z184" s="232"/>
      <c r="AA184" s="37"/>
      <c r="AB184" s="232"/>
      <c r="AC184" s="233"/>
      <c r="AD184" s="234"/>
      <c r="AE184" s="37"/>
    </row>
    <row r="185" spans="1:31" x14ac:dyDescent="0.2"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 spans="1:31" x14ac:dyDescent="0.2">
      <c r="C186" s="33"/>
      <c r="D186" s="33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8" spans="1:31" ht="15.75" x14ac:dyDescent="0.25">
      <c r="A188" s="10"/>
      <c r="B188" s="28"/>
      <c r="C188" s="28"/>
      <c r="D188" s="28"/>
      <c r="E188" s="28"/>
      <c r="F188" s="10"/>
      <c r="G188" s="11"/>
      <c r="H188" s="10"/>
      <c r="I188" s="10"/>
      <c r="J188" s="10"/>
      <c r="K188" s="10"/>
      <c r="L188" s="10"/>
      <c r="M188" s="10"/>
      <c r="N188" s="10"/>
    </row>
    <row r="191" spans="1:31" x14ac:dyDescent="0.2">
      <c r="B191" s="35"/>
      <c r="C191" s="36"/>
      <c r="D191" s="36"/>
      <c r="E191" s="36"/>
      <c r="F191" s="36"/>
      <c r="G191" s="36"/>
      <c r="H191" s="36"/>
      <c r="I191" s="36"/>
      <c r="J191" s="37"/>
      <c r="K191" s="38"/>
      <c r="L191" s="39"/>
      <c r="M191" s="38"/>
      <c r="N191" s="35"/>
    </row>
    <row r="192" spans="1:31" x14ac:dyDescent="0.2">
      <c r="B192" s="40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0"/>
    </row>
    <row r="193" spans="2:14" x14ac:dyDescent="0.2">
      <c r="B193" s="40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0"/>
    </row>
    <row r="194" spans="2:14" x14ac:dyDescent="0.2">
      <c r="B194" s="40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0"/>
    </row>
    <row r="195" spans="2:14" x14ac:dyDescent="0.2">
      <c r="B195" s="40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0"/>
    </row>
    <row r="196" spans="2:14" x14ac:dyDescent="0.2">
      <c r="B196" s="40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0"/>
    </row>
    <row r="197" spans="2:14" x14ac:dyDescent="0.2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2:14" x14ac:dyDescent="0.2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2:14" x14ac:dyDescent="0.2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2:14" x14ac:dyDescent="0.2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2:14" x14ac:dyDescent="0.2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2:14" x14ac:dyDescent="0.2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2:14" x14ac:dyDescent="0.2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2:14" x14ac:dyDescent="0.2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2:14" x14ac:dyDescent="0.2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2:14" x14ac:dyDescent="0.2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2:14" x14ac:dyDescent="0.2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2:14" x14ac:dyDescent="0.2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2:14" x14ac:dyDescent="0.2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2:14" x14ac:dyDescent="0.2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2:14" x14ac:dyDescent="0.2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2:14" x14ac:dyDescent="0.2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2:14" x14ac:dyDescent="0.2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2:14" x14ac:dyDescent="0.2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2:14" x14ac:dyDescent="0.2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2:14" x14ac:dyDescent="0.2">
      <c r="B216" s="35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37"/>
    </row>
    <row r="217" spans="2:14" x14ac:dyDescent="0.2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x14ac:dyDescent="0.2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</sheetData>
  <pageMargins left="0.56000000000000005" right="0.53" top="0.74" bottom="0.86" header="0.5" footer="0.5"/>
  <pageSetup scale="99" orientation="landscape" r:id="rId1"/>
  <headerFooter alignWithMargins="0">
    <oddFooter>&amp;LRoger Hawkins&amp;C&amp;D&amp;R&amp;F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41"/>
  <sheetViews>
    <sheetView topLeftCell="A157" workbookViewId="0">
      <selection activeCell="C161" sqref="C161"/>
    </sheetView>
  </sheetViews>
  <sheetFormatPr defaultRowHeight="12.75" x14ac:dyDescent="0.2"/>
  <cols>
    <col min="1" max="1" width="9.28515625" customWidth="1"/>
    <col min="5" max="5" width="11" customWidth="1"/>
    <col min="10" max="10" width="2.42578125" customWidth="1"/>
    <col min="12" max="12" width="2.85546875" customWidth="1"/>
    <col min="13" max="13" width="11.42578125" customWidth="1"/>
    <col min="14" max="14" width="7.28515625" customWidth="1"/>
  </cols>
  <sheetData>
    <row r="1" spans="1:15" x14ac:dyDescent="0.2">
      <c r="A1" s="255">
        <v>36495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x14ac:dyDescent="0.25">
      <c r="G2" s="254" t="s">
        <v>55</v>
      </c>
    </row>
    <row r="3" spans="1:15" x14ac:dyDescent="0.2">
      <c r="C3">
        <v>29</v>
      </c>
      <c r="D3">
        <v>30</v>
      </c>
      <c r="E3">
        <v>1</v>
      </c>
      <c r="F3">
        <v>2</v>
      </c>
      <c r="G3">
        <v>3</v>
      </c>
      <c r="H3">
        <v>4</v>
      </c>
      <c r="I3">
        <v>5</v>
      </c>
    </row>
    <row r="4" spans="1:15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63</v>
      </c>
    </row>
    <row r="5" spans="1:15" x14ac:dyDescent="0.2">
      <c r="B5" s="31">
        <v>1</v>
      </c>
      <c r="C5" s="29">
        <v>531</v>
      </c>
      <c r="D5" s="29">
        <v>554</v>
      </c>
      <c r="E5" s="29">
        <v>567</v>
      </c>
      <c r="F5" s="29">
        <v>567</v>
      </c>
      <c r="G5" s="29">
        <v>570</v>
      </c>
      <c r="H5" s="29">
        <v>601</v>
      </c>
      <c r="I5" s="29">
        <v>589</v>
      </c>
      <c r="J5" s="30"/>
      <c r="K5" s="29">
        <f>AVERAGE(C5:G5)</f>
        <v>557.79999999999995</v>
      </c>
      <c r="L5" s="29"/>
      <c r="M5" s="29">
        <f>AVERAGE(H5:I5)</f>
        <v>595</v>
      </c>
      <c r="N5" s="32">
        <v>1</v>
      </c>
      <c r="O5" s="48">
        <f>K5-K28</f>
        <v>-57</v>
      </c>
    </row>
    <row r="6" spans="1:15" x14ac:dyDescent="0.2">
      <c r="B6" s="15">
        <v>2</v>
      </c>
      <c r="C6" s="12">
        <v>517</v>
      </c>
      <c r="D6" s="12">
        <v>542</v>
      </c>
      <c r="E6" s="12">
        <v>517</v>
      </c>
      <c r="F6" s="12">
        <v>539</v>
      </c>
      <c r="G6" s="12">
        <v>549</v>
      </c>
      <c r="H6" s="12">
        <v>584</v>
      </c>
      <c r="I6" s="12">
        <v>579</v>
      </c>
      <c r="J6" s="26"/>
      <c r="K6" s="12">
        <f t="shared" ref="K6:K28" si="0">AVERAGE(C6:G6)</f>
        <v>532.79999999999995</v>
      </c>
      <c r="L6" s="12"/>
      <c r="M6" s="12">
        <f t="shared" ref="M6:M28" si="1">AVERAGE(H6:I6)</f>
        <v>581.5</v>
      </c>
      <c r="N6" s="22">
        <v>2</v>
      </c>
      <c r="O6" s="43">
        <f>K6-K5</f>
        <v>-25</v>
      </c>
    </row>
    <row r="7" spans="1:15" x14ac:dyDescent="0.2">
      <c r="B7" s="15">
        <v>3</v>
      </c>
      <c r="C7" s="12">
        <v>509</v>
      </c>
      <c r="D7" s="12">
        <v>537</v>
      </c>
      <c r="E7" s="12">
        <v>506</v>
      </c>
      <c r="F7" s="12">
        <v>530</v>
      </c>
      <c r="G7" s="12">
        <v>533</v>
      </c>
      <c r="H7" s="12">
        <v>569</v>
      </c>
      <c r="I7" s="12">
        <v>568</v>
      </c>
      <c r="J7" s="26"/>
      <c r="K7" s="12">
        <f t="shared" si="0"/>
        <v>523</v>
      </c>
      <c r="L7" s="12"/>
      <c r="M7" s="12">
        <f t="shared" si="1"/>
        <v>568.5</v>
      </c>
      <c r="N7" s="22">
        <v>3</v>
      </c>
      <c r="O7" s="43">
        <f t="shared" ref="O7:O28" si="2">K7-K6</f>
        <v>-9.7999999999999545</v>
      </c>
    </row>
    <row r="8" spans="1:15" x14ac:dyDescent="0.2">
      <c r="B8" s="16">
        <v>4</v>
      </c>
      <c r="C8" s="13">
        <v>510</v>
      </c>
      <c r="D8" s="13">
        <v>532</v>
      </c>
      <c r="E8" s="13">
        <v>549</v>
      </c>
      <c r="F8" s="13">
        <v>517</v>
      </c>
      <c r="G8" s="13">
        <v>531</v>
      </c>
      <c r="H8" s="13">
        <v>557</v>
      </c>
      <c r="I8" s="13">
        <v>554</v>
      </c>
      <c r="J8" s="27"/>
      <c r="K8" s="13">
        <f t="shared" si="0"/>
        <v>527.79999999999995</v>
      </c>
      <c r="L8" s="13"/>
      <c r="M8" s="13">
        <f t="shared" si="1"/>
        <v>555.5</v>
      </c>
      <c r="N8" s="23">
        <v>4</v>
      </c>
      <c r="O8" s="49">
        <f t="shared" si="2"/>
        <v>4.7999999999999545</v>
      </c>
    </row>
    <row r="9" spans="1:15" x14ac:dyDescent="0.2">
      <c r="B9" s="31">
        <v>5</v>
      </c>
      <c r="C9" s="29">
        <v>527</v>
      </c>
      <c r="D9" s="29">
        <v>556</v>
      </c>
      <c r="E9" s="29">
        <v>561</v>
      </c>
      <c r="F9" s="29">
        <v>546</v>
      </c>
      <c r="G9" s="29">
        <v>553</v>
      </c>
      <c r="H9" s="29">
        <v>562</v>
      </c>
      <c r="I9" s="29">
        <v>573</v>
      </c>
      <c r="J9" s="30"/>
      <c r="K9" s="29">
        <f t="shared" si="0"/>
        <v>548.6</v>
      </c>
      <c r="L9" s="29"/>
      <c r="M9" s="29">
        <f t="shared" si="1"/>
        <v>567.5</v>
      </c>
      <c r="N9" s="32">
        <v>5</v>
      </c>
      <c r="O9" s="45">
        <f t="shared" si="2"/>
        <v>20.800000000000068</v>
      </c>
    </row>
    <row r="10" spans="1:15" x14ac:dyDescent="0.2">
      <c r="B10" s="15">
        <v>6</v>
      </c>
      <c r="C10" s="12">
        <v>574</v>
      </c>
      <c r="D10" s="12">
        <v>596</v>
      </c>
      <c r="E10" s="12">
        <v>625</v>
      </c>
      <c r="F10" s="12">
        <v>603</v>
      </c>
      <c r="G10" s="12">
        <v>587</v>
      </c>
      <c r="H10" s="12">
        <v>590</v>
      </c>
      <c r="I10" s="12">
        <v>578</v>
      </c>
      <c r="J10" s="26"/>
      <c r="K10" s="12">
        <f t="shared" si="0"/>
        <v>597</v>
      </c>
      <c r="L10" s="12"/>
      <c r="M10" s="12">
        <f t="shared" si="1"/>
        <v>584</v>
      </c>
      <c r="N10" s="22">
        <v>6</v>
      </c>
      <c r="O10" s="46">
        <f t="shared" si="2"/>
        <v>48.399999999999977</v>
      </c>
    </row>
    <row r="11" spans="1:15" x14ac:dyDescent="0.2">
      <c r="B11" s="15">
        <v>7</v>
      </c>
      <c r="C11" s="12">
        <v>684</v>
      </c>
      <c r="D11" s="12">
        <v>717</v>
      </c>
      <c r="E11" s="12">
        <v>718</v>
      </c>
      <c r="F11" s="12">
        <v>694</v>
      </c>
      <c r="G11" s="12">
        <v>680</v>
      </c>
      <c r="H11" s="12">
        <v>618</v>
      </c>
      <c r="I11" s="12">
        <v>613</v>
      </c>
      <c r="J11" s="26"/>
      <c r="K11" s="12">
        <f t="shared" si="0"/>
        <v>698.6</v>
      </c>
      <c r="L11" s="12"/>
      <c r="M11" s="12">
        <f t="shared" si="1"/>
        <v>615.5</v>
      </c>
      <c r="N11" s="22">
        <v>7</v>
      </c>
      <c r="O11" s="46">
        <f t="shared" si="2"/>
        <v>101.60000000000002</v>
      </c>
    </row>
    <row r="12" spans="1:15" x14ac:dyDescent="0.2">
      <c r="B12" s="16">
        <v>8</v>
      </c>
      <c r="C12" s="13">
        <v>721</v>
      </c>
      <c r="D12" s="13">
        <v>754</v>
      </c>
      <c r="E12" s="13">
        <v>763</v>
      </c>
      <c r="F12" s="13">
        <v>726</v>
      </c>
      <c r="G12" s="13">
        <v>720</v>
      </c>
      <c r="H12" s="13">
        <v>660</v>
      </c>
      <c r="I12" s="13">
        <v>602</v>
      </c>
      <c r="J12" s="27"/>
      <c r="K12" s="13">
        <f t="shared" si="0"/>
        <v>736.8</v>
      </c>
      <c r="L12" s="13"/>
      <c r="M12" s="13">
        <f t="shared" si="1"/>
        <v>631</v>
      </c>
      <c r="N12" s="23">
        <v>8</v>
      </c>
      <c r="O12" s="47">
        <f t="shared" si="2"/>
        <v>38.199999999999932</v>
      </c>
    </row>
    <row r="13" spans="1:15" x14ac:dyDescent="0.2">
      <c r="B13" s="15">
        <v>9</v>
      </c>
      <c r="C13" s="12">
        <v>728</v>
      </c>
      <c r="D13" s="29">
        <v>763</v>
      </c>
      <c r="E13" s="29">
        <v>764</v>
      </c>
      <c r="F13" s="29">
        <v>766</v>
      </c>
      <c r="G13" s="12">
        <v>723</v>
      </c>
      <c r="H13" s="12">
        <v>694</v>
      </c>
      <c r="I13" s="12">
        <v>650</v>
      </c>
      <c r="J13" s="26"/>
      <c r="K13" s="12">
        <f t="shared" si="0"/>
        <v>748.8</v>
      </c>
      <c r="L13" s="12"/>
      <c r="M13" s="12">
        <f t="shared" si="1"/>
        <v>672</v>
      </c>
      <c r="N13" s="22">
        <v>9</v>
      </c>
      <c r="O13" s="48">
        <f t="shared" si="2"/>
        <v>12</v>
      </c>
    </row>
    <row r="14" spans="1:15" x14ac:dyDescent="0.2">
      <c r="B14" s="15">
        <v>10</v>
      </c>
      <c r="C14" s="12">
        <v>751</v>
      </c>
      <c r="D14" s="12">
        <v>761</v>
      </c>
      <c r="E14" s="12">
        <v>775</v>
      </c>
      <c r="F14" s="12">
        <v>768</v>
      </c>
      <c r="G14" s="12">
        <v>742</v>
      </c>
      <c r="H14" s="12">
        <v>698</v>
      </c>
      <c r="I14" s="12">
        <v>656</v>
      </c>
      <c r="J14" s="26"/>
      <c r="K14" s="12">
        <f t="shared" si="0"/>
        <v>759.4</v>
      </c>
      <c r="L14" s="12"/>
      <c r="M14" s="12">
        <f t="shared" si="1"/>
        <v>677</v>
      </c>
      <c r="N14" s="22">
        <v>10</v>
      </c>
      <c r="O14" s="43">
        <f t="shared" si="2"/>
        <v>10.600000000000023</v>
      </c>
    </row>
    <row r="15" spans="1:15" x14ac:dyDescent="0.2">
      <c r="B15" s="15">
        <v>11</v>
      </c>
      <c r="C15" s="12">
        <v>762</v>
      </c>
      <c r="D15" s="12">
        <v>785</v>
      </c>
      <c r="E15" s="12">
        <v>770</v>
      </c>
      <c r="F15" s="12">
        <v>803</v>
      </c>
      <c r="G15" s="12">
        <v>751</v>
      </c>
      <c r="H15" s="12">
        <v>695</v>
      </c>
      <c r="I15" s="12">
        <v>653</v>
      </c>
      <c r="J15" s="26"/>
      <c r="K15" s="12">
        <f t="shared" si="0"/>
        <v>774.2</v>
      </c>
      <c r="L15" s="12"/>
      <c r="M15" s="12">
        <f t="shared" si="1"/>
        <v>674</v>
      </c>
      <c r="N15" s="22">
        <v>11</v>
      </c>
      <c r="O15" s="43">
        <f t="shared" si="2"/>
        <v>14.800000000000068</v>
      </c>
    </row>
    <row r="16" spans="1:15" x14ac:dyDescent="0.2">
      <c r="B16" s="16">
        <v>12</v>
      </c>
      <c r="C16" s="13">
        <v>761</v>
      </c>
      <c r="D16" s="13">
        <v>768</v>
      </c>
      <c r="E16" s="13">
        <v>778</v>
      </c>
      <c r="F16" s="13">
        <v>732</v>
      </c>
      <c r="G16" s="13">
        <v>741</v>
      </c>
      <c r="H16" s="13">
        <v>683</v>
      </c>
      <c r="I16" s="13">
        <v>660</v>
      </c>
      <c r="J16" s="27"/>
      <c r="K16" s="13">
        <f t="shared" si="0"/>
        <v>756</v>
      </c>
      <c r="L16" s="13"/>
      <c r="M16" s="13">
        <f t="shared" si="1"/>
        <v>671.5</v>
      </c>
      <c r="N16" s="23">
        <v>12</v>
      </c>
      <c r="O16" s="49">
        <f t="shared" si="2"/>
        <v>-18.200000000000045</v>
      </c>
    </row>
    <row r="17" spans="2:15" x14ac:dyDescent="0.2">
      <c r="B17" s="15">
        <v>13</v>
      </c>
      <c r="C17" s="12">
        <v>753</v>
      </c>
      <c r="D17" s="29">
        <v>765</v>
      </c>
      <c r="E17" s="29">
        <v>767</v>
      </c>
      <c r="F17" s="29">
        <v>739</v>
      </c>
      <c r="G17" s="12">
        <v>726</v>
      </c>
      <c r="H17" s="12">
        <v>678</v>
      </c>
      <c r="I17" s="12">
        <v>623</v>
      </c>
      <c r="J17" s="26"/>
      <c r="K17" s="12">
        <f t="shared" si="0"/>
        <v>750</v>
      </c>
      <c r="L17" s="12"/>
      <c r="M17" s="12">
        <f t="shared" si="1"/>
        <v>650.5</v>
      </c>
      <c r="N17" s="22">
        <v>13</v>
      </c>
      <c r="O17" s="48">
        <f t="shared" si="2"/>
        <v>-6</v>
      </c>
    </row>
    <row r="18" spans="2:15" x14ac:dyDescent="0.2">
      <c r="B18" s="15">
        <v>14</v>
      </c>
      <c r="C18" s="12">
        <v>751</v>
      </c>
      <c r="D18" s="12">
        <v>780</v>
      </c>
      <c r="E18" s="12">
        <v>773</v>
      </c>
      <c r="F18" s="12">
        <v>730</v>
      </c>
      <c r="G18" s="12">
        <v>728</v>
      </c>
      <c r="H18" s="12">
        <v>666</v>
      </c>
      <c r="I18" s="12">
        <v>640</v>
      </c>
      <c r="J18" s="26"/>
      <c r="K18" s="12">
        <f t="shared" si="0"/>
        <v>752.4</v>
      </c>
      <c r="L18" s="12"/>
      <c r="M18" s="12">
        <f t="shared" si="1"/>
        <v>653</v>
      </c>
      <c r="N18" s="22">
        <v>14</v>
      </c>
      <c r="O18" s="43">
        <f t="shared" si="2"/>
        <v>2.3999999999999773</v>
      </c>
    </row>
    <row r="19" spans="2:15" x14ac:dyDescent="0.2">
      <c r="B19" s="15">
        <v>15</v>
      </c>
      <c r="C19" s="12">
        <v>752</v>
      </c>
      <c r="D19" s="12">
        <v>763</v>
      </c>
      <c r="E19" s="12">
        <v>763</v>
      </c>
      <c r="F19" s="12">
        <v>735</v>
      </c>
      <c r="G19" s="12">
        <v>722</v>
      </c>
      <c r="H19" s="12">
        <v>657</v>
      </c>
      <c r="I19" s="12">
        <v>622</v>
      </c>
      <c r="J19" s="26"/>
      <c r="K19" s="12">
        <f t="shared" si="0"/>
        <v>747</v>
      </c>
      <c r="L19" s="12"/>
      <c r="M19" s="12">
        <f t="shared" si="1"/>
        <v>639.5</v>
      </c>
      <c r="N19" s="22">
        <v>15</v>
      </c>
      <c r="O19" s="43">
        <f t="shared" si="2"/>
        <v>-5.3999999999999773</v>
      </c>
    </row>
    <row r="20" spans="2:15" x14ac:dyDescent="0.2">
      <c r="B20" s="16">
        <v>16</v>
      </c>
      <c r="C20" s="13">
        <v>737</v>
      </c>
      <c r="D20" s="13">
        <v>766</v>
      </c>
      <c r="E20" s="13">
        <v>758</v>
      </c>
      <c r="F20" s="13">
        <v>726</v>
      </c>
      <c r="G20" s="13">
        <v>729</v>
      </c>
      <c r="H20" s="13">
        <v>664</v>
      </c>
      <c r="I20" s="13">
        <v>620</v>
      </c>
      <c r="J20" s="27"/>
      <c r="K20" s="13">
        <f t="shared" si="0"/>
        <v>743.2</v>
      </c>
      <c r="L20" s="13"/>
      <c r="M20" s="13">
        <f t="shared" si="1"/>
        <v>642</v>
      </c>
      <c r="N20" s="23">
        <v>16</v>
      </c>
      <c r="O20" s="49">
        <f t="shared" si="2"/>
        <v>-3.7999999999999545</v>
      </c>
    </row>
    <row r="21" spans="2:15" x14ac:dyDescent="0.2">
      <c r="B21" s="15">
        <v>17</v>
      </c>
      <c r="C21" s="12">
        <v>735</v>
      </c>
      <c r="D21" s="29">
        <v>753</v>
      </c>
      <c r="E21" s="29">
        <v>773</v>
      </c>
      <c r="F21" s="29">
        <v>723</v>
      </c>
      <c r="G21" s="12">
        <v>741</v>
      </c>
      <c r="H21" s="12">
        <v>650</v>
      </c>
      <c r="I21" s="12">
        <v>635</v>
      </c>
      <c r="J21" s="26"/>
      <c r="K21" s="12">
        <f t="shared" si="0"/>
        <v>745</v>
      </c>
      <c r="L21" s="12"/>
      <c r="M21" s="12">
        <f t="shared" si="1"/>
        <v>642.5</v>
      </c>
      <c r="N21" s="22">
        <v>17</v>
      </c>
      <c r="O21" s="48">
        <f t="shared" si="2"/>
        <v>1.7999999999999545</v>
      </c>
    </row>
    <row r="22" spans="2:15" x14ac:dyDescent="0.2">
      <c r="B22" s="15">
        <v>18</v>
      </c>
      <c r="C22" s="12">
        <v>821</v>
      </c>
      <c r="D22" s="12">
        <v>843</v>
      </c>
      <c r="E22" s="12">
        <v>846</v>
      </c>
      <c r="F22" s="12">
        <v>827</v>
      </c>
      <c r="G22" s="12">
        <v>823</v>
      </c>
      <c r="H22" s="12">
        <v>780</v>
      </c>
      <c r="I22" s="12">
        <v>767</v>
      </c>
      <c r="J22" s="26"/>
      <c r="K22" s="12">
        <f t="shared" si="0"/>
        <v>832</v>
      </c>
      <c r="L22" s="12"/>
      <c r="M22" s="12">
        <f t="shared" si="1"/>
        <v>773.5</v>
      </c>
      <c r="N22" s="22">
        <v>18</v>
      </c>
      <c r="O22" s="43">
        <f t="shared" si="2"/>
        <v>87</v>
      </c>
    </row>
    <row r="23" spans="2:15" x14ac:dyDescent="0.2">
      <c r="B23" s="15">
        <v>19</v>
      </c>
      <c r="C23" s="12">
        <v>842</v>
      </c>
      <c r="D23" s="12">
        <v>838</v>
      </c>
      <c r="E23" s="12">
        <v>851</v>
      </c>
      <c r="F23" s="12">
        <v>847</v>
      </c>
      <c r="G23" s="12">
        <v>820</v>
      </c>
      <c r="H23" s="12">
        <v>800</v>
      </c>
      <c r="I23" s="12">
        <v>818</v>
      </c>
      <c r="J23" s="26"/>
      <c r="K23" s="12">
        <f t="shared" si="0"/>
        <v>839.6</v>
      </c>
      <c r="L23" s="12"/>
      <c r="M23" s="12">
        <f t="shared" si="1"/>
        <v>809</v>
      </c>
      <c r="N23" s="22">
        <v>19</v>
      </c>
      <c r="O23" s="43">
        <f t="shared" si="2"/>
        <v>7.6000000000000227</v>
      </c>
    </row>
    <row r="24" spans="2:15" x14ac:dyDescent="0.2">
      <c r="B24" s="16">
        <v>20</v>
      </c>
      <c r="C24" s="13">
        <v>822</v>
      </c>
      <c r="D24" s="13">
        <v>830</v>
      </c>
      <c r="E24" s="13">
        <v>827</v>
      </c>
      <c r="F24" s="13">
        <v>833</v>
      </c>
      <c r="G24" s="13">
        <v>812</v>
      </c>
      <c r="H24" s="13">
        <v>797</v>
      </c>
      <c r="I24" s="13">
        <v>818</v>
      </c>
      <c r="J24" s="27"/>
      <c r="K24" s="13">
        <f t="shared" si="0"/>
        <v>824.8</v>
      </c>
      <c r="L24" s="13"/>
      <c r="M24" s="13">
        <f t="shared" si="1"/>
        <v>807.5</v>
      </c>
      <c r="N24" s="23">
        <v>20</v>
      </c>
      <c r="O24" s="49">
        <f t="shared" si="2"/>
        <v>-14.800000000000068</v>
      </c>
    </row>
    <row r="25" spans="2:15" x14ac:dyDescent="0.2">
      <c r="B25" s="15">
        <v>21</v>
      </c>
      <c r="C25" s="12">
        <v>812</v>
      </c>
      <c r="D25" s="12">
        <v>811</v>
      </c>
      <c r="E25" s="12">
        <v>803</v>
      </c>
      <c r="F25" s="12">
        <v>819</v>
      </c>
      <c r="G25" s="12">
        <v>794</v>
      </c>
      <c r="H25" s="12">
        <v>760</v>
      </c>
      <c r="I25" s="12">
        <v>814</v>
      </c>
      <c r="J25" s="26"/>
      <c r="K25" s="12">
        <f t="shared" si="0"/>
        <v>807.8</v>
      </c>
      <c r="L25" s="12"/>
      <c r="M25" s="12">
        <f t="shared" si="1"/>
        <v>787</v>
      </c>
      <c r="N25" s="22">
        <v>21</v>
      </c>
      <c r="O25" s="48">
        <f t="shared" si="2"/>
        <v>-17</v>
      </c>
    </row>
    <row r="26" spans="2:15" x14ac:dyDescent="0.2">
      <c r="B26" s="15">
        <v>22</v>
      </c>
      <c r="C26" s="12">
        <v>749</v>
      </c>
      <c r="D26" s="12">
        <v>768</v>
      </c>
      <c r="E26" s="12">
        <v>772</v>
      </c>
      <c r="F26" s="12">
        <v>757</v>
      </c>
      <c r="G26" s="12">
        <v>753</v>
      </c>
      <c r="H26" s="12">
        <v>740</v>
      </c>
      <c r="I26" s="12">
        <v>772</v>
      </c>
      <c r="J26" s="26"/>
      <c r="K26" s="12">
        <f t="shared" si="0"/>
        <v>759.8</v>
      </c>
      <c r="L26" s="12"/>
      <c r="M26" s="12">
        <f t="shared" si="1"/>
        <v>756</v>
      </c>
      <c r="N26" s="22">
        <v>22</v>
      </c>
      <c r="O26" s="43">
        <f t="shared" si="2"/>
        <v>-48</v>
      </c>
    </row>
    <row r="27" spans="2:15" x14ac:dyDescent="0.2">
      <c r="B27" s="15">
        <v>23</v>
      </c>
      <c r="C27" s="12">
        <v>667</v>
      </c>
      <c r="D27" s="12">
        <v>699</v>
      </c>
      <c r="E27" s="12">
        <v>675</v>
      </c>
      <c r="F27" s="12">
        <v>686</v>
      </c>
      <c r="G27" s="12">
        <v>709</v>
      </c>
      <c r="H27" s="12">
        <v>693</v>
      </c>
      <c r="I27" s="12">
        <v>689</v>
      </c>
      <c r="J27" s="26"/>
      <c r="K27" s="12">
        <f t="shared" si="0"/>
        <v>687.2</v>
      </c>
      <c r="L27" s="12"/>
      <c r="M27" s="12">
        <f t="shared" si="1"/>
        <v>691</v>
      </c>
      <c r="N27" s="22">
        <v>23</v>
      </c>
      <c r="O27" s="43">
        <f t="shared" si="2"/>
        <v>-72.599999999999909</v>
      </c>
    </row>
    <row r="28" spans="2:15" x14ac:dyDescent="0.2">
      <c r="B28" s="16">
        <v>24</v>
      </c>
      <c r="C28" s="12">
        <v>602</v>
      </c>
      <c r="D28" s="12">
        <v>615</v>
      </c>
      <c r="E28" s="12">
        <v>607</v>
      </c>
      <c r="F28" s="12">
        <v>609</v>
      </c>
      <c r="G28" s="12">
        <v>641</v>
      </c>
      <c r="H28" s="12">
        <v>639</v>
      </c>
      <c r="I28" s="12">
        <v>650</v>
      </c>
      <c r="J28" s="27"/>
      <c r="K28" s="12">
        <f t="shared" si="0"/>
        <v>614.79999999999995</v>
      </c>
      <c r="L28" s="13"/>
      <c r="M28" s="12">
        <f t="shared" si="1"/>
        <v>644.5</v>
      </c>
      <c r="N28" s="23">
        <v>24</v>
      </c>
      <c r="O28" s="49">
        <f t="shared" si="2"/>
        <v>-72.400000000000091</v>
      </c>
    </row>
    <row r="29" spans="2:15" ht="13.5" thickBot="1" x14ac:dyDescent="0.25">
      <c r="B29" s="17" t="s">
        <v>54</v>
      </c>
      <c r="C29" s="25">
        <f>SUM(C5:C28)</f>
        <v>16618</v>
      </c>
      <c r="D29" s="25">
        <f t="shared" ref="D29:M29" si="3">SUM(D5:D28)</f>
        <v>17096</v>
      </c>
      <c r="E29" s="25">
        <f t="shared" si="3"/>
        <v>17108</v>
      </c>
      <c r="F29" s="25">
        <f t="shared" si="3"/>
        <v>16822</v>
      </c>
      <c r="G29" s="25">
        <f t="shared" si="3"/>
        <v>16678</v>
      </c>
      <c r="H29" s="25">
        <f t="shared" si="3"/>
        <v>16035</v>
      </c>
      <c r="I29" s="25">
        <f t="shared" si="3"/>
        <v>15743</v>
      </c>
      <c r="J29" s="25"/>
      <c r="K29" s="25">
        <f t="shared" si="3"/>
        <v>16864.399999999998</v>
      </c>
      <c r="L29" s="25"/>
      <c r="M29" s="25">
        <f t="shared" si="3"/>
        <v>15889</v>
      </c>
      <c r="N29" s="24"/>
      <c r="O29" s="44"/>
    </row>
    <row r="30" spans="2:15" ht="13.5" thickTop="1" x14ac:dyDescent="0.2">
      <c r="B30" t="s">
        <v>65</v>
      </c>
      <c r="C30">
        <v>75</v>
      </c>
      <c r="D30">
        <v>74</v>
      </c>
      <c r="E30">
        <v>73</v>
      </c>
      <c r="F30">
        <v>72</v>
      </c>
      <c r="G30">
        <v>70</v>
      </c>
      <c r="H30">
        <v>70</v>
      </c>
      <c r="I30">
        <v>69</v>
      </c>
      <c r="K30" s="110">
        <f>AVERAGE(C30:H30)</f>
        <v>72.333333333333329</v>
      </c>
      <c r="M30">
        <f>AVERAGE(H30:I30)</f>
        <v>69.5</v>
      </c>
    </row>
    <row r="31" spans="2:15" x14ac:dyDescent="0.2">
      <c r="B31" s="109" t="s">
        <v>66</v>
      </c>
      <c r="C31">
        <v>45</v>
      </c>
      <c r="D31">
        <v>45</v>
      </c>
      <c r="E31">
        <v>41</v>
      </c>
      <c r="F31">
        <v>41</v>
      </c>
      <c r="G31">
        <v>39</v>
      </c>
      <c r="H31">
        <v>37</v>
      </c>
      <c r="I31">
        <v>35</v>
      </c>
      <c r="K31" s="110">
        <f>AVERAGE(C31:H31)</f>
        <v>41.333333333333336</v>
      </c>
      <c r="M31" s="110">
        <f>AVERAGE(H31:I31)</f>
        <v>36</v>
      </c>
    </row>
    <row r="33" spans="2:15" ht="15.75" x14ac:dyDescent="0.25">
      <c r="G33" s="254" t="s">
        <v>56</v>
      </c>
    </row>
    <row r="34" spans="2:15" x14ac:dyDescent="0.2">
      <c r="C34">
        <f>I3+1</f>
        <v>6</v>
      </c>
      <c r="D34">
        <f t="shared" ref="D34:I34" si="4">C34+1</f>
        <v>7</v>
      </c>
      <c r="E34">
        <f t="shared" si="4"/>
        <v>8</v>
      </c>
      <c r="F34">
        <f t="shared" si="4"/>
        <v>9</v>
      </c>
      <c r="G34">
        <f t="shared" si="4"/>
        <v>10</v>
      </c>
      <c r="H34">
        <f t="shared" si="4"/>
        <v>11</v>
      </c>
      <c r="I34">
        <f t="shared" si="4"/>
        <v>12</v>
      </c>
    </row>
    <row r="35" spans="2:15" x14ac:dyDescent="0.2">
      <c r="B35" s="14" t="s">
        <v>53</v>
      </c>
      <c r="C35" s="18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51</v>
      </c>
      <c r="I35" s="18" t="s">
        <v>52</v>
      </c>
      <c r="J35" s="19"/>
      <c r="K35" s="299" t="s">
        <v>143</v>
      </c>
      <c r="L35" s="20"/>
      <c r="M35" s="299" t="s">
        <v>144</v>
      </c>
      <c r="N35" s="21" t="s">
        <v>53</v>
      </c>
      <c r="O35" s="42" t="s">
        <v>63</v>
      </c>
    </row>
    <row r="36" spans="2:15" x14ac:dyDescent="0.2">
      <c r="B36" s="31">
        <v>1</v>
      </c>
      <c r="C36" s="29">
        <v>585</v>
      </c>
      <c r="D36" s="29">
        <v>632</v>
      </c>
      <c r="E36" s="29">
        <v>612</v>
      </c>
      <c r="F36" s="29">
        <v>629</v>
      </c>
      <c r="G36" s="29">
        <v>629</v>
      </c>
      <c r="H36" s="29">
        <v>633</v>
      </c>
      <c r="I36" s="29">
        <v>604</v>
      </c>
      <c r="J36" s="30"/>
      <c r="K36" s="29">
        <f>AVERAGE(C36:G36)</f>
        <v>617.4</v>
      </c>
      <c r="L36" s="29"/>
      <c r="M36" s="29">
        <f>AVERAGE(H36:I36)</f>
        <v>618.5</v>
      </c>
      <c r="N36" s="32">
        <v>1</v>
      </c>
      <c r="O36" s="48">
        <f>K36-K59</f>
        <v>-63.399999999999977</v>
      </c>
    </row>
    <row r="37" spans="2:15" x14ac:dyDescent="0.2">
      <c r="B37" s="15">
        <v>2</v>
      </c>
      <c r="C37" s="12">
        <v>554</v>
      </c>
      <c r="D37" s="12">
        <v>611</v>
      </c>
      <c r="E37" s="12">
        <v>612</v>
      </c>
      <c r="F37" s="12">
        <v>578</v>
      </c>
      <c r="G37" s="12">
        <v>612</v>
      </c>
      <c r="H37" s="12">
        <v>620</v>
      </c>
      <c r="I37" s="12">
        <v>591</v>
      </c>
      <c r="J37" s="26"/>
      <c r="K37" s="12">
        <f t="shared" ref="K37:K59" si="5">AVERAGE(C37:G37)</f>
        <v>593.4</v>
      </c>
      <c r="L37" s="12"/>
      <c r="M37" s="12">
        <f t="shared" ref="M37:M59" si="6">AVERAGE(H37:I37)</f>
        <v>605.5</v>
      </c>
      <c r="N37" s="22">
        <v>2</v>
      </c>
      <c r="O37" s="43">
        <f>K37-K36</f>
        <v>-24</v>
      </c>
    </row>
    <row r="38" spans="2:15" x14ac:dyDescent="0.2">
      <c r="B38" s="15">
        <v>3</v>
      </c>
      <c r="C38" s="12">
        <v>560</v>
      </c>
      <c r="D38" s="12">
        <v>593</v>
      </c>
      <c r="E38" s="12">
        <v>592</v>
      </c>
      <c r="F38" s="12">
        <v>580</v>
      </c>
      <c r="G38" s="12">
        <v>597</v>
      </c>
      <c r="H38" s="12">
        <v>603</v>
      </c>
      <c r="I38" s="12">
        <v>577</v>
      </c>
      <c r="J38" s="26"/>
      <c r="K38" s="12">
        <f t="shared" si="5"/>
        <v>584.4</v>
      </c>
      <c r="L38" s="12"/>
      <c r="M38" s="12">
        <f t="shared" si="6"/>
        <v>590</v>
      </c>
      <c r="N38" s="22">
        <v>3</v>
      </c>
      <c r="O38" s="43">
        <f t="shared" ref="O38:O59" si="7">K38-K37</f>
        <v>-9</v>
      </c>
    </row>
    <row r="39" spans="2:15" x14ac:dyDescent="0.2">
      <c r="B39" s="16">
        <v>4</v>
      </c>
      <c r="C39" s="13">
        <v>557</v>
      </c>
      <c r="D39" s="13">
        <v>575</v>
      </c>
      <c r="E39" s="13">
        <v>600</v>
      </c>
      <c r="F39" s="13">
        <v>584</v>
      </c>
      <c r="G39" s="13">
        <v>597</v>
      </c>
      <c r="H39" s="13">
        <v>596</v>
      </c>
      <c r="I39" s="13">
        <v>569</v>
      </c>
      <c r="J39" s="27"/>
      <c r="K39" s="13">
        <f t="shared" si="5"/>
        <v>582.6</v>
      </c>
      <c r="L39" s="13"/>
      <c r="M39" s="13">
        <f t="shared" si="6"/>
        <v>582.5</v>
      </c>
      <c r="N39" s="23">
        <v>4</v>
      </c>
      <c r="O39" s="49">
        <f t="shared" si="7"/>
        <v>-1.7999999999999545</v>
      </c>
    </row>
    <row r="40" spans="2:15" x14ac:dyDescent="0.2">
      <c r="B40" s="31">
        <v>5</v>
      </c>
      <c r="C40" s="29">
        <v>585</v>
      </c>
      <c r="D40" s="29">
        <v>597</v>
      </c>
      <c r="E40" s="29">
        <v>608</v>
      </c>
      <c r="F40" s="29">
        <v>597</v>
      </c>
      <c r="G40" s="29">
        <v>617</v>
      </c>
      <c r="H40" s="29">
        <v>592</v>
      </c>
      <c r="I40" s="29">
        <v>599</v>
      </c>
      <c r="J40" s="30"/>
      <c r="K40" s="29">
        <f t="shared" si="5"/>
        <v>600.79999999999995</v>
      </c>
      <c r="L40" s="29"/>
      <c r="M40" s="29">
        <f t="shared" si="6"/>
        <v>595.5</v>
      </c>
      <c r="N40" s="32">
        <v>5</v>
      </c>
      <c r="O40" s="45">
        <f t="shared" si="7"/>
        <v>18.199999999999932</v>
      </c>
    </row>
    <row r="41" spans="2:15" x14ac:dyDescent="0.2">
      <c r="B41" s="15">
        <v>6</v>
      </c>
      <c r="C41" s="12">
        <v>627</v>
      </c>
      <c r="D41" s="12">
        <v>648</v>
      </c>
      <c r="E41" s="12">
        <v>661</v>
      </c>
      <c r="F41" s="12">
        <v>651</v>
      </c>
      <c r="G41" s="12">
        <v>637</v>
      </c>
      <c r="H41" s="12">
        <v>625</v>
      </c>
      <c r="I41" s="12">
        <v>593</v>
      </c>
      <c r="J41" s="26"/>
      <c r="K41" s="12">
        <f t="shared" si="5"/>
        <v>644.79999999999995</v>
      </c>
      <c r="L41" s="12"/>
      <c r="M41" s="12">
        <f t="shared" si="6"/>
        <v>609</v>
      </c>
      <c r="N41" s="22">
        <v>6</v>
      </c>
      <c r="O41" s="46">
        <f t="shared" si="7"/>
        <v>44</v>
      </c>
    </row>
    <row r="42" spans="2:15" x14ac:dyDescent="0.2">
      <c r="B42" s="15">
        <v>7</v>
      </c>
      <c r="C42" s="12">
        <v>684</v>
      </c>
      <c r="D42" s="12">
        <v>747</v>
      </c>
      <c r="E42" s="12">
        <v>789</v>
      </c>
      <c r="F42" s="12">
        <v>734</v>
      </c>
      <c r="G42" s="12">
        <v>738</v>
      </c>
      <c r="H42" s="12">
        <v>632</v>
      </c>
      <c r="I42" s="12">
        <v>604</v>
      </c>
      <c r="J42" s="26"/>
      <c r="K42" s="12">
        <f t="shared" si="5"/>
        <v>738.4</v>
      </c>
      <c r="L42" s="12"/>
      <c r="M42" s="12">
        <f t="shared" si="6"/>
        <v>618</v>
      </c>
      <c r="N42" s="22">
        <v>7</v>
      </c>
      <c r="O42" s="46">
        <f t="shared" si="7"/>
        <v>93.600000000000023</v>
      </c>
    </row>
    <row r="43" spans="2:15" x14ac:dyDescent="0.2">
      <c r="B43" s="16">
        <v>8</v>
      </c>
      <c r="C43" s="13">
        <v>793</v>
      </c>
      <c r="D43" s="13">
        <v>827</v>
      </c>
      <c r="E43" s="13">
        <v>797</v>
      </c>
      <c r="F43" s="13">
        <v>789</v>
      </c>
      <c r="G43" s="13">
        <v>812</v>
      </c>
      <c r="H43" s="13">
        <v>677</v>
      </c>
      <c r="I43" s="13">
        <v>635</v>
      </c>
      <c r="J43" s="27"/>
      <c r="K43" s="13">
        <f t="shared" si="5"/>
        <v>803.6</v>
      </c>
      <c r="L43" s="13"/>
      <c r="M43" s="13">
        <f t="shared" si="6"/>
        <v>656</v>
      </c>
      <c r="N43" s="23">
        <v>8</v>
      </c>
      <c r="O43" s="47">
        <f t="shared" si="7"/>
        <v>65.200000000000045</v>
      </c>
    </row>
    <row r="44" spans="2:15" x14ac:dyDescent="0.2">
      <c r="B44" s="15">
        <v>9</v>
      </c>
      <c r="C44" s="12">
        <v>819</v>
      </c>
      <c r="D44" s="12">
        <v>808</v>
      </c>
      <c r="E44" s="12">
        <v>815</v>
      </c>
      <c r="F44" s="12">
        <v>788</v>
      </c>
      <c r="G44" s="12">
        <v>816</v>
      </c>
      <c r="H44" s="12">
        <v>716</v>
      </c>
      <c r="I44" s="12">
        <v>641</v>
      </c>
      <c r="J44" s="26"/>
      <c r="K44" s="12">
        <f t="shared" si="5"/>
        <v>809.2</v>
      </c>
      <c r="L44" s="12"/>
      <c r="M44" s="12">
        <f t="shared" si="6"/>
        <v>678.5</v>
      </c>
      <c r="N44" s="22">
        <v>9</v>
      </c>
      <c r="O44" s="48">
        <f t="shared" si="7"/>
        <v>5.6000000000000227</v>
      </c>
    </row>
    <row r="45" spans="2:15" x14ac:dyDescent="0.2">
      <c r="B45" s="15">
        <v>10</v>
      </c>
      <c r="C45" s="12">
        <v>803</v>
      </c>
      <c r="D45" s="12">
        <v>801</v>
      </c>
      <c r="E45" s="12">
        <v>819</v>
      </c>
      <c r="F45" s="12">
        <v>791</v>
      </c>
      <c r="G45" s="12">
        <v>829</v>
      </c>
      <c r="H45" s="12">
        <v>745</v>
      </c>
      <c r="I45" s="12">
        <v>663</v>
      </c>
      <c r="J45" s="26"/>
      <c r="K45" s="12">
        <f t="shared" si="5"/>
        <v>808.6</v>
      </c>
      <c r="L45" s="12"/>
      <c r="M45" s="12">
        <f t="shared" si="6"/>
        <v>704</v>
      </c>
      <c r="N45" s="22">
        <v>10</v>
      </c>
      <c r="O45" s="43">
        <f t="shared" si="7"/>
        <v>-0.60000000000002274</v>
      </c>
    </row>
    <row r="46" spans="2:15" x14ac:dyDescent="0.2">
      <c r="B46" s="15">
        <v>11</v>
      </c>
      <c r="C46" s="12">
        <v>825</v>
      </c>
      <c r="D46" s="12">
        <v>817</v>
      </c>
      <c r="E46" s="12">
        <v>800</v>
      </c>
      <c r="F46" s="12">
        <v>791</v>
      </c>
      <c r="G46" s="12">
        <v>820</v>
      </c>
      <c r="H46" s="12">
        <v>752</v>
      </c>
      <c r="I46" s="12">
        <v>641</v>
      </c>
      <c r="J46" s="26"/>
      <c r="K46" s="12">
        <f t="shared" si="5"/>
        <v>810.6</v>
      </c>
      <c r="L46" s="12"/>
      <c r="M46" s="12">
        <f t="shared" si="6"/>
        <v>696.5</v>
      </c>
      <c r="N46" s="22">
        <v>11</v>
      </c>
      <c r="O46" s="43">
        <f t="shared" si="7"/>
        <v>2</v>
      </c>
    </row>
    <row r="47" spans="2:15" x14ac:dyDescent="0.2">
      <c r="B47" s="16">
        <v>12</v>
      </c>
      <c r="C47" s="13">
        <v>784</v>
      </c>
      <c r="D47" s="13">
        <v>814</v>
      </c>
      <c r="E47" s="13">
        <v>799</v>
      </c>
      <c r="F47" s="13">
        <v>741</v>
      </c>
      <c r="G47" s="13">
        <v>846</v>
      </c>
      <c r="H47" s="13">
        <v>713</v>
      </c>
      <c r="I47" s="13">
        <v>649</v>
      </c>
      <c r="J47" s="27"/>
      <c r="K47" s="13">
        <f t="shared" si="5"/>
        <v>796.8</v>
      </c>
      <c r="L47" s="13"/>
      <c r="M47" s="13">
        <f t="shared" si="6"/>
        <v>681</v>
      </c>
      <c r="N47" s="23">
        <v>12</v>
      </c>
      <c r="O47" s="49">
        <f t="shared" si="7"/>
        <v>-13.800000000000068</v>
      </c>
    </row>
    <row r="48" spans="2:15" x14ac:dyDescent="0.2">
      <c r="B48" s="15">
        <v>13</v>
      </c>
      <c r="C48" s="12">
        <v>790</v>
      </c>
      <c r="D48" s="12">
        <v>799</v>
      </c>
      <c r="E48" s="12">
        <v>789</v>
      </c>
      <c r="F48" s="12">
        <v>772</v>
      </c>
      <c r="G48" s="12">
        <v>809</v>
      </c>
      <c r="H48" s="12">
        <v>740</v>
      </c>
      <c r="I48" s="12">
        <v>640</v>
      </c>
      <c r="J48" s="26"/>
      <c r="K48" s="12">
        <f t="shared" si="5"/>
        <v>791.8</v>
      </c>
      <c r="L48" s="12"/>
      <c r="M48" s="12">
        <f t="shared" si="6"/>
        <v>690</v>
      </c>
      <c r="N48" s="22">
        <v>13</v>
      </c>
      <c r="O48" s="48">
        <f t="shared" si="7"/>
        <v>-5</v>
      </c>
    </row>
    <row r="49" spans="1:15" x14ac:dyDescent="0.2">
      <c r="B49" s="15">
        <v>14</v>
      </c>
      <c r="C49" s="12">
        <v>771</v>
      </c>
      <c r="D49" s="12">
        <v>773</v>
      </c>
      <c r="E49" s="12">
        <v>797</v>
      </c>
      <c r="F49" s="12">
        <v>761</v>
      </c>
      <c r="G49" s="12">
        <v>810</v>
      </c>
      <c r="H49" s="12">
        <v>741</v>
      </c>
      <c r="I49" s="12">
        <v>643</v>
      </c>
      <c r="J49" s="26"/>
      <c r="K49" s="12">
        <f t="shared" si="5"/>
        <v>782.4</v>
      </c>
      <c r="L49" s="12"/>
      <c r="M49" s="12">
        <f t="shared" si="6"/>
        <v>692</v>
      </c>
      <c r="N49" s="22">
        <v>14</v>
      </c>
      <c r="O49" s="43">
        <f t="shared" si="7"/>
        <v>-9.3999999999999773</v>
      </c>
    </row>
    <row r="50" spans="1:15" x14ac:dyDescent="0.2">
      <c r="B50" s="15">
        <v>15</v>
      </c>
      <c r="C50" s="12">
        <v>783</v>
      </c>
      <c r="D50" s="12">
        <v>794</v>
      </c>
      <c r="E50" s="12">
        <v>792</v>
      </c>
      <c r="F50" s="12">
        <v>752</v>
      </c>
      <c r="G50" s="12">
        <v>785</v>
      </c>
      <c r="H50" s="12">
        <v>731</v>
      </c>
      <c r="I50" s="12">
        <v>640</v>
      </c>
      <c r="J50" s="26"/>
      <c r="K50" s="12">
        <f t="shared" si="5"/>
        <v>781.2</v>
      </c>
      <c r="L50" s="12"/>
      <c r="M50" s="12">
        <f t="shared" si="6"/>
        <v>685.5</v>
      </c>
      <c r="N50" s="22">
        <v>15</v>
      </c>
      <c r="O50" s="43">
        <f t="shared" si="7"/>
        <v>-1.1999999999999318</v>
      </c>
    </row>
    <row r="51" spans="1:15" x14ac:dyDescent="0.2">
      <c r="B51" s="16">
        <v>16</v>
      </c>
      <c r="C51" s="13">
        <v>772</v>
      </c>
      <c r="D51" s="13">
        <v>775</v>
      </c>
      <c r="E51" s="13">
        <v>789</v>
      </c>
      <c r="F51" s="13">
        <v>744</v>
      </c>
      <c r="G51" s="13">
        <v>753</v>
      </c>
      <c r="H51" s="13">
        <v>725</v>
      </c>
      <c r="I51" s="13">
        <v>632</v>
      </c>
      <c r="J51" s="27"/>
      <c r="K51" s="13">
        <f t="shared" si="5"/>
        <v>766.6</v>
      </c>
      <c r="L51" s="13"/>
      <c r="M51" s="13">
        <f t="shared" si="6"/>
        <v>678.5</v>
      </c>
      <c r="N51" s="23">
        <v>16</v>
      </c>
      <c r="O51" s="49">
        <f t="shared" si="7"/>
        <v>-14.600000000000023</v>
      </c>
    </row>
    <row r="52" spans="1:15" x14ac:dyDescent="0.2">
      <c r="B52" s="15">
        <v>17</v>
      </c>
      <c r="C52" s="12">
        <v>773</v>
      </c>
      <c r="D52" s="12">
        <v>781</v>
      </c>
      <c r="E52" s="12">
        <v>804</v>
      </c>
      <c r="F52" s="12">
        <v>749</v>
      </c>
      <c r="G52" s="12">
        <v>758</v>
      </c>
      <c r="H52" s="12">
        <v>737</v>
      </c>
      <c r="I52" s="12">
        <v>650</v>
      </c>
      <c r="J52" s="26"/>
      <c r="K52" s="12">
        <f t="shared" si="5"/>
        <v>773</v>
      </c>
      <c r="L52" s="12"/>
      <c r="M52" s="12">
        <f t="shared" si="6"/>
        <v>693.5</v>
      </c>
      <c r="N52" s="22">
        <v>17</v>
      </c>
      <c r="O52" s="48">
        <f t="shared" si="7"/>
        <v>6.3999999999999773</v>
      </c>
    </row>
    <row r="53" spans="1:15" x14ac:dyDescent="0.2">
      <c r="B53" s="15">
        <v>18</v>
      </c>
      <c r="C53" s="12">
        <v>848</v>
      </c>
      <c r="D53" s="12">
        <v>869</v>
      </c>
      <c r="E53" s="12">
        <v>910</v>
      </c>
      <c r="F53" s="12">
        <v>850</v>
      </c>
      <c r="G53" s="12">
        <v>852</v>
      </c>
      <c r="H53" s="12">
        <v>832</v>
      </c>
      <c r="I53" s="12">
        <v>801</v>
      </c>
      <c r="J53" s="26"/>
      <c r="K53" s="12">
        <f t="shared" si="5"/>
        <v>865.8</v>
      </c>
      <c r="L53" s="12"/>
      <c r="M53" s="12">
        <f t="shared" si="6"/>
        <v>816.5</v>
      </c>
      <c r="N53" s="22">
        <v>18</v>
      </c>
      <c r="O53" s="43">
        <f t="shared" si="7"/>
        <v>92.799999999999955</v>
      </c>
    </row>
    <row r="54" spans="1:15" x14ac:dyDescent="0.2">
      <c r="B54" s="15">
        <v>19</v>
      </c>
      <c r="C54" s="12">
        <v>909</v>
      </c>
      <c r="D54" s="12">
        <v>903</v>
      </c>
      <c r="E54" s="12">
        <v>945</v>
      </c>
      <c r="F54" s="12">
        <v>892</v>
      </c>
      <c r="G54" s="12">
        <v>882</v>
      </c>
      <c r="H54" s="12">
        <v>850</v>
      </c>
      <c r="I54" s="12">
        <v>814</v>
      </c>
      <c r="J54" s="26"/>
      <c r="K54" s="12">
        <f t="shared" si="5"/>
        <v>906.2</v>
      </c>
      <c r="L54" s="12"/>
      <c r="M54" s="12">
        <f t="shared" si="6"/>
        <v>832</v>
      </c>
      <c r="N54" s="22">
        <v>19</v>
      </c>
      <c r="O54" s="43">
        <f t="shared" si="7"/>
        <v>40.400000000000091</v>
      </c>
    </row>
    <row r="55" spans="1:15" x14ac:dyDescent="0.2">
      <c r="B55" s="16">
        <v>20</v>
      </c>
      <c r="C55" s="13">
        <v>913</v>
      </c>
      <c r="D55" s="13">
        <v>889</v>
      </c>
      <c r="E55" s="13">
        <v>918</v>
      </c>
      <c r="F55" s="13">
        <v>884</v>
      </c>
      <c r="G55" s="13">
        <v>854</v>
      </c>
      <c r="H55" s="13">
        <v>846</v>
      </c>
      <c r="I55" s="13">
        <v>839</v>
      </c>
      <c r="J55" s="27"/>
      <c r="K55" s="13">
        <f t="shared" si="5"/>
        <v>891.6</v>
      </c>
      <c r="L55" s="13"/>
      <c r="M55" s="13">
        <f t="shared" si="6"/>
        <v>842.5</v>
      </c>
      <c r="N55" s="23">
        <v>20</v>
      </c>
      <c r="O55" s="49">
        <f t="shared" si="7"/>
        <v>-14.600000000000023</v>
      </c>
    </row>
    <row r="56" spans="1:15" x14ac:dyDescent="0.2">
      <c r="B56" s="15">
        <v>21</v>
      </c>
      <c r="C56" s="12">
        <v>910</v>
      </c>
      <c r="D56" s="12">
        <v>892</v>
      </c>
      <c r="E56" s="12">
        <v>901</v>
      </c>
      <c r="F56" s="12">
        <v>873</v>
      </c>
      <c r="G56" s="12">
        <v>833</v>
      </c>
      <c r="H56" s="12">
        <v>830</v>
      </c>
      <c r="I56" s="12">
        <v>819</v>
      </c>
      <c r="J56" s="26"/>
      <c r="K56" s="12">
        <f t="shared" si="5"/>
        <v>881.8</v>
      </c>
      <c r="L56" s="12"/>
      <c r="M56" s="12">
        <f t="shared" si="6"/>
        <v>824.5</v>
      </c>
      <c r="N56" s="22">
        <v>21</v>
      </c>
      <c r="O56" s="48">
        <f t="shared" si="7"/>
        <v>-9.8000000000000682</v>
      </c>
    </row>
    <row r="57" spans="1:15" x14ac:dyDescent="0.2">
      <c r="B57" s="15">
        <v>22</v>
      </c>
      <c r="C57" s="12">
        <v>872</v>
      </c>
      <c r="D57" s="12">
        <v>820</v>
      </c>
      <c r="E57" s="12">
        <v>864</v>
      </c>
      <c r="F57" s="12">
        <v>828</v>
      </c>
      <c r="G57" s="12">
        <v>771</v>
      </c>
      <c r="H57" s="12">
        <v>788</v>
      </c>
      <c r="I57" s="12">
        <v>794</v>
      </c>
      <c r="J57" s="26"/>
      <c r="K57" s="12">
        <f t="shared" si="5"/>
        <v>831</v>
      </c>
      <c r="L57" s="12"/>
      <c r="M57" s="12">
        <f t="shared" si="6"/>
        <v>791</v>
      </c>
      <c r="N57" s="22">
        <v>22</v>
      </c>
      <c r="O57" s="43">
        <f t="shared" si="7"/>
        <v>-50.799999999999955</v>
      </c>
    </row>
    <row r="58" spans="1:15" x14ac:dyDescent="0.2">
      <c r="B58" s="15">
        <v>23</v>
      </c>
      <c r="C58" s="12">
        <v>747</v>
      </c>
      <c r="D58" s="12">
        <v>753</v>
      </c>
      <c r="E58" s="12">
        <v>764</v>
      </c>
      <c r="F58" s="12">
        <v>739</v>
      </c>
      <c r="G58" s="12">
        <v>727</v>
      </c>
      <c r="H58" s="12">
        <v>733</v>
      </c>
      <c r="I58" s="12">
        <v>737</v>
      </c>
      <c r="J58" s="26"/>
      <c r="K58" s="12">
        <f t="shared" si="5"/>
        <v>746</v>
      </c>
      <c r="L58" s="12"/>
      <c r="M58" s="12">
        <f t="shared" si="6"/>
        <v>735</v>
      </c>
      <c r="N58" s="22">
        <v>23</v>
      </c>
      <c r="O58" s="43">
        <f t="shared" si="7"/>
        <v>-85</v>
      </c>
    </row>
    <row r="59" spans="1:15" x14ac:dyDescent="0.2">
      <c r="B59" s="16">
        <v>24</v>
      </c>
      <c r="C59" s="12">
        <v>675</v>
      </c>
      <c r="D59" s="12">
        <v>690</v>
      </c>
      <c r="E59" s="12">
        <v>680</v>
      </c>
      <c r="F59" s="12">
        <v>667</v>
      </c>
      <c r="G59" s="12">
        <v>692</v>
      </c>
      <c r="H59" s="12">
        <v>688</v>
      </c>
      <c r="I59" s="12">
        <v>639</v>
      </c>
      <c r="J59" s="27"/>
      <c r="K59" s="12">
        <f t="shared" si="5"/>
        <v>680.8</v>
      </c>
      <c r="L59" s="13"/>
      <c r="M59" s="12">
        <f t="shared" si="6"/>
        <v>663.5</v>
      </c>
      <c r="N59" s="23">
        <v>24</v>
      </c>
      <c r="O59" s="49">
        <f t="shared" si="7"/>
        <v>-65.200000000000045</v>
      </c>
    </row>
    <row r="60" spans="1:15" ht="13.5" thickBot="1" x14ac:dyDescent="0.25">
      <c r="B60" s="17" t="s">
        <v>54</v>
      </c>
      <c r="C60" s="25">
        <f t="shared" ref="C60:I60" si="8">SUM(C36:C59)</f>
        <v>17939</v>
      </c>
      <c r="D60" s="25">
        <f t="shared" si="8"/>
        <v>18208</v>
      </c>
      <c r="E60" s="25">
        <f t="shared" si="8"/>
        <v>18457</v>
      </c>
      <c r="F60" s="25">
        <f t="shared" si="8"/>
        <v>17764</v>
      </c>
      <c r="G60" s="25">
        <f t="shared" si="8"/>
        <v>18076</v>
      </c>
      <c r="H60" s="25">
        <f t="shared" si="8"/>
        <v>17145</v>
      </c>
      <c r="I60" s="25">
        <f t="shared" si="8"/>
        <v>16014</v>
      </c>
      <c r="J60" s="25"/>
      <c r="K60" s="25">
        <f>SUM(K36:K59)</f>
        <v>18088.8</v>
      </c>
      <c r="L60" s="25"/>
      <c r="M60" s="25">
        <f>SUM(M36:M59)</f>
        <v>16579.5</v>
      </c>
      <c r="N60" s="24"/>
      <c r="O60" s="44"/>
    </row>
    <row r="61" spans="1:15" ht="13.5" thickTop="1" x14ac:dyDescent="0.2">
      <c r="B61" t="s">
        <v>65</v>
      </c>
      <c r="C61">
        <v>55</v>
      </c>
      <c r="D61">
        <v>50</v>
      </c>
      <c r="E61">
        <v>51</v>
      </c>
      <c r="F61">
        <v>55</v>
      </c>
      <c r="G61">
        <v>60</v>
      </c>
      <c r="H61">
        <v>55</v>
      </c>
      <c r="I61">
        <v>58</v>
      </c>
      <c r="K61" s="110">
        <f>AVERAGE(C61:H61)</f>
        <v>54.333333333333336</v>
      </c>
      <c r="M61">
        <f>AVERAGE(H61:I61)</f>
        <v>56.5</v>
      </c>
    </row>
    <row r="62" spans="1:15" x14ac:dyDescent="0.2">
      <c r="B62" s="109" t="s">
        <v>66</v>
      </c>
      <c r="C62">
        <v>29</v>
      </c>
      <c r="D62">
        <v>25</v>
      </c>
      <c r="E62">
        <v>23</v>
      </c>
      <c r="F62">
        <v>26</v>
      </c>
      <c r="G62">
        <v>28</v>
      </c>
      <c r="H62">
        <v>26</v>
      </c>
      <c r="I62">
        <v>27</v>
      </c>
      <c r="K62" s="110">
        <f>AVERAGE(C62:H62)</f>
        <v>26.166666666666668</v>
      </c>
      <c r="M62" s="110">
        <f>AVERAGE(H62:I62)</f>
        <v>26.5</v>
      </c>
    </row>
    <row r="63" spans="1:15" x14ac:dyDescent="0.2">
      <c r="A63" s="10"/>
      <c r="B63" s="10"/>
      <c r="C63" s="10"/>
      <c r="D63" s="10"/>
      <c r="E63" s="10"/>
      <c r="F63" s="10"/>
      <c r="H63" s="10"/>
      <c r="I63" s="10"/>
      <c r="J63" s="10"/>
      <c r="K63" s="10"/>
      <c r="L63" s="10"/>
      <c r="M63" s="10"/>
      <c r="N63" s="10"/>
    </row>
    <row r="64" spans="1:15" ht="15.75" x14ac:dyDescent="0.25">
      <c r="G64" s="11" t="s">
        <v>58</v>
      </c>
    </row>
    <row r="65" spans="2:15" x14ac:dyDescent="0.2">
      <c r="C65">
        <f>I34+1</f>
        <v>13</v>
      </c>
      <c r="D65">
        <f t="shared" ref="D65:I65" si="9">C65+1</f>
        <v>14</v>
      </c>
      <c r="E65">
        <f t="shared" si="9"/>
        <v>15</v>
      </c>
      <c r="F65">
        <f t="shared" si="9"/>
        <v>16</v>
      </c>
      <c r="G65">
        <f t="shared" si="9"/>
        <v>17</v>
      </c>
      <c r="H65">
        <f t="shared" si="9"/>
        <v>18</v>
      </c>
      <c r="I65">
        <f t="shared" si="9"/>
        <v>19</v>
      </c>
    </row>
    <row r="66" spans="2:15" x14ac:dyDescent="0.2">
      <c r="B66" s="14" t="s">
        <v>53</v>
      </c>
      <c r="C66" s="18" t="s">
        <v>46</v>
      </c>
      <c r="D66" s="18" t="s">
        <v>47</v>
      </c>
      <c r="E66" s="18" t="s">
        <v>48</v>
      </c>
      <c r="F66" s="18" t="s">
        <v>49</v>
      </c>
      <c r="G66" s="18" t="s">
        <v>50</v>
      </c>
      <c r="H66" s="18" t="s">
        <v>51</v>
      </c>
      <c r="I66" s="18" t="s">
        <v>52</v>
      </c>
      <c r="J66" s="19"/>
      <c r="K66" s="299" t="s">
        <v>143</v>
      </c>
      <c r="L66" s="20"/>
      <c r="M66" s="299" t="s">
        <v>144</v>
      </c>
      <c r="N66" s="21" t="s">
        <v>53</v>
      </c>
      <c r="O66" s="42" t="s">
        <v>63</v>
      </c>
    </row>
    <row r="67" spans="2:15" x14ac:dyDescent="0.2">
      <c r="B67" s="31">
        <v>1</v>
      </c>
      <c r="C67" s="29">
        <v>618</v>
      </c>
      <c r="D67" s="29">
        <v>633</v>
      </c>
      <c r="E67" s="29">
        <v>647</v>
      </c>
      <c r="F67" s="29">
        <v>664</v>
      </c>
      <c r="G67" s="120">
        <v>658</v>
      </c>
      <c r="H67" s="29">
        <v>607</v>
      </c>
      <c r="I67" s="29">
        <v>585</v>
      </c>
      <c r="J67" s="30"/>
      <c r="K67" s="29">
        <f>AVERAGE(C67:G67)</f>
        <v>644</v>
      </c>
      <c r="L67" s="29"/>
      <c r="M67" s="29">
        <f>AVERAGE(H67:I67)</f>
        <v>596</v>
      </c>
      <c r="N67" s="32">
        <v>1</v>
      </c>
      <c r="O67" s="48">
        <f>K67-K90</f>
        <v>-43.200000000000045</v>
      </c>
    </row>
    <row r="68" spans="2:15" x14ac:dyDescent="0.2">
      <c r="B68" s="15">
        <v>2</v>
      </c>
      <c r="C68" s="12">
        <v>605</v>
      </c>
      <c r="D68" s="12">
        <v>615</v>
      </c>
      <c r="E68" s="12">
        <v>643</v>
      </c>
      <c r="F68" s="12">
        <v>644</v>
      </c>
      <c r="G68" s="34">
        <v>622</v>
      </c>
      <c r="H68" s="12">
        <v>589</v>
      </c>
      <c r="I68" s="12">
        <v>556</v>
      </c>
      <c r="J68" s="26"/>
      <c r="K68" s="12">
        <f t="shared" ref="K68:K90" si="10">AVERAGE(C68:G68)</f>
        <v>625.79999999999995</v>
      </c>
      <c r="L68" s="12"/>
      <c r="M68" s="12">
        <f t="shared" ref="M68:M90" si="11">AVERAGE(H68:I68)</f>
        <v>572.5</v>
      </c>
      <c r="N68" s="22">
        <v>2</v>
      </c>
      <c r="O68" s="43">
        <f>K68-K67</f>
        <v>-18.200000000000045</v>
      </c>
    </row>
    <row r="69" spans="2:15" x14ac:dyDescent="0.2">
      <c r="B69" s="15">
        <v>3</v>
      </c>
      <c r="C69" s="12">
        <v>588</v>
      </c>
      <c r="D69" s="12">
        <v>619</v>
      </c>
      <c r="E69" s="12">
        <v>623</v>
      </c>
      <c r="F69" s="12">
        <v>634</v>
      </c>
      <c r="G69" s="34">
        <v>632</v>
      </c>
      <c r="H69" s="12">
        <v>571</v>
      </c>
      <c r="I69" s="12">
        <v>556</v>
      </c>
      <c r="J69" s="26"/>
      <c r="K69" s="12">
        <f t="shared" si="10"/>
        <v>619.20000000000005</v>
      </c>
      <c r="L69" s="12"/>
      <c r="M69" s="12">
        <f t="shared" si="11"/>
        <v>563.5</v>
      </c>
      <c r="N69" s="22">
        <v>3</v>
      </c>
      <c r="O69" s="43">
        <f t="shared" ref="O69:O90" si="12">K69-K68</f>
        <v>-6.5999999999999091</v>
      </c>
    </row>
    <row r="70" spans="2:15" x14ac:dyDescent="0.2">
      <c r="B70" s="16">
        <v>4</v>
      </c>
      <c r="C70" s="13">
        <v>597</v>
      </c>
      <c r="D70" s="13">
        <v>598</v>
      </c>
      <c r="E70" s="13">
        <v>621</v>
      </c>
      <c r="F70" s="13">
        <v>637</v>
      </c>
      <c r="G70" s="121">
        <v>624</v>
      </c>
      <c r="H70" s="13">
        <v>570</v>
      </c>
      <c r="I70" s="13">
        <v>534</v>
      </c>
      <c r="J70" s="27"/>
      <c r="K70" s="13">
        <f t="shared" si="10"/>
        <v>615.4</v>
      </c>
      <c r="L70" s="13"/>
      <c r="M70" s="13">
        <f t="shared" si="11"/>
        <v>552</v>
      </c>
      <c r="N70" s="23">
        <v>4</v>
      </c>
      <c r="O70" s="49">
        <f t="shared" si="12"/>
        <v>-3.8000000000000682</v>
      </c>
    </row>
    <row r="71" spans="2:15" x14ac:dyDescent="0.2">
      <c r="B71" s="31">
        <v>5</v>
      </c>
      <c r="C71" s="29">
        <v>616</v>
      </c>
      <c r="D71" s="29">
        <v>600</v>
      </c>
      <c r="E71" s="29">
        <v>648</v>
      </c>
      <c r="F71" s="29">
        <v>643</v>
      </c>
      <c r="G71" s="120">
        <v>624</v>
      </c>
      <c r="H71" s="29">
        <v>572</v>
      </c>
      <c r="I71" s="29">
        <v>534</v>
      </c>
      <c r="J71" s="30"/>
      <c r="K71" s="29">
        <f t="shared" si="10"/>
        <v>626.20000000000005</v>
      </c>
      <c r="L71" s="29"/>
      <c r="M71" s="29">
        <f t="shared" si="11"/>
        <v>553</v>
      </c>
      <c r="N71" s="32">
        <v>5</v>
      </c>
      <c r="O71" s="45">
        <f t="shared" si="12"/>
        <v>10.800000000000068</v>
      </c>
    </row>
    <row r="72" spans="2:15" x14ac:dyDescent="0.2">
      <c r="B72" s="15">
        <v>6</v>
      </c>
      <c r="C72" s="12">
        <v>672</v>
      </c>
      <c r="D72" s="12">
        <v>662</v>
      </c>
      <c r="E72" s="12">
        <v>682</v>
      </c>
      <c r="F72" s="12">
        <v>687</v>
      </c>
      <c r="G72" s="34">
        <v>651</v>
      </c>
      <c r="H72" s="12">
        <v>588</v>
      </c>
      <c r="I72" s="12">
        <v>545</v>
      </c>
      <c r="J72" s="26"/>
      <c r="K72" s="12">
        <f t="shared" si="10"/>
        <v>670.8</v>
      </c>
      <c r="L72" s="12"/>
      <c r="M72" s="12">
        <f t="shared" si="11"/>
        <v>566.5</v>
      </c>
      <c r="N72" s="22">
        <v>6</v>
      </c>
      <c r="O72" s="46">
        <f t="shared" si="12"/>
        <v>44.599999999999909</v>
      </c>
    </row>
    <row r="73" spans="2:15" x14ac:dyDescent="0.2">
      <c r="B73" s="15">
        <v>7</v>
      </c>
      <c r="C73" s="12">
        <v>784</v>
      </c>
      <c r="D73" s="12">
        <v>773</v>
      </c>
      <c r="E73" s="12">
        <v>775</v>
      </c>
      <c r="F73" s="12">
        <v>770</v>
      </c>
      <c r="G73" s="34">
        <v>732</v>
      </c>
      <c r="H73" s="12">
        <v>621</v>
      </c>
      <c r="I73" s="12">
        <v>565</v>
      </c>
      <c r="J73" s="26"/>
      <c r="K73" s="12">
        <f t="shared" si="10"/>
        <v>766.8</v>
      </c>
      <c r="L73" s="12"/>
      <c r="M73" s="12">
        <f t="shared" si="11"/>
        <v>593</v>
      </c>
      <c r="N73" s="22">
        <v>7</v>
      </c>
      <c r="O73" s="46">
        <f t="shared" si="12"/>
        <v>96</v>
      </c>
    </row>
    <row r="74" spans="2:15" x14ac:dyDescent="0.2">
      <c r="B74" s="16">
        <v>8</v>
      </c>
      <c r="C74" s="13">
        <v>814</v>
      </c>
      <c r="D74" s="13">
        <v>819</v>
      </c>
      <c r="E74" s="13">
        <v>836</v>
      </c>
      <c r="F74" s="13">
        <v>840</v>
      </c>
      <c r="G74" s="121">
        <v>774</v>
      </c>
      <c r="H74" s="13">
        <v>649</v>
      </c>
      <c r="I74" s="13">
        <v>584</v>
      </c>
      <c r="J74" s="27"/>
      <c r="K74" s="13">
        <f t="shared" si="10"/>
        <v>816.6</v>
      </c>
      <c r="L74" s="13"/>
      <c r="M74" s="13">
        <f t="shared" si="11"/>
        <v>616.5</v>
      </c>
      <c r="N74" s="23">
        <v>8</v>
      </c>
      <c r="O74" s="47">
        <f t="shared" si="12"/>
        <v>49.800000000000068</v>
      </c>
    </row>
    <row r="75" spans="2:15" x14ac:dyDescent="0.2">
      <c r="B75" s="15">
        <v>9</v>
      </c>
      <c r="C75" s="12">
        <v>832</v>
      </c>
      <c r="D75" s="12">
        <v>826</v>
      </c>
      <c r="E75" s="12">
        <v>846</v>
      </c>
      <c r="F75" s="12">
        <v>843</v>
      </c>
      <c r="G75" s="34">
        <v>793</v>
      </c>
      <c r="H75" s="12">
        <v>672</v>
      </c>
      <c r="I75" s="12">
        <v>600</v>
      </c>
      <c r="J75" s="26"/>
      <c r="K75" s="12">
        <f t="shared" si="10"/>
        <v>828</v>
      </c>
      <c r="L75" s="12"/>
      <c r="M75" s="12">
        <f t="shared" si="11"/>
        <v>636</v>
      </c>
      <c r="N75" s="22">
        <v>9</v>
      </c>
      <c r="O75" s="48">
        <f t="shared" si="12"/>
        <v>11.399999999999977</v>
      </c>
    </row>
    <row r="76" spans="2:15" x14ac:dyDescent="0.2">
      <c r="B76" s="15">
        <v>10</v>
      </c>
      <c r="C76" s="12">
        <v>835</v>
      </c>
      <c r="D76" s="12">
        <v>822</v>
      </c>
      <c r="E76" s="12">
        <v>824</v>
      </c>
      <c r="F76" s="12">
        <v>852</v>
      </c>
      <c r="G76" s="34">
        <v>798</v>
      </c>
      <c r="H76" s="12">
        <v>691</v>
      </c>
      <c r="I76" s="12">
        <v>623</v>
      </c>
      <c r="J76" s="26"/>
      <c r="K76" s="12">
        <f t="shared" si="10"/>
        <v>826.2</v>
      </c>
      <c r="L76" s="12"/>
      <c r="M76" s="12">
        <f t="shared" si="11"/>
        <v>657</v>
      </c>
      <c r="N76" s="22">
        <v>10</v>
      </c>
      <c r="O76" s="43">
        <f t="shared" si="12"/>
        <v>-1.7999999999999545</v>
      </c>
    </row>
    <row r="77" spans="2:15" x14ac:dyDescent="0.2">
      <c r="B77" s="15">
        <v>11</v>
      </c>
      <c r="C77" s="12">
        <v>844</v>
      </c>
      <c r="D77" s="12">
        <v>830</v>
      </c>
      <c r="E77" s="12">
        <v>827</v>
      </c>
      <c r="F77" s="12">
        <v>843</v>
      </c>
      <c r="G77" s="34">
        <v>803</v>
      </c>
      <c r="H77" s="12">
        <v>695</v>
      </c>
      <c r="I77" s="12">
        <v>635</v>
      </c>
      <c r="J77" s="26"/>
      <c r="K77" s="12">
        <f t="shared" si="10"/>
        <v>829.4</v>
      </c>
      <c r="L77" s="12"/>
      <c r="M77" s="12">
        <f t="shared" si="11"/>
        <v>665</v>
      </c>
      <c r="N77" s="22">
        <v>11</v>
      </c>
      <c r="O77" s="43">
        <f t="shared" si="12"/>
        <v>3.1999999999999318</v>
      </c>
    </row>
    <row r="78" spans="2:15" x14ac:dyDescent="0.2">
      <c r="B78" s="16">
        <v>12</v>
      </c>
      <c r="C78" s="13">
        <v>826</v>
      </c>
      <c r="D78" s="13">
        <v>814</v>
      </c>
      <c r="E78" s="13">
        <v>817</v>
      </c>
      <c r="F78" s="13">
        <v>811</v>
      </c>
      <c r="G78" s="121">
        <v>782</v>
      </c>
      <c r="H78" s="13">
        <v>679</v>
      </c>
      <c r="I78" s="13">
        <v>639</v>
      </c>
      <c r="J78" s="27"/>
      <c r="K78" s="13">
        <f t="shared" si="10"/>
        <v>810</v>
      </c>
      <c r="L78" s="13"/>
      <c r="M78" s="13">
        <f t="shared" si="11"/>
        <v>659</v>
      </c>
      <c r="N78" s="23">
        <v>12</v>
      </c>
      <c r="O78" s="49">
        <f t="shared" si="12"/>
        <v>-19.399999999999977</v>
      </c>
    </row>
    <row r="79" spans="2:15" x14ac:dyDescent="0.2">
      <c r="B79" s="15">
        <v>13</v>
      </c>
      <c r="C79" s="12">
        <v>802</v>
      </c>
      <c r="D79" s="12">
        <v>780</v>
      </c>
      <c r="E79" s="12">
        <v>776</v>
      </c>
      <c r="F79" s="12">
        <v>790</v>
      </c>
      <c r="G79" s="34">
        <v>740</v>
      </c>
      <c r="H79" s="12">
        <v>664</v>
      </c>
      <c r="I79" s="12">
        <v>638</v>
      </c>
      <c r="J79" s="26"/>
      <c r="K79" s="12">
        <f t="shared" si="10"/>
        <v>777.6</v>
      </c>
      <c r="L79" s="12"/>
      <c r="M79" s="12">
        <f t="shared" si="11"/>
        <v>651</v>
      </c>
      <c r="N79" s="22">
        <v>13</v>
      </c>
      <c r="O79" s="48">
        <f t="shared" si="12"/>
        <v>-32.399999999999977</v>
      </c>
    </row>
    <row r="80" spans="2:15" x14ac:dyDescent="0.2">
      <c r="B80" s="15">
        <v>14</v>
      </c>
      <c r="C80" s="12">
        <v>801</v>
      </c>
      <c r="D80" s="12">
        <v>781</v>
      </c>
      <c r="E80" s="12">
        <v>772</v>
      </c>
      <c r="F80" s="12">
        <v>806</v>
      </c>
      <c r="G80" s="34">
        <v>744</v>
      </c>
      <c r="H80" s="12">
        <v>646</v>
      </c>
      <c r="I80" s="12">
        <v>642</v>
      </c>
      <c r="J80" s="26"/>
      <c r="K80" s="12">
        <f t="shared" si="10"/>
        <v>780.8</v>
      </c>
      <c r="L80" s="12"/>
      <c r="M80" s="12">
        <f t="shared" si="11"/>
        <v>644</v>
      </c>
      <c r="N80" s="22">
        <v>14</v>
      </c>
      <c r="O80" s="43">
        <f t="shared" si="12"/>
        <v>3.1999999999999318</v>
      </c>
    </row>
    <row r="81" spans="1:15" x14ac:dyDescent="0.2">
      <c r="B81" s="15">
        <v>15</v>
      </c>
      <c r="C81" s="12">
        <v>794</v>
      </c>
      <c r="D81" s="12">
        <v>786</v>
      </c>
      <c r="E81" s="12">
        <v>780</v>
      </c>
      <c r="F81" s="12">
        <v>791</v>
      </c>
      <c r="G81" s="34">
        <v>731</v>
      </c>
      <c r="H81" s="12">
        <v>637</v>
      </c>
      <c r="I81" s="12">
        <v>636</v>
      </c>
      <c r="J81" s="26"/>
      <c r="K81" s="12">
        <f t="shared" si="10"/>
        <v>776.4</v>
      </c>
      <c r="L81" s="12"/>
      <c r="M81" s="12">
        <f t="shared" si="11"/>
        <v>636.5</v>
      </c>
      <c r="N81" s="22">
        <v>15</v>
      </c>
      <c r="O81" s="43">
        <f t="shared" si="12"/>
        <v>-4.3999999999999773</v>
      </c>
    </row>
    <row r="82" spans="1:15" x14ac:dyDescent="0.2">
      <c r="B82" s="16">
        <v>16</v>
      </c>
      <c r="C82" s="13">
        <v>785</v>
      </c>
      <c r="D82" s="13">
        <v>800</v>
      </c>
      <c r="E82" s="13">
        <v>758</v>
      </c>
      <c r="F82" s="13">
        <v>764</v>
      </c>
      <c r="G82" s="121">
        <v>712</v>
      </c>
      <c r="H82" s="13">
        <v>632</v>
      </c>
      <c r="I82" s="13">
        <v>627</v>
      </c>
      <c r="J82" s="27"/>
      <c r="K82" s="13">
        <f t="shared" si="10"/>
        <v>763.8</v>
      </c>
      <c r="L82" s="13"/>
      <c r="M82" s="13">
        <f t="shared" si="11"/>
        <v>629.5</v>
      </c>
      <c r="N82" s="23">
        <v>16</v>
      </c>
      <c r="O82" s="49">
        <f t="shared" si="12"/>
        <v>-12.600000000000023</v>
      </c>
    </row>
    <row r="83" spans="1:15" x14ac:dyDescent="0.2">
      <c r="B83" s="15">
        <v>17</v>
      </c>
      <c r="C83" s="12">
        <v>785</v>
      </c>
      <c r="D83" s="12">
        <v>803</v>
      </c>
      <c r="E83" s="12">
        <v>782</v>
      </c>
      <c r="F83" s="12">
        <v>780</v>
      </c>
      <c r="G83" s="34">
        <v>704</v>
      </c>
      <c r="H83" s="12">
        <v>638</v>
      </c>
      <c r="I83" s="12">
        <v>638</v>
      </c>
      <c r="J83" s="26"/>
      <c r="K83" s="12">
        <f t="shared" si="10"/>
        <v>770.8</v>
      </c>
      <c r="L83" s="12"/>
      <c r="M83" s="12">
        <f t="shared" si="11"/>
        <v>638</v>
      </c>
      <c r="N83" s="22">
        <v>17</v>
      </c>
      <c r="O83" s="48">
        <f t="shared" si="12"/>
        <v>7</v>
      </c>
    </row>
    <row r="84" spans="1:15" x14ac:dyDescent="0.2">
      <c r="B84" s="15">
        <v>18</v>
      </c>
      <c r="C84" s="12">
        <v>876</v>
      </c>
      <c r="D84" s="12">
        <v>927</v>
      </c>
      <c r="E84" s="12">
        <v>909</v>
      </c>
      <c r="F84" s="12">
        <v>883</v>
      </c>
      <c r="G84" s="34">
        <v>813</v>
      </c>
      <c r="H84" s="12">
        <v>768</v>
      </c>
      <c r="I84" s="12">
        <v>768</v>
      </c>
      <c r="J84" s="26"/>
      <c r="K84" s="12">
        <f t="shared" si="10"/>
        <v>881.6</v>
      </c>
      <c r="L84" s="12"/>
      <c r="M84" s="12">
        <f t="shared" si="11"/>
        <v>768</v>
      </c>
      <c r="N84" s="22">
        <v>18</v>
      </c>
      <c r="O84" s="43">
        <f t="shared" si="12"/>
        <v>110.80000000000007</v>
      </c>
    </row>
    <row r="85" spans="1:15" x14ac:dyDescent="0.2">
      <c r="B85" s="15">
        <v>19</v>
      </c>
      <c r="C85" s="12">
        <v>918</v>
      </c>
      <c r="D85" s="12">
        <v>926</v>
      </c>
      <c r="E85" s="12">
        <v>938</v>
      </c>
      <c r="F85" s="12">
        <v>907</v>
      </c>
      <c r="G85" s="34">
        <v>840</v>
      </c>
      <c r="H85" s="12">
        <v>800</v>
      </c>
      <c r="I85" s="12">
        <v>800</v>
      </c>
      <c r="J85" s="26"/>
      <c r="K85" s="12">
        <f t="shared" si="10"/>
        <v>905.8</v>
      </c>
      <c r="L85" s="12"/>
      <c r="M85" s="12">
        <f t="shared" si="11"/>
        <v>800</v>
      </c>
      <c r="N85" s="22">
        <v>19</v>
      </c>
      <c r="O85" s="43">
        <f t="shared" si="12"/>
        <v>24.199999999999932</v>
      </c>
    </row>
    <row r="86" spans="1:15" x14ac:dyDescent="0.2">
      <c r="B86" s="16">
        <v>20</v>
      </c>
      <c r="C86" s="13">
        <v>918</v>
      </c>
      <c r="D86" s="13">
        <v>949</v>
      </c>
      <c r="E86" s="13">
        <v>943</v>
      </c>
      <c r="F86" s="13">
        <v>919</v>
      </c>
      <c r="G86" s="121">
        <v>830</v>
      </c>
      <c r="H86" s="13">
        <v>790</v>
      </c>
      <c r="I86" s="13">
        <v>801</v>
      </c>
      <c r="J86" s="27"/>
      <c r="K86" s="13">
        <f t="shared" si="10"/>
        <v>911.8</v>
      </c>
      <c r="L86" s="13"/>
      <c r="M86" s="13">
        <f t="shared" si="11"/>
        <v>795.5</v>
      </c>
      <c r="N86" s="23">
        <v>20</v>
      </c>
      <c r="O86" s="49">
        <f t="shared" si="12"/>
        <v>6</v>
      </c>
    </row>
    <row r="87" spans="1:15" x14ac:dyDescent="0.2">
      <c r="B87" s="15">
        <v>21</v>
      </c>
      <c r="C87" s="12">
        <v>908</v>
      </c>
      <c r="D87" s="12">
        <v>921</v>
      </c>
      <c r="E87" s="12">
        <v>912</v>
      </c>
      <c r="F87" s="12">
        <v>908</v>
      </c>
      <c r="G87" s="34">
        <v>811</v>
      </c>
      <c r="H87" s="12">
        <v>777</v>
      </c>
      <c r="I87" s="12">
        <v>792</v>
      </c>
      <c r="J87" s="26"/>
      <c r="K87" s="12">
        <f t="shared" si="10"/>
        <v>892</v>
      </c>
      <c r="L87" s="12"/>
      <c r="M87" s="12">
        <f t="shared" si="11"/>
        <v>784.5</v>
      </c>
      <c r="N87" s="22">
        <v>21</v>
      </c>
      <c r="O87" s="48">
        <f t="shared" si="12"/>
        <v>-19.799999999999955</v>
      </c>
    </row>
    <row r="88" spans="1:15" x14ac:dyDescent="0.2">
      <c r="B88" s="15">
        <v>22</v>
      </c>
      <c r="C88" s="12">
        <v>888</v>
      </c>
      <c r="D88" s="12">
        <v>872</v>
      </c>
      <c r="E88" s="12">
        <v>876</v>
      </c>
      <c r="F88" s="12">
        <v>846</v>
      </c>
      <c r="G88" s="34">
        <v>782</v>
      </c>
      <c r="H88" s="12">
        <v>748</v>
      </c>
      <c r="I88" s="12">
        <v>767</v>
      </c>
      <c r="J88" s="26"/>
      <c r="K88" s="12">
        <f t="shared" si="10"/>
        <v>852.8</v>
      </c>
      <c r="L88" s="12"/>
      <c r="M88" s="12">
        <f t="shared" si="11"/>
        <v>757.5</v>
      </c>
      <c r="N88" s="22">
        <v>22</v>
      </c>
      <c r="O88" s="43">
        <f t="shared" si="12"/>
        <v>-39.200000000000045</v>
      </c>
    </row>
    <row r="89" spans="1:15" x14ac:dyDescent="0.2">
      <c r="B89" s="15">
        <v>23</v>
      </c>
      <c r="C89" s="12">
        <v>792</v>
      </c>
      <c r="D89" s="12">
        <v>803</v>
      </c>
      <c r="E89" s="12">
        <v>783</v>
      </c>
      <c r="F89" s="12">
        <v>787</v>
      </c>
      <c r="G89" s="34">
        <v>726</v>
      </c>
      <c r="H89" s="12">
        <v>703</v>
      </c>
      <c r="I89" s="12">
        <v>710</v>
      </c>
      <c r="J89" s="26"/>
      <c r="K89" s="12">
        <f t="shared" si="10"/>
        <v>778.2</v>
      </c>
      <c r="L89" s="12"/>
      <c r="M89" s="12">
        <f t="shared" si="11"/>
        <v>706.5</v>
      </c>
      <c r="N89" s="22">
        <v>23</v>
      </c>
      <c r="O89" s="43">
        <f t="shared" si="12"/>
        <v>-74.599999999999909</v>
      </c>
    </row>
    <row r="90" spans="1:15" x14ac:dyDescent="0.2">
      <c r="B90" s="16">
        <v>24</v>
      </c>
      <c r="C90" s="12">
        <v>661</v>
      </c>
      <c r="D90" s="12">
        <v>704</v>
      </c>
      <c r="E90" s="12">
        <v>722</v>
      </c>
      <c r="F90" s="12">
        <v>697</v>
      </c>
      <c r="G90" s="34">
        <v>652</v>
      </c>
      <c r="H90" s="12">
        <v>636</v>
      </c>
      <c r="I90" s="12">
        <v>636</v>
      </c>
      <c r="J90" s="27"/>
      <c r="K90" s="12">
        <f t="shared" si="10"/>
        <v>687.2</v>
      </c>
      <c r="L90" s="13"/>
      <c r="M90" s="12">
        <f t="shared" si="11"/>
        <v>636</v>
      </c>
      <c r="N90" s="23">
        <v>24</v>
      </c>
      <c r="O90" s="49">
        <f t="shared" si="12"/>
        <v>-91</v>
      </c>
    </row>
    <row r="91" spans="1:15" ht="13.5" thickBot="1" x14ac:dyDescent="0.25">
      <c r="B91" s="17" t="s">
        <v>54</v>
      </c>
      <c r="C91" s="25">
        <f t="shared" ref="C91:I91" si="13">SUM(C67:C90)</f>
        <v>18559</v>
      </c>
      <c r="D91" s="25">
        <f t="shared" si="13"/>
        <v>18663</v>
      </c>
      <c r="E91" s="25">
        <f t="shared" si="13"/>
        <v>18740</v>
      </c>
      <c r="F91" s="25">
        <f t="shared" si="13"/>
        <v>18746</v>
      </c>
      <c r="G91" s="25">
        <f t="shared" si="13"/>
        <v>17578</v>
      </c>
      <c r="H91" s="25">
        <f t="shared" si="13"/>
        <v>15943</v>
      </c>
      <c r="I91" s="25">
        <f t="shared" si="13"/>
        <v>15411</v>
      </c>
      <c r="J91" s="25"/>
      <c r="K91" s="25">
        <f>SUM(K67:K90)</f>
        <v>18457.2</v>
      </c>
      <c r="L91" s="25"/>
      <c r="M91" s="25">
        <f>SUM(M67:M90)</f>
        <v>15677</v>
      </c>
      <c r="N91" s="24"/>
      <c r="O91" s="44"/>
    </row>
    <row r="92" spans="1:15" ht="13.5" thickTop="1" x14ac:dyDescent="0.2">
      <c r="B92" t="s">
        <v>65</v>
      </c>
      <c r="C92">
        <v>52</v>
      </c>
      <c r="D92">
        <v>47</v>
      </c>
      <c r="E92">
        <v>48</v>
      </c>
      <c r="F92">
        <v>52</v>
      </c>
      <c r="G92">
        <v>57</v>
      </c>
      <c r="H92">
        <v>52</v>
      </c>
      <c r="I92">
        <v>51</v>
      </c>
      <c r="K92" s="110">
        <f>AVERAGE(C92:H92)</f>
        <v>51.333333333333336</v>
      </c>
      <c r="M92">
        <f>AVERAGE(H92:I92)</f>
        <v>51.5</v>
      </c>
    </row>
    <row r="93" spans="1:15" x14ac:dyDescent="0.2">
      <c r="B93" s="109" t="s">
        <v>66</v>
      </c>
      <c r="C93">
        <v>26</v>
      </c>
      <c r="D93">
        <v>22</v>
      </c>
      <c r="E93">
        <v>20</v>
      </c>
      <c r="F93">
        <v>23</v>
      </c>
      <c r="G93">
        <v>25</v>
      </c>
      <c r="H93">
        <v>23</v>
      </c>
      <c r="I93">
        <v>24</v>
      </c>
      <c r="K93" s="110">
        <f>AVERAGE(C93:H93)</f>
        <v>23.166666666666668</v>
      </c>
      <c r="M93" s="110">
        <f>AVERAGE(H93:I93)</f>
        <v>23.5</v>
      </c>
    </row>
    <row r="94" spans="1:15" x14ac:dyDescent="0.2">
      <c r="A94" s="10"/>
      <c r="B94" s="10"/>
      <c r="C94" s="10"/>
      <c r="D94" s="10"/>
      <c r="E94" s="10"/>
      <c r="F94" s="10"/>
      <c r="H94" s="10"/>
      <c r="I94" s="10"/>
      <c r="J94" s="10"/>
      <c r="K94" s="10"/>
      <c r="L94" s="10"/>
      <c r="M94" s="10"/>
      <c r="N94" s="10"/>
    </row>
    <row r="95" spans="1:15" ht="15.75" x14ac:dyDescent="0.25">
      <c r="G95" s="11" t="s">
        <v>57</v>
      </c>
    </row>
    <row r="96" spans="1:15" x14ac:dyDescent="0.2">
      <c r="C96">
        <f>I65+1</f>
        <v>20</v>
      </c>
      <c r="D96">
        <f t="shared" ref="D96:I96" si="14">C96+1</f>
        <v>21</v>
      </c>
      <c r="E96">
        <f t="shared" si="14"/>
        <v>22</v>
      </c>
      <c r="F96">
        <f t="shared" si="14"/>
        <v>23</v>
      </c>
      <c r="G96">
        <f t="shared" si="14"/>
        <v>24</v>
      </c>
      <c r="H96">
        <f t="shared" si="14"/>
        <v>25</v>
      </c>
      <c r="I96">
        <f t="shared" si="14"/>
        <v>26</v>
      </c>
    </row>
    <row r="97" spans="2:15" x14ac:dyDescent="0.2">
      <c r="B97" s="14" t="s">
        <v>53</v>
      </c>
      <c r="C97" s="18" t="s">
        <v>46</v>
      </c>
      <c r="D97" s="18" t="s">
        <v>47</v>
      </c>
      <c r="E97" s="18" t="s">
        <v>48</v>
      </c>
      <c r="F97" s="18" t="s">
        <v>49</v>
      </c>
      <c r="G97" s="18" t="s">
        <v>50</v>
      </c>
      <c r="H97" s="18" t="s">
        <v>51</v>
      </c>
      <c r="I97" s="18" t="s">
        <v>52</v>
      </c>
      <c r="J97" s="19"/>
      <c r="K97" s="299" t="s">
        <v>143</v>
      </c>
      <c r="L97" s="20"/>
      <c r="M97" s="299" t="s">
        <v>144</v>
      </c>
      <c r="N97" s="21" t="s">
        <v>53</v>
      </c>
      <c r="O97" s="42" t="s">
        <v>63</v>
      </c>
    </row>
    <row r="98" spans="2:15" x14ac:dyDescent="0.2">
      <c r="B98" s="31">
        <v>1</v>
      </c>
      <c r="C98" s="29">
        <v>598</v>
      </c>
      <c r="D98" s="29">
        <v>614</v>
      </c>
      <c r="E98" s="29">
        <v>629</v>
      </c>
      <c r="F98" s="29">
        <v>625</v>
      </c>
      <c r="G98" s="120">
        <v>583</v>
      </c>
      <c r="H98" s="29">
        <v>613</v>
      </c>
      <c r="I98" s="29">
        <v>549</v>
      </c>
      <c r="J98" s="30"/>
      <c r="K98" s="29">
        <f>AVERAGE(C98:G98)</f>
        <v>609.79999999999995</v>
      </c>
      <c r="L98" s="29"/>
      <c r="M98" s="29">
        <f>AVERAGE(H98:I98)</f>
        <v>581</v>
      </c>
      <c r="N98" s="32">
        <v>1</v>
      </c>
      <c r="O98" s="48">
        <f>K98-K121</f>
        <v>-57.400000000000091</v>
      </c>
    </row>
    <row r="99" spans="2:15" x14ac:dyDescent="0.2">
      <c r="B99" s="15">
        <v>2</v>
      </c>
      <c r="C99" s="12">
        <v>578</v>
      </c>
      <c r="D99" s="12">
        <v>590</v>
      </c>
      <c r="E99" s="12">
        <v>594</v>
      </c>
      <c r="F99" s="12">
        <v>601</v>
      </c>
      <c r="G99" s="34">
        <v>552</v>
      </c>
      <c r="H99" s="12">
        <v>581</v>
      </c>
      <c r="I99" s="12">
        <v>515</v>
      </c>
      <c r="J99" s="26"/>
      <c r="K99" s="12">
        <f t="shared" ref="K99:K121" si="15">AVERAGE(C99:G99)</f>
        <v>583</v>
      </c>
      <c r="L99" s="12"/>
      <c r="M99" s="12">
        <f t="shared" ref="M99:M121" si="16">AVERAGE(H99:I99)</f>
        <v>548</v>
      </c>
      <c r="N99" s="22">
        <v>2</v>
      </c>
      <c r="O99" s="43">
        <f>K99-K98</f>
        <v>-26.799999999999955</v>
      </c>
    </row>
    <row r="100" spans="2:15" x14ac:dyDescent="0.2">
      <c r="B100" s="15">
        <v>3</v>
      </c>
      <c r="C100" s="12">
        <v>567</v>
      </c>
      <c r="D100" s="12">
        <v>575</v>
      </c>
      <c r="E100" s="12">
        <v>571</v>
      </c>
      <c r="F100" s="12">
        <v>585</v>
      </c>
      <c r="G100" s="34">
        <v>548</v>
      </c>
      <c r="H100" s="12">
        <v>559</v>
      </c>
      <c r="I100" s="12">
        <v>503</v>
      </c>
      <c r="J100" s="26"/>
      <c r="K100" s="12">
        <f t="shared" si="15"/>
        <v>569.20000000000005</v>
      </c>
      <c r="L100" s="12"/>
      <c r="M100" s="12">
        <f t="shared" si="16"/>
        <v>531</v>
      </c>
      <c r="N100" s="22">
        <v>3</v>
      </c>
      <c r="O100" s="43">
        <f t="shared" ref="O100:O121" si="17">K100-K99</f>
        <v>-13.799999999999955</v>
      </c>
    </row>
    <row r="101" spans="2:15" x14ac:dyDescent="0.2">
      <c r="B101" s="16">
        <v>4</v>
      </c>
      <c r="C101" s="13">
        <v>574</v>
      </c>
      <c r="D101" s="13">
        <v>588</v>
      </c>
      <c r="E101" s="13">
        <v>573</v>
      </c>
      <c r="F101" s="13">
        <v>575</v>
      </c>
      <c r="G101" s="121">
        <v>540</v>
      </c>
      <c r="H101" s="13">
        <v>539</v>
      </c>
      <c r="I101" s="13">
        <v>498</v>
      </c>
      <c r="J101" s="27"/>
      <c r="K101" s="13">
        <f t="shared" si="15"/>
        <v>570</v>
      </c>
      <c r="L101" s="13"/>
      <c r="M101" s="13">
        <f t="shared" si="16"/>
        <v>518.5</v>
      </c>
      <c r="N101" s="23">
        <v>4</v>
      </c>
      <c r="O101" s="49">
        <f t="shared" si="17"/>
        <v>0.79999999999995453</v>
      </c>
    </row>
    <row r="102" spans="2:15" x14ac:dyDescent="0.2">
      <c r="B102" s="31">
        <v>5</v>
      </c>
      <c r="C102" s="29">
        <v>587</v>
      </c>
      <c r="D102" s="29">
        <v>598</v>
      </c>
      <c r="E102" s="29">
        <v>582</v>
      </c>
      <c r="F102" s="29">
        <v>590</v>
      </c>
      <c r="G102" s="120">
        <v>536</v>
      </c>
      <c r="H102" s="29">
        <v>536</v>
      </c>
      <c r="I102" s="29">
        <v>498</v>
      </c>
      <c r="J102" s="30"/>
      <c r="K102" s="29">
        <f t="shared" si="15"/>
        <v>578.6</v>
      </c>
      <c r="L102" s="29"/>
      <c r="M102" s="29">
        <f t="shared" si="16"/>
        <v>517</v>
      </c>
      <c r="N102" s="32">
        <v>5</v>
      </c>
      <c r="O102" s="48">
        <f t="shared" si="17"/>
        <v>8.6000000000000227</v>
      </c>
    </row>
    <row r="103" spans="2:15" x14ac:dyDescent="0.2">
      <c r="B103" s="15">
        <v>6</v>
      </c>
      <c r="C103" s="12">
        <v>621</v>
      </c>
      <c r="D103" s="12">
        <v>633</v>
      </c>
      <c r="E103" s="12">
        <v>623</v>
      </c>
      <c r="F103" s="12">
        <v>623</v>
      </c>
      <c r="G103" s="34">
        <v>546</v>
      </c>
      <c r="H103" s="12">
        <v>541</v>
      </c>
      <c r="I103" s="12">
        <v>511</v>
      </c>
      <c r="J103" s="26"/>
      <c r="K103" s="12">
        <f t="shared" si="15"/>
        <v>609.20000000000005</v>
      </c>
      <c r="L103" s="12"/>
      <c r="M103" s="12">
        <f t="shared" si="16"/>
        <v>526</v>
      </c>
      <c r="N103" s="22">
        <v>6</v>
      </c>
      <c r="O103" s="43">
        <f t="shared" si="17"/>
        <v>30.600000000000023</v>
      </c>
    </row>
    <row r="104" spans="2:15" x14ac:dyDescent="0.2">
      <c r="B104" s="15">
        <v>7</v>
      </c>
      <c r="C104" s="12">
        <v>693</v>
      </c>
      <c r="D104" s="12">
        <v>715</v>
      </c>
      <c r="E104" s="12">
        <v>684</v>
      </c>
      <c r="F104" s="12">
        <v>680</v>
      </c>
      <c r="G104" s="34">
        <v>574</v>
      </c>
      <c r="H104" s="12">
        <v>560</v>
      </c>
      <c r="I104" s="12">
        <v>536</v>
      </c>
      <c r="J104" s="26"/>
      <c r="K104" s="12">
        <f t="shared" si="15"/>
        <v>669.2</v>
      </c>
      <c r="L104" s="12"/>
      <c r="M104" s="12">
        <f t="shared" si="16"/>
        <v>548</v>
      </c>
      <c r="N104" s="22">
        <v>7</v>
      </c>
      <c r="O104" s="43">
        <f t="shared" si="17"/>
        <v>60</v>
      </c>
    </row>
    <row r="105" spans="2:15" x14ac:dyDescent="0.2">
      <c r="B105" s="16">
        <v>8</v>
      </c>
      <c r="C105" s="13">
        <v>741</v>
      </c>
      <c r="D105" s="13">
        <v>742</v>
      </c>
      <c r="E105" s="13">
        <v>726</v>
      </c>
      <c r="F105" s="13">
        <v>722</v>
      </c>
      <c r="G105" s="121">
        <v>597</v>
      </c>
      <c r="H105" s="13">
        <v>573</v>
      </c>
      <c r="I105" s="13">
        <v>542</v>
      </c>
      <c r="J105" s="27"/>
      <c r="K105" s="13">
        <f t="shared" si="15"/>
        <v>705.6</v>
      </c>
      <c r="L105" s="13"/>
      <c r="M105" s="13">
        <f t="shared" si="16"/>
        <v>557.5</v>
      </c>
      <c r="N105" s="23">
        <v>8</v>
      </c>
      <c r="O105" s="49">
        <f t="shared" si="17"/>
        <v>36.399999999999977</v>
      </c>
    </row>
    <row r="106" spans="2:15" x14ac:dyDescent="0.2">
      <c r="B106" s="15">
        <v>9</v>
      </c>
      <c r="C106" s="12">
        <v>767</v>
      </c>
      <c r="D106" s="12">
        <v>770</v>
      </c>
      <c r="E106" s="12">
        <v>774</v>
      </c>
      <c r="F106" s="12">
        <v>733</v>
      </c>
      <c r="G106" s="34">
        <v>652</v>
      </c>
      <c r="H106" s="12">
        <v>601</v>
      </c>
      <c r="I106" s="12">
        <v>571</v>
      </c>
      <c r="J106" s="26"/>
      <c r="K106" s="12">
        <f t="shared" si="15"/>
        <v>739.2</v>
      </c>
      <c r="L106" s="12"/>
      <c r="M106" s="12">
        <f t="shared" si="16"/>
        <v>586</v>
      </c>
      <c r="N106" s="22">
        <v>9</v>
      </c>
      <c r="O106" s="48">
        <f t="shared" si="17"/>
        <v>33.600000000000023</v>
      </c>
    </row>
    <row r="107" spans="2:15" x14ac:dyDescent="0.2">
      <c r="B107" s="15">
        <v>10</v>
      </c>
      <c r="C107" s="12">
        <v>835</v>
      </c>
      <c r="D107" s="12">
        <v>781</v>
      </c>
      <c r="E107" s="12">
        <v>788</v>
      </c>
      <c r="F107" s="12">
        <v>747</v>
      </c>
      <c r="G107" s="34">
        <v>690</v>
      </c>
      <c r="H107" s="12">
        <v>616</v>
      </c>
      <c r="I107" s="12">
        <v>597</v>
      </c>
      <c r="J107" s="26"/>
      <c r="K107" s="12">
        <f t="shared" si="15"/>
        <v>768.2</v>
      </c>
      <c r="L107" s="12"/>
      <c r="M107" s="12">
        <f t="shared" si="16"/>
        <v>606.5</v>
      </c>
      <c r="N107" s="22">
        <v>10</v>
      </c>
      <c r="O107" s="43">
        <f t="shared" si="17"/>
        <v>29</v>
      </c>
    </row>
    <row r="108" spans="2:15" x14ac:dyDescent="0.2">
      <c r="B108" s="15">
        <v>11</v>
      </c>
      <c r="C108" s="12">
        <v>776</v>
      </c>
      <c r="D108" s="12">
        <v>774</v>
      </c>
      <c r="E108" s="12">
        <v>794</v>
      </c>
      <c r="F108" s="12">
        <v>750</v>
      </c>
      <c r="G108" s="34">
        <v>703</v>
      </c>
      <c r="H108" s="12">
        <v>626</v>
      </c>
      <c r="I108" s="12">
        <v>620</v>
      </c>
      <c r="J108" s="26"/>
      <c r="K108" s="12">
        <f t="shared" si="15"/>
        <v>759.4</v>
      </c>
      <c r="L108" s="12"/>
      <c r="M108" s="12">
        <f t="shared" si="16"/>
        <v>623</v>
      </c>
      <c r="N108" s="22">
        <v>11</v>
      </c>
      <c r="O108" s="43">
        <f t="shared" si="17"/>
        <v>-8.8000000000000682</v>
      </c>
    </row>
    <row r="109" spans="2:15" x14ac:dyDescent="0.2">
      <c r="B109" s="16">
        <v>12</v>
      </c>
      <c r="C109" s="13">
        <v>770</v>
      </c>
      <c r="D109" s="13">
        <v>775</v>
      </c>
      <c r="E109" s="13">
        <v>768</v>
      </c>
      <c r="F109" s="13">
        <v>741</v>
      </c>
      <c r="G109" s="121">
        <v>705</v>
      </c>
      <c r="H109" s="13">
        <v>623</v>
      </c>
      <c r="I109" s="13">
        <v>628</v>
      </c>
      <c r="J109" s="27"/>
      <c r="K109" s="13">
        <f t="shared" si="15"/>
        <v>751.8</v>
      </c>
      <c r="L109" s="13"/>
      <c r="M109" s="13">
        <f t="shared" si="16"/>
        <v>625.5</v>
      </c>
      <c r="N109" s="23">
        <v>12</v>
      </c>
      <c r="O109" s="49">
        <f t="shared" si="17"/>
        <v>-7.6000000000000227</v>
      </c>
    </row>
    <row r="110" spans="2:15" x14ac:dyDescent="0.2">
      <c r="B110" s="15">
        <v>13</v>
      </c>
      <c r="C110" s="12">
        <v>756</v>
      </c>
      <c r="D110" s="12">
        <v>747</v>
      </c>
      <c r="E110" s="12">
        <v>745</v>
      </c>
      <c r="F110" s="12">
        <v>716</v>
      </c>
      <c r="G110" s="34">
        <v>707</v>
      </c>
      <c r="H110" s="12">
        <v>607</v>
      </c>
      <c r="I110" s="12">
        <v>634</v>
      </c>
      <c r="J110" s="26"/>
      <c r="K110" s="12">
        <f t="shared" si="15"/>
        <v>734.2</v>
      </c>
      <c r="L110" s="12"/>
      <c r="M110" s="12">
        <f t="shared" si="16"/>
        <v>620.5</v>
      </c>
      <c r="N110" s="22">
        <v>13</v>
      </c>
      <c r="O110" s="48">
        <f t="shared" si="17"/>
        <v>-17.599999999999909</v>
      </c>
    </row>
    <row r="111" spans="2:15" x14ac:dyDescent="0.2">
      <c r="B111" s="15">
        <v>14</v>
      </c>
      <c r="C111" s="12">
        <v>746</v>
      </c>
      <c r="D111" s="12">
        <v>732</v>
      </c>
      <c r="E111" s="12">
        <v>734</v>
      </c>
      <c r="F111" s="12">
        <v>711</v>
      </c>
      <c r="G111" s="34">
        <v>691</v>
      </c>
      <c r="H111" s="12">
        <v>589</v>
      </c>
      <c r="I111" s="12">
        <v>610</v>
      </c>
      <c r="J111" s="26"/>
      <c r="K111" s="12">
        <f t="shared" si="15"/>
        <v>722.8</v>
      </c>
      <c r="L111" s="12"/>
      <c r="M111" s="12">
        <f t="shared" si="16"/>
        <v>599.5</v>
      </c>
      <c r="N111" s="22">
        <v>14</v>
      </c>
      <c r="O111" s="43">
        <f t="shared" si="17"/>
        <v>-11.400000000000091</v>
      </c>
    </row>
    <row r="112" spans="2:15" x14ac:dyDescent="0.2">
      <c r="B112" s="15">
        <v>15</v>
      </c>
      <c r="C112" s="12">
        <v>741</v>
      </c>
      <c r="D112" s="12">
        <v>721</v>
      </c>
      <c r="E112" s="12">
        <v>712</v>
      </c>
      <c r="F112" s="12">
        <v>703</v>
      </c>
      <c r="G112" s="34">
        <v>678</v>
      </c>
      <c r="H112" s="12">
        <v>572</v>
      </c>
      <c r="I112" s="12">
        <v>603</v>
      </c>
      <c r="J112" s="26"/>
      <c r="K112" s="12">
        <f t="shared" si="15"/>
        <v>711</v>
      </c>
      <c r="L112" s="12"/>
      <c r="M112" s="12">
        <f t="shared" si="16"/>
        <v>587.5</v>
      </c>
      <c r="N112" s="22">
        <v>15</v>
      </c>
      <c r="O112" s="43">
        <f t="shared" si="17"/>
        <v>-11.799999999999955</v>
      </c>
    </row>
    <row r="113" spans="2:15" x14ac:dyDescent="0.2">
      <c r="B113" s="16">
        <v>16</v>
      </c>
      <c r="C113" s="13">
        <v>726</v>
      </c>
      <c r="D113" s="13">
        <v>713</v>
      </c>
      <c r="E113" s="13">
        <v>703</v>
      </c>
      <c r="F113" s="13">
        <v>698</v>
      </c>
      <c r="G113" s="121">
        <v>679</v>
      </c>
      <c r="H113" s="13">
        <v>568</v>
      </c>
      <c r="I113" s="13">
        <v>600</v>
      </c>
      <c r="J113" s="27"/>
      <c r="K113" s="13">
        <f t="shared" si="15"/>
        <v>703.8</v>
      </c>
      <c r="L113" s="13"/>
      <c r="M113" s="13">
        <f t="shared" si="16"/>
        <v>584</v>
      </c>
      <c r="N113" s="23">
        <v>16</v>
      </c>
      <c r="O113" s="49">
        <f t="shared" si="17"/>
        <v>-7.2000000000000455</v>
      </c>
    </row>
    <row r="114" spans="2:15" x14ac:dyDescent="0.2">
      <c r="B114" s="15">
        <v>17</v>
      </c>
      <c r="C114" s="12">
        <v>721</v>
      </c>
      <c r="D114" s="12">
        <v>739</v>
      </c>
      <c r="E114" s="12">
        <v>708</v>
      </c>
      <c r="F114" s="12">
        <v>712</v>
      </c>
      <c r="G114" s="34">
        <v>697</v>
      </c>
      <c r="H114" s="12">
        <v>575</v>
      </c>
      <c r="I114" s="12">
        <v>621</v>
      </c>
      <c r="J114" s="26"/>
      <c r="K114" s="12">
        <f t="shared" si="15"/>
        <v>715.4</v>
      </c>
      <c r="L114" s="12"/>
      <c r="M114" s="12">
        <f t="shared" si="16"/>
        <v>598</v>
      </c>
      <c r="N114" s="22">
        <v>17</v>
      </c>
      <c r="O114" s="48">
        <f t="shared" si="17"/>
        <v>11.600000000000023</v>
      </c>
    </row>
    <row r="115" spans="2:15" x14ac:dyDescent="0.2">
      <c r="B115" s="15">
        <v>18</v>
      </c>
      <c r="C115" s="12">
        <v>844</v>
      </c>
      <c r="D115" s="12">
        <v>839</v>
      </c>
      <c r="E115" s="12">
        <v>836</v>
      </c>
      <c r="F115" s="12">
        <v>810</v>
      </c>
      <c r="G115" s="34">
        <v>778</v>
      </c>
      <c r="H115" s="12">
        <v>662</v>
      </c>
      <c r="I115" s="12">
        <v>655</v>
      </c>
      <c r="J115" s="26"/>
      <c r="K115" s="12">
        <f t="shared" si="15"/>
        <v>821.4</v>
      </c>
      <c r="L115" s="12"/>
      <c r="M115" s="12">
        <f t="shared" si="16"/>
        <v>658.5</v>
      </c>
      <c r="N115" s="22">
        <v>18</v>
      </c>
      <c r="O115" s="43">
        <f t="shared" si="17"/>
        <v>106</v>
      </c>
    </row>
    <row r="116" spans="2:15" x14ac:dyDescent="0.2">
      <c r="B116" s="15">
        <v>19</v>
      </c>
      <c r="C116" s="12">
        <v>889</v>
      </c>
      <c r="D116" s="12">
        <v>882</v>
      </c>
      <c r="E116" s="12">
        <v>867</v>
      </c>
      <c r="F116" s="12">
        <v>833</v>
      </c>
      <c r="G116" s="34">
        <v>786</v>
      </c>
      <c r="H116" s="12">
        <v>690</v>
      </c>
      <c r="I116" s="12">
        <v>720</v>
      </c>
      <c r="J116" s="26"/>
      <c r="K116" s="12">
        <f t="shared" si="15"/>
        <v>851.4</v>
      </c>
      <c r="L116" s="12"/>
      <c r="M116" s="12">
        <f t="shared" si="16"/>
        <v>705</v>
      </c>
      <c r="N116" s="22">
        <v>19</v>
      </c>
      <c r="O116" s="43">
        <f t="shared" si="17"/>
        <v>30</v>
      </c>
    </row>
    <row r="117" spans="2:15" x14ac:dyDescent="0.2">
      <c r="B117" s="16">
        <v>20</v>
      </c>
      <c r="C117" s="13">
        <v>880</v>
      </c>
      <c r="D117" s="13">
        <v>876</v>
      </c>
      <c r="E117" s="13">
        <v>864</v>
      </c>
      <c r="F117" s="13">
        <v>826</v>
      </c>
      <c r="G117" s="121">
        <v>765</v>
      </c>
      <c r="H117" s="13">
        <v>692</v>
      </c>
      <c r="I117" s="13">
        <v>755</v>
      </c>
      <c r="J117" s="27"/>
      <c r="K117" s="13">
        <f t="shared" si="15"/>
        <v>842.2</v>
      </c>
      <c r="L117" s="13"/>
      <c r="M117" s="13">
        <f t="shared" si="16"/>
        <v>723.5</v>
      </c>
      <c r="N117" s="23">
        <v>20</v>
      </c>
      <c r="O117" s="49">
        <f>K117-K116</f>
        <v>-9.1999999999999318</v>
      </c>
    </row>
    <row r="118" spans="2:15" x14ac:dyDescent="0.2">
      <c r="B118" s="15">
        <v>21</v>
      </c>
      <c r="C118" s="12">
        <v>872</v>
      </c>
      <c r="D118" s="12">
        <v>858</v>
      </c>
      <c r="E118" s="12">
        <v>850</v>
      </c>
      <c r="F118" s="12">
        <v>805</v>
      </c>
      <c r="G118" s="34">
        <v>748</v>
      </c>
      <c r="H118" s="12">
        <v>692</v>
      </c>
      <c r="I118" s="12">
        <v>741</v>
      </c>
      <c r="J118" s="26"/>
      <c r="K118" s="12">
        <f t="shared" si="15"/>
        <v>826.6</v>
      </c>
      <c r="L118" s="12"/>
      <c r="M118" s="12">
        <f t="shared" si="16"/>
        <v>716.5</v>
      </c>
      <c r="N118" s="22">
        <v>21</v>
      </c>
      <c r="O118" s="48">
        <f t="shared" si="17"/>
        <v>-15.600000000000023</v>
      </c>
    </row>
    <row r="119" spans="2:15" x14ac:dyDescent="0.2">
      <c r="B119" s="15">
        <v>22</v>
      </c>
      <c r="C119" s="12">
        <v>836</v>
      </c>
      <c r="D119" s="12">
        <v>818</v>
      </c>
      <c r="E119" s="12">
        <v>824</v>
      </c>
      <c r="F119" s="12">
        <v>779</v>
      </c>
      <c r="G119" s="34">
        <v>722</v>
      </c>
      <c r="H119" s="12">
        <v>673</v>
      </c>
      <c r="I119" s="12">
        <v>717</v>
      </c>
      <c r="J119" s="26"/>
      <c r="K119" s="12">
        <f t="shared" si="15"/>
        <v>795.8</v>
      </c>
      <c r="L119" s="12"/>
      <c r="M119" s="12">
        <f t="shared" si="16"/>
        <v>695</v>
      </c>
      <c r="N119" s="22">
        <v>22</v>
      </c>
      <c r="O119" s="43">
        <f t="shared" si="17"/>
        <v>-30.800000000000068</v>
      </c>
    </row>
    <row r="120" spans="2:15" x14ac:dyDescent="0.2">
      <c r="B120" s="15">
        <v>23</v>
      </c>
      <c r="C120" s="12">
        <v>770</v>
      </c>
      <c r="D120" s="12">
        <v>748</v>
      </c>
      <c r="E120" s="12">
        <v>751</v>
      </c>
      <c r="F120" s="12">
        <v>723</v>
      </c>
      <c r="G120" s="34">
        <v>694</v>
      </c>
      <c r="H120" s="12">
        <v>642</v>
      </c>
      <c r="I120" s="12">
        <v>667</v>
      </c>
      <c r="J120" s="26"/>
      <c r="K120" s="12">
        <f t="shared" si="15"/>
        <v>737.2</v>
      </c>
      <c r="L120" s="12"/>
      <c r="M120" s="12">
        <f t="shared" si="16"/>
        <v>654.5</v>
      </c>
      <c r="N120" s="22">
        <v>23</v>
      </c>
      <c r="O120" s="43">
        <f t="shared" si="17"/>
        <v>-58.599999999999909</v>
      </c>
    </row>
    <row r="121" spans="2:15" x14ac:dyDescent="0.2">
      <c r="B121" s="16">
        <v>24</v>
      </c>
      <c r="C121" s="12">
        <v>690</v>
      </c>
      <c r="D121" s="12">
        <v>665</v>
      </c>
      <c r="E121" s="12">
        <v>683</v>
      </c>
      <c r="F121" s="12">
        <v>642</v>
      </c>
      <c r="G121" s="34">
        <v>656</v>
      </c>
      <c r="H121" s="12">
        <v>587</v>
      </c>
      <c r="I121" s="12">
        <v>603</v>
      </c>
      <c r="J121" s="27"/>
      <c r="K121" s="12">
        <f t="shared" si="15"/>
        <v>667.2</v>
      </c>
      <c r="L121" s="13"/>
      <c r="M121" s="12">
        <f t="shared" si="16"/>
        <v>595</v>
      </c>
      <c r="N121" s="23">
        <v>24</v>
      </c>
      <c r="O121" s="49">
        <f t="shared" si="17"/>
        <v>-70</v>
      </c>
    </row>
    <row r="122" spans="2:15" ht="13.5" thickBot="1" x14ac:dyDescent="0.25">
      <c r="B122" s="17" t="s">
        <v>54</v>
      </c>
      <c r="C122" s="25">
        <f t="shared" ref="C122:I122" si="18">SUM(C98:C121)</f>
        <v>17578</v>
      </c>
      <c r="D122" s="25">
        <f t="shared" si="18"/>
        <v>17493</v>
      </c>
      <c r="E122" s="25">
        <f t="shared" si="18"/>
        <v>17383</v>
      </c>
      <c r="F122" s="25">
        <f t="shared" si="18"/>
        <v>16930</v>
      </c>
      <c r="G122" s="25">
        <f t="shared" si="18"/>
        <v>15827</v>
      </c>
      <c r="H122" s="25">
        <f t="shared" si="18"/>
        <v>14517</v>
      </c>
      <c r="I122" s="25">
        <f t="shared" si="18"/>
        <v>14494</v>
      </c>
      <c r="J122" s="25"/>
      <c r="K122" s="25">
        <f>SUM(K98:K121)</f>
        <v>17042.199999999997</v>
      </c>
      <c r="L122" s="25"/>
      <c r="M122" s="25">
        <f>SUM(M98:M121)</f>
        <v>14505.5</v>
      </c>
      <c r="N122" s="24"/>
      <c r="O122" s="44"/>
    </row>
    <row r="123" spans="2:15" ht="13.5" thickTop="1" x14ac:dyDescent="0.2">
      <c r="B123" t="s">
        <v>65</v>
      </c>
      <c r="C123">
        <v>52</v>
      </c>
      <c r="D123">
        <v>47</v>
      </c>
      <c r="E123">
        <v>48</v>
      </c>
      <c r="F123">
        <v>52</v>
      </c>
      <c r="G123">
        <v>57</v>
      </c>
      <c r="H123">
        <v>52</v>
      </c>
      <c r="I123">
        <v>51</v>
      </c>
      <c r="K123" s="110">
        <f>AVERAGE(C123:H123)</f>
        <v>51.333333333333336</v>
      </c>
      <c r="M123">
        <f>AVERAGE(H123:I123)</f>
        <v>51.5</v>
      </c>
    </row>
    <row r="124" spans="2:15" x14ac:dyDescent="0.2">
      <c r="B124" s="109" t="s">
        <v>66</v>
      </c>
      <c r="C124">
        <v>26</v>
      </c>
      <c r="D124">
        <v>22</v>
      </c>
      <c r="E124">
        <v>20</v>
      </c>
      <c r="F124">
        <v>23</v>
      </c>
      <c r="G124">
        <v>25</v>
      </c>
      <c r="H124">
        <v>23</v>
      </c>
      <c r="I124">
        <v>24</v>
      </c>
      <c r="K124" s="110">
        <f>AVERAGE(C124:H124)</f>
        <v>23.166666666666668</v>
      </c>
      <c r="M124" s="110">
        <f>AVERAGE(H124:I124)</f>
        <v>23.5</v>
      </c>
    </row>
    <row r="125" spans="2:15" x14ac:dyDescent="0.2">
      <c r="C125" s="33"/>
      <c r="D125" s="33"/>
    </row>
    <row r="126" spans="2:15" ht="15.75" x14ac:dyDescent="0.25">
      <c r="D126" s="33"/>
      <c r="G126" s="11" t="s">
        <v>60</v>
      </c>
    </row>
    <row r="127" spans="2:15" x14ac:dyDescent="0.2">
      <c r="C127">
        <f>I96+1</f>
        <v>27</v>
      </c>
      <c r="D127">
        <f>C127+1</f>
        <v>28</v>
      </c>
      <c r="E127">
        <v>29</v>
      </c>
      <c r="F127">
        <v>30</v>
      </c>
      <c r="G127">
        <v>31</v>
      </c>
      <c r="H127">
        <v>1</v>
      </c>
      <c r="I127">
        <v>2</v>
      </c>
    </row>
    <row r="128" spans="2:15" x14ac:dyDescent="0.2">
      <c r="B128" s="14" t="s">
        <v>53</v>
      </c>
      <c r="C128" s="18" t="s">
        <v>46</v>
      </c>
      <c r="D128" s="18" t="s">
        <v>47</v>
      </c>
      <c r="E128" s="18" t="s">
        <v>48</v>
      </c>
      <c r="F128" s="18" t="s">
        <v>49</v>
      </c>
      <c r="G128" s="18" t="s">
        <v>50</v>
      </c>
      <c r="H128" s="18" t="s">
        <v>51</v>
      </c>
      <c r="I128" s="18" t="s">
        <v>52</v>
      </c>
      <c r="J128" s="19"/>
      <c r="K128" s="299" t="s">
        <v>143</v>
      </c>
      <c r="L128" s="20"/>
      <c r="M128" s="299" t="s">
        <v>144</v>
      </c>
      <c r="N128" s="21" t="s">
        <v>53</v>
      </c>
      <c r="O128" s="42" t="s">
        <v>63</v>
      </c>
    </row>
    <row r="129" spans="2:15" x14ac:dyDescent="0.2">
      <c r="B129" s="31">
        <v>1</v>
      </c>
      <c r="C129" s="29">
        <v>558</v>
      </c>
      <c r="D129" s="29">
        <v>585</v>
      </c>
      <c r="E129" s="29">
        <v>570</v>
      </c>
      <c r="F129" s="29">
        <v>580</v>
      </c>
      <c r="G129" s="29">
        <v>590</v>
      </c>
      <c r="H129" s="29">
        <v>565</v>
      </c>
      <c r="I129" s="29">
        <v>760</v>
      </c>
      <c r="J129" s="30"/>
      <c r="K129" s="29">
        <f>AVERAGE(C129:G129)</f>
        <v>576.6</v>
      </c>
      <c r="L129" s="29"/>
      <c r="M129" s="29">
        <f>AVERAGE(H129:I129)</f>
        <v>662.5</v>
      </c>
      <c r="N129" s="32">
        <v>1</v>
      </c>
      <c r="O129" s="48">
        <f>K129-K152</f>
        <v>-28.199999999999932</v>
      </c>
    </row>
    <row r="130" spans="2:15" x14ac:dyDescent="0.2">
      <c r="B130" s="15">
        <v>2</v>
      </c>
      <c r="C130" s="12">
        <v>534</v>
      </c>
      <c r="D130" s="12">
        <v>559</v>
      </c>
      <c r="E130" s="12">
        <v>530</v>
      </c>
      <c r="F130" s="12">
        <v>535</v>
      </c>
      <c r="G130" s="12">
        <v>534</v>
      </c>
      <c r="H130" s="12">
        <v>532</v>
      </c>
      <c r="I130" s="12">
        <v>651</v>
      </c>
      <c r="J130" s="26"/>
      <c r="K130" s="12">
        <f t="shared" ref="K130:K152" si="19">AVERAGE(C130:G130)</f>
        <v>538.4</v>
      </c>
      <c r="L130" s="12"/>
      <c r="M130" s="12">
        <f t="shared" ref="M130:M152" si="20">AVERAGE(H130:I130)</f>
        <v>591.5</v>
      </c>
      <c r="N130" s="22">
        <v>2</v>
      </c>
      <c r="O130" s="43">
        <f>K130-K129</f>
        <v>-38.200000000000045</v>
      </c>
    </row>
    <row r="131" spans="2:15" x14ac:dyDescent="0.2">
      <c r="B131" s="15">
        <v>3</v>
      </c>
      <c r="C131" s="12">
        <v>521</v>
      </c>
      <c r="D131" s="12">
        <v>544</v>
      </c>
      <c r="E131" s="12">
        <v>520</v>
      </c>
      <c r="F131" s="12">
        <v>516</v>
      </c>
      <c r="G131" s="12">
        <v>517</v>
      </c>
      <c r="H131" s="12">
        <v>506</v>
      </c>
      <c r="I131" s="12">
        <v>690</v>
      </c>
      <c r="J131" s="26"/>
      <c r="K131" s="12">
        <f t="shared" si="19"/>
        <v>523.6</v>
      </c>
      <c r="L131" s="12"/>
      <c r="M131" s="12">
        <f t="shared" si="20"/>
        <v>598</v>
      </c>
      <c r="N131" s="22">
        <v>3</v>
      </c>
      <c r="O131" s="43">
        <f t="shared" ref="O131:O152" si="21">K131-K130</f>
        <v>-14.799999999999955</v>
      </c>
    </row>
    <row r="132" spans="2:15" x14ac:dyDescent="0.2">
      <c r="B132" s="16">
        <v>4</v>
      </c>
      <c r="C132" s="13">
        <v>504</v>
      </c>
      <c r="D132" s="13">
        <v>542</v>
      </c>
      <c r="E132" s="13">
        <v>515</v>
      </c>
      <c r="F132" s="13">
        <v>524</v>
      </c>
      <c r="G132" s="13">
        <v>509</v>
      </c>
      <c r="H132" s="13">
        <v>486</v>
      </c>
      <c r="I132" s="13">
        <v>672</v>
      </c>
      <c r="J132" s="27"/>
      <c r="K132" s="13">
        <f t="shared" si="19"/>
        <v>518.79999999999995</v>
      </c>
      <c r="L132" s="13"/>
      <c r="M132" s="13">
        <f t="shared" si="20"/>
        <v>579</v>
      </c>
      <c r="N132" s="23">
        <v>4</v>
      </c>
      <c r="O132" s="49">
        <f t="shared" si="21"/>
        <v>-4.8000000000000682</v>
      </c>
    </row>
    <row r="133" spans="2:15" x14ac:dyDescent="0.2">
      <c r="B133" s="31">
        <v>5</v>
      </c>
      <c r="C133" s="29">
        <v>521</v>
      </c>
      <c r="D133" s="29">
        <v>535</v>
      </c>
      <c r="E133" s="29">
        <v>546</v>
      </c>
      <c r="F133" s="29">
        <v>525</v>
      </c>
      <c r="G133" s="12">
        <v>510</v>
      </c>
      <c r="H133" s="12">
        <v>488</v>
      </c>
      <c r="I133" s="12">
        <v>659</v>
      </c>
      <c r="J133" s="30"/>
      <c r="K133" s="29">
        <f t="shared" si="19"/>
        <v>527.4</v>
      </c>
      <c r="L133" s="29"/>
      <c r="M133" s="29">
        <f t="shared" si="20"/>
        <v>573.5</v>
      </c>
      <c r="N133" s="32">
        <v>5</v>
      </c>
      <c r="O133" s="48">
        <f t="shared" si="21"/>
        <v>8.6000000000000227</v>
      </c>
    </row>
    <row r="134" spans="2:15" x14ac:dyDescent="0.2">
      <c r="B134" s="15">
        <v>6</v>
      </c>
      <c r="C134" s="12">
        <v>557</v>
      </c>
      <c r="D134" s="12">
        <v>580</v>
      </c>
      <c r="E134" s="12">
        <v>575</v>
      </c>
      <c r="F134" s="12">
        <v>559</v>
      </c>
      <c r="G134" s="12">
        <v>525</v>
      </c>
      <c r="H134" s="12">
        <v>487</v>
      </c>
      <c r="I134" s="12">
        <v>660</v>
      </c>
      <c r="J134" s="26"/>
      <c r="K134" s="12">
        <f t="shared" si="19"/>
        <v>559.20000000000005</v>
      </c>
      <c r="L134" s="12"/>
      <c r="M134" s="12">
        <f t="shared" si="20"/>
        <v>573.5</v>
      </c>
      <c r="N134" s="22">
        <v>6</v>
      </c>
      <c r="O134" s="43">
        <f t="shared" si="21"/>
        <v>31.800000000000068</v>
      </c>
    </row>
    <row r="135" spans="2:15" x14ac:dyDescent="0.2">
      <c r="B135" s="15">
        <v>7</v>
      </c>
      <c r="C135" s="12">
        <v>622</v>
      </c>
      <c r="D135" s="12">
        <v>639</v>
      </c>
      <c r="E135" s="12">
        <v>619</v>
      </c>
      <c r="F135" s="12">
        <v>614</v>
      </c>
      <c r="G135" s="12">
        <v>554</v>
      </c>
      <c r="H135" s="12">
        <v>489</v>
      </c>
      <c r="I135" s="12">
        <v>760</v>
      </c>
      <c r="J135" s="26"/>
      <c r="K135" s="12">
        <f t="shared" si="19"/>
        <v>609.6</v>
      </c>
      <c r="L135" s="12"/>
      <c r="M135" s="12">
        <f t="shared" si="20"/>
        <v>624.5</v>
      </c>
      <c r="N135" s="22">
        <v>7</v>
      </c>
      <c r="O135" s="43">
        <f t="shared" si="21"/>
        <v>50.399999999999977</v>
      </c>
    </row>
    <row r="136" spans="2:15" x14ac:dyDescent="0.2">
      <c r="B136" s="16">
        <v>8</v>
      </c>
      <c r="C136" s="13">
        <v>653</v>
      </c>
      <c r="D136" s="13">
        <v>672</v>
      </c>
      <c r="E136" s="13">
        <v>668</v>
      </c>
      <c r="F136" s="13">
        <v>638</v>
      </c>
      <c r="G136" s="13">
        <v>569</v>
      </c>
      <c r="H136" s="13">
        <v>487</v>
      </c>
      <c r="I136" s="13">
        <v>747</v>
      </c>
      <c r="J136" s="27"/>
      <c r="K136" s="13">
        <f t="shared" si="19"/>
        <v>640</v>
      </c>
      <c r="L136" s="13"/>
      <c r="M136" s="13">
        <f t="shared" si="20"/>
        <v>617</v>
      </c>
      <c r="N136" s="23">
        <v>8</v>
      </c>
      <c r="O136" s="49">
        <f t="shared" si="21"/>
        <v>30.399999999999977</v>
      </c>
    </row>
    <row r="137" spans="2:15" x14ac:dyDescent="0.2">
      <c r="B137" s="15">
        <v>9</v>
      </c>
      <c r="C137" s="12">
        <v>695</v>
      </c>
      <c r="D137" s="12">
        <v>702</v>
      </c>
      <c r="E137" s="12">
        <v>694</v>
      </c>
      <c r="F137" s="12">
        <v>677</v>
      </c>
      <c r="G137" s="12">
        <v>606</v>
      </c>
      <c r="H137" s="12">
        <v>495</v>
      </c>
      <c r="I137" s="12">
        <v>827</v>
      </c>
      <c r="J137" s="26"/>
      <c r="K137" s="12">
        <f t="shared" si="19"/>
        <v>674.8</v>
      </c>
      <c r="L137" s="12"/>
      <c r="M137" s="12">
        <f t="shared" si="20"/>
        <v>661</v>
      </c>
      <c r="N137" s="22">
        <v>9</v>
      </c>
      <c r="O137" s="48">
        <f t="shared" si="21"/>
        <v>34.799999999999955</v>
      </c>
    </row>
    <row r="138" spans="2:15" x14ac:dyDescent="0.2">
      <c r="B138" s="15">
        <v>10</v>
      </c>
      <c r="C138" s="12">
        <v>717</v>
      </c>
      <c r="D138" s="12">
        <v>726</v>
      </c>
      <c r="E138" s="12">
        <v>699</v>
      </c>
      <c r="F138" s="12">
        <v>698</v>
      </c>
      <c r="G138" s="12">
        <v>627</v>
      </c>
      <c r="H138" s="12">
        <v>512</v>
      </c>
      <c r="I138" s="12">
        <v>831</v>
      </c>
      <c r="J138" s="26"/>
      <c r="K138" s="12">
        <f t="shared" si="19"/>
        <v>693.4</v>
      </c>
      <c r="L138" s="12"/>
      <c r="M138" s="12">
        <f t="shared" si="20"/>
        <v>671.5</v>
      </c>
      <c r="N138" s="22">
        <v>10</v>
      </c>
      <c r="O138" s="43">
        <f t="shared" si="21"/>
        <v>18.600000000000023</v>
      </c>
    </row>
    <row r="139" spans="2:15" x14ac:dyDescent="0.2">
      <c r="B139" s="15">
        <v>11</v>
      </c>
      <c r="C139" s="12">
        <v>716</v>
      </c>
      <c r="D139" s="12">
        <v>737</v>
      </c>
      <c r="E139" s="12">
        <v>697</v>
      </c>
      <c r="F139" s="12">
        <v>705</v>
      </c>
      <c r="G139" s="12">
        <v>640</v>
      </c>
      <c r="H139" s="12">
        <v>532</v>
      </c>
      <c r="I139" s="12">
        <v>819</v>
      </c>
      <c r="J139" s="26"/>
      <c r="K139" s="12">
        <f t="shared" si="19"/>
        <v>699</v>
      </c>
      <c r="L139" s="12"/>
      <c r="M139" s="12">
        <f t="shared" si="20"/>
        <v>675.5</v>
      </c>
      <c r="N139" s="22">
        <v>11</v>
      </c>
      <c r="O139" s="43">
        <f t="shared" si="21"/>
        <v>5.6000000000000227</v>
      </c>
    </row>
    <row r="140" spans="2:15" x14ac:dyDescent="0.2">
      <c r="B140" s="16">
        <v>12</v>
      </c>
      <c r="C140" s="13">
        <v>722</v>
      </c>
      <c r="D140" s="13">
        <v>737</v>
      </c>
      <c r="E140" s="13">
        <v>702</v>
      </c>
      <c r="F140" s="13">
        <v>705</v>
      </c>
      <c r="G140" s="13">
        <v>629</v>
      </c>
      <c r="H140" s="13">
        <v>546</v>
      </c>
      <c r="I140" s="13">
        <v>820</v>
      </c>
      <c r="J140" s="27"/>
      <c r="K140" s="13">
        <f t="shared" si="19"/>
        <v>699</v>
      </c>
      <c r="L140" s="13"/>
      <c r="M140" s="13">
        <f t="shared" si="20"/>
        <v>683</v>
      </c>
      <c r="N140" s="23">
        <v>12</v>
      </c>
      <c r="O140" s="49">
        <f t="shared" si="21"/>
        <v>0</v>
      </c>
    </row>
    <row r="141" spans="2:15" x14ac:dyDescent="0.2">
      <c r="B141" s="15">
        <v>13</v>
      </c>
      <c r="C141" s="12">
        <v>712</v>
      </c>
      <c r="D141" s="12">
        <v>722</v>
      </c>
      <c r="E141" s="12">
        <v>691</v>
      </c>
      <c r="F141" s="12">
        <v>688</v>
      </c>
      <c r="G141" s="12">
        <v>619</v>
      </c>
      <c r="H141" s="12">
        <v>535</v>
      </c>
      <c r="I141" s="12">
        <v>783</v>
      </c>
      <c r="J141" s="26"/>
      <c r="K141" s="12">
        <f t="shared" si="19"/>
        <v>686.4</v>
      </c>
      <c r="L141" s="12"/>
      <c r="M141" s="12">
        <f t="shared" si="20"/>
        <v>659</v>
      </c>
      <c r="N141" s="22">
        <v>13</v>
      </c>
      <c r="O141" s="48">
        <f t="shared" si="21"/>
        <v>-12.600000000000023</v>
      </c>
    </row>
    <row r="142" spans="2:15" x14ac:dyDescent="0.2">
      <c r="B142" s="15">
        <v>14</v>
      </c>
      <c r="C142" s="12">
        <v>694</v>
      </c>
      <c r="D142" s="12">
        <v>711</v>
      </c>
      <c r="E142" s="12">
        <v>690</v>
      </c>
      <c r="F142" s="12">
        <v>711</v>
      </c>
      <c r="G142" s="12">
        <v>608</v>
      </c>
      <c r="H142" s="12">
        <v>531</v>
      </c>
      <c r="I142" s="12">
        <v>761</v>
      </c>
      <c r="J142" s="26"/>
      <c r="K142" s="12">
        <f t="shared" si="19"/>
        <v>682.8</v>
      </c>
      <c r="L142" s="12"/>
      <c r="M142" s="12">
        <f t="shared" si="20"/>
        <v>646</v>
      </c>
      <c r="N142" s="22">
        <v>14</v>
      </c>
      <c r="O142" s="43">
        <f t="shared" si="21"/>
        <v>-3.6000000000000227</v>
      </c>
    </row>
    <row r="143" spans="2:15" x14ac:dyDescent="0.2">
      <c r="B143" s="15">
        <v>15</v>
      </c>
      <c r="C143" s="12">
        <v>689</v>
      </c>
      <c r="D143" s="12">
        <v>699</v>
      </c>
      <c r="E143" s="12">
        <v>676</v>
      </c>
      <c r="F143" s="12">
        <v>699</v>
      </c>
      <c r="G143" s="12">
        <v>597</v>
      </c>
      <c r="H143" s="12">
        <v>523</v>
      </c>
      <c r="I143" s="12">
        <v>734</v>
      </c>
      <c r="J143" s="26"/>
      <c r="K143" s="12">
        <f t="shared" si="19"/>
        <v>672</v>
      </c>
      <c r="L143" s="12"/>
      <c r="M143" s="12">
        <f t="shared" si="20"/>
        <v>628.5</v>
      </c>
      <c r="N143" s="22">
        <v>15</v>
      </c>
      <c r="O143" s="43">
        <f t="shared" si="21"/>
        <v>-10.799999999999955</v>
      </c>
    </row>
    <row r="144" spans="2:15" x14ac:dyDescent="0.2">
      <c r="B144" s="16">
        <v>16</v>
      </c>
      <c r="C144" s="13">
        <v>672</v>
      </c>
      <c r="D144" s="13">
        <v>685</v>
      </c>
      <c r="E144" s="13">
        <v>674</v>
      </c>
      <c r="F144" s="13">
        <v>685</v>
      </c>
      <c r="G144" s="13">
        <v>593</v>
      </c>
      <c r="H144" s="13">
        <v>513</v>
      </c>
      <c r="I144" s="13">
        <v>741</v>
      </c>
      <c r="J144" s="27"/>
      <c r="K144" s="13">
        <f t="shared" si="19"/>
        <v>661.8</v>
      </c>
      <c r="L144" s="13"/>
      <c r="M144" s="13">
        <f t="shared" si="20"/>
        <v>627</v>
      </c>
      <c r="N144" s="23">
        <v>16</v>
      </c>
      <c r="O144" s="49">
        <f t="shared" si="21"/>
        <v>-10.200000000000045</v>
      </c>
    </row>
    <row r="145" spans="1:15" x14ac:dyDescent="0.2">
      <c r="B145" s="15">
        <v>17</v>
      </c>
      <c r="C145" s="12">
        <v>665</v>
      </c>
      <c r="D145" s="12">
        <v>679</v>
      </c>
      <c r="E145" s="12">
        <v>667</v>
      </c>
      <c r="F145" s="12">
        <v>679</v>
      </c>
      <c r="G145" s="12">
        <v>597</v>
      </c>
      <c r="H145" s="12">
        <v>530</v>
      </c>
      <c r="I145" s="12">
        <v>762</v>
      </c>
      <c r="J145" s="26"/>
      <c r="K145" s="12">
        <f t="shared" si="19"/>
        <v>657.4</v>
      </c>
      <c r="L145" s="12"/>
      <c r="M145" s="12">
        <f t="shared" si="20"/>
        <v>646</v>
      </c>
      <c r="N145" s="22">
        <v>17</v>
      </c>
      <c r="O145" s="48">
        <f t="shared" si="21"/>
        <v>-4.3999999999999773</v>
      </c>
    </row>
    <row r="146" spans="1:15" x14ac:dyDescent="0.2">
      <c r="B146" s="15">
        <v>18</v>
      </c>
      <c r="C146" s="12">
        <v>767</v>
      </c>
      <c r="D146" s="12">
        <v>760</v>
      </c>
      <c r="E146" s="12">
        <v>759</v>
      </c>
      <c r="F146" s="12">
        <v>760</v>
      </c>
      <c r="G146" s="12">
        <v>678</v>
      </c>
      <c r="H146" s="12">
        <v>601</v>
      </c>
      <c r="I146" s="12">
        <v>887</v>
      </c>
      <c r="J146" s="26"/>
      <c r="K146" s="12">
        <f t="shared" si="19"/>
        <v>744.8</v>
      </c>
      <c r="L146" s="12"/>
      <c r="M146" s="12">
        <f t="shared" si="20"/>
        <v>744</v>
      </c>
      <c r="N146" s="22">
        <v>18</v>
      </c>
      <c r="O146" s="43">
        <f t="shared" si="21"/>
        <v>87.399999999999977</v>
      </c>
    </row>
    <row r="147" spans="1:15" x14ac:dyDescent="0.2">
      <c r="B147" s="15">
        <v>19</v>
      </c>
      <c r="C147" s="12">
        <v>812</v>
      </c>
      <c r="D147" s="12">
        <v>814</v>
      </c>
      <c r="E147" s="12">
        <v>797</v>
      </c>
      <c r="F147" s="12">
        <v>814</v>
      </c>
      <c r="G147" s="12">
        <v>740</v>
      </c>
      <c r="H147" s="12">
        <v>660</v>
      </c>
      <c r="I147" s="12">
        <v>928</v>
      </c>
      <c r="J147" s="26"/>
      <c r="K147" s="12">
        <f t="shared" si="19"/>
        <v>795.4</v>
      </c>
      <c r="L147" s="12"/>
      <c r="M147" s="12">
        <f t="shared" si="20"/>
        <v>794</v>
      </c>
      <c r="N147" s="22">
        <v>19</v>
      </c>
      <c r="O147" s="43">
        <f t="shared" si="21"/>
        <v>50.600000000000023</v>
      </c>
    </row>
    <row r="148" spans="1:15" x14ac:dyDescent="0.2">
      <c r="B148" s="16">
        <v>20</v>
      </c>
      <c r="C148" s="13">
        <v>800</v>
      </c>
      <c r="D148" s="13">
        <v>809</v>
      </c>
      <c r="E148" s="13">
        <v>793</v>
      </c>
      <c r="F148" s="13">
        <v>809</v>
      </c>
      <c r="G148" s="13">
        <v>721</v>
      </c>
      <c r="H148" s="13">
        <v>664</v>
      </c>
      <c r="I148" s="13">
        <v>932</v>
      </c>
      <c r="J148" s="27"/>
      <c r="K148" s="13">
        <f t="shared" si="19"/>
        <v>786.4</v>
      </c>
      <c r="L148" s="13"/>
      <c r="M148" s="13">
        <f t="shared" si="20"/>
        <v>798</v>
      </c>
      <c r="N148" s="23">
        <v>20</v>
      </c>
      <c r="O148" s="49">
        <f t="shared" si="21"/>
        <v>-9</v>
      </c>
    </row>
    <row r="149" spans="1:15" x14ac:dyDescent="0.2">
      <c r="B149" s="15">
        <v>21</v>
      </c>
      <c r="C149" s="12">
        <v>788</v>
      </c>
      <c r="D149" s="12">
        <v>798</v>
      </c>
      <c r="E149" s="12">
        <v>780</v>
      </c>
      <c r="F149" s="12">
        <v>798</v>
      </c>
      <c r="G149" s="12">
        <v>686</v>
      </c>
      <c r="H149" s="12">
        <v>652</v>
      </c>
      <c r="I149" s="12">
        <v>893</v>
      </c>
      <c r="J149" s="26"/>
      <c r="K149" s="12">
        <f t="shared" si="19"/>
        <v>770</v>
      </c>
      <c r="L149" s="12"/>
      <c r="M149" s="12">
        <f t="shared" si="20"/>
        <v>772.5</v>
      </c>
      <c r="N149" s="22">
        <v>21</v>
      </c>
      <c r="O149" s="48">
        <f t="shared" si="21"/>
        <v>-16.399999999999977</v>
      </c>
    </row>
    <row r="150" spans="1:15" x14ac:dyDescent="0.2">
      <c r="B150" s="15">
        <v>22</v>
      </c>
      <c r="C150" s="12">
        <v>760</v>
      </c>
      <c r="D150" s="12">
        <v>771</v>
      </c>
      <c r="E150" s="12">
        <v>729</v>
      </c>
      <c r="F150" s="12">
        <v>771</v>
      </c>
      <c r="G150" s="12">
        <v>654</v>
      </c>
      <c r="H150" s="12">
        <v>639</v>
      </c>
      <c r="I150" s="12">
        <v>860</v>
      </c>
      <c r="J150" s="26"/>
      <c r="K150" s="12">
        <f t="shared" si="19"/>
        <v>737</v>
      </c>
      <c r="L150" s="12"/>
      <c r="M150" s="12">
        <f t="shared" si="20"/>
        <v>749.5</v>
      </c>
      <c r="N150" s="22">
        <v>22</v>
      </c>
      <c r="O150" s="43">
        <f t="shared" si="21"/>
        <v>-33</v>
      </c>
    </row>
    <row r="151" spans="1:15" x14ac:dyDescent="0.2">
      <c r="B151" s="15">
        <v>23</v>
      </c>
      <c r="C151" s="12">
        <v>674</v>
      </c>
      <c r="D151" s="12">
        <v>681</v>
      </c>
      <c r="E151" s="12">
        <v>666</v>
      </c>
      <c r="F151" s="12">
        <v>681</v>
      </c>
      <c r="G151" s="12">
        <v>622</v>
      </c>
      <c r="H151" s="12">
        <v>614</v>
      </c>
      <c r="I151" s="12">
        <v>833</v>
      </c>
      <c r="J151" s="26"/>
      <c r="K151" s="12">
        <f t="shared" si="19"/>
        <v>664.8</v>
      </c>
      <c r="L151" s="12"/>
      <c r="M151" s="12">
        <f t="shared" si="20"/>
        <v>723.5</v>
      </c>
      <c r="N151" s="22">
        <v>23</v>
      </c>
      <c r="O151" s="43">
        <f t="shared" si="21"/>
        <v>-72.200000000000045</v>
      </c>
    </row>
    <row r="152" spans="1:15" x14ac:dyDescent="0.2">
      <c r="B152" s="16">
        <v>24</v>
      </c>
      <c r="C152" s="12">
        <v>630</v>
      </c>
      <c r="D152" s="12">
        <v>600</v>
      </c>
      <c r="E152" s="12">
        <v>608</v>
      </c>
      <c r="F152" s="12">
        <v>600</v>
      </c>
      <c r="G152" s="13">
        <v>586</v>
      </c>
      <c r="H152" s="13">
        <v>564</v>
      </c>
      <c r="I152" s="13">
        <v>748</v>
      </c>
      <c r="J152" s="27"/>
      <c r="K152" s="12">
        <f t="shared" si="19"/>
        <v>604.79999999999995</v>
      </c>
      <c r="L152" s="13"/>
      <c r="M152" s="12">
        <f t="shared" si="20"/>
        <v>656</v>
      </c>
      <c r="N152" s="23">
        <v>24</v>
      </c>
      <c r="O152" s="49">
        <f t="shared" si="21"/>
        <v>-60</v>
      </c>
    </row>
    <row r="153" spans="1:15" ht="13.5" thickBot="1" x14ac:dyDescent="0.25">
      <c r="B153" s="17" t="s">
        <v>54</v>
      </c>
      <c r="C153" s="25">
        <f t="shared" ref="C153:I153" si="22">SUM(C129:C152)</f>
        <v>15983</v>
      </c>
      <c r="D153" s="25">
        <f t="shared" si="22"/>
        <v>16287</v>
      </c>
      <c r="E153" s="25">
        <f t="shared" si="22"/>
        <v>15865</v>
      </c>
      <c r="F153" s="25">
        <f t="shared" si="22"/>
        <v>15971</v>
      </c>
      <c r="G153" s="25">
        <f t="shared" si="22"/>
        <v>14511</v>
      </c>
      <c r="H153" s="25">
        <f t="shared" si="22"/>
        <v>13151</v>
      </c>
      <c r="I153" s="25">
        <f t="shared" si="22"/>
        <v>18758</v>
      </c>
      <c r="J153" s="25"/>
      <c r="K153" s="25">
        <f>SUM(K129:K152)</f>
        <v>15723.399999999996</v>
      </c>
      <c r="L153" s="25"/>
      <c r="M153" s="25">
        <f>SUM(M129:M152)</f>
        <v>15954.5</v>
      </c>
      <c r="N153" s="24"/>
      <c r="O153" s="44"/>
    </row>
    <row r="154" spans="1:15" ht="13.5" thickTop="1" x14ac:dyDescent="0.2">
      <c r="B154" t="s">
        <v>65</v>
      </c>
      <c r="C154">
        <v>59</v>
      </c>
      <c r="D154">
        <v>60</v>
      </c>
      <c r="E154">
        <v>63</v>
      </c>
      <c r="F154">
        <v>69</v>
      </c>
      <c r="G154">
        <v>67</v>
      </c>
      <c r="H154">
        <v>67</v>
      </c>
      <c r="I154">
        <v>60</v>
      </c>
      <c r="K154" s="110">
        <f>AVERAGE(C154:H154)</f>
        <v>64.166666666666671</v>
      </c>
      <c r="M154">
        <f>AVERAGE(H154:I154)</f>
        <v>63.5</v>
      </c>
    </row>
    <row r="155" spans="1:15" x14ac:dyDescent="0.2">
      <c r="B155" s="109" t="s">
        <v>66</v>
      </c>
      <c r="C155">
        <v>30</v>
      </c>
      <c r="D155">
        <v>31</v>
      </c>
      <c r="E155">
        <v>39</v>
      </c>
      <c r="F155">
        <v>37</v>
      </c>
      <c r="G155">
        <v>36</v>
      </c>
      <c r="H155">
        <v>43</v>
      </c>
      <c r="I155">
        <v>35</v>
      </c>
      <c r="K155" s="110">
        <f>AVERAGE(C155:H155)</f>
        <v>36</v>
      </c>
      <c r="M155" s="110">
        <f>AVERAGE(H155:I155)</f>
        <v>39</v>
      </c>
    </row>
    <row r="156" spans="1:15" x14ac:dyDescent="0.2">
      <c r="B156" s="109"/>
      <c r="K156" s="110"/>
      <c r="M156" s="110"/>
    </row>
    <row r="159" spans="1:15" ht="15.75" x14ac:dyDescent="0.25">
      <c r="A159" s="10"/>
      <c r="B159" s="122">
        <f>A1</f>
        <v>36495</v>
      </c>
      <c r="C159" s="10"/>
      <c r="D159" s="10"/>
      <c r="E159" s="10"/>
      <c r="F159" s="10"/>
      <c r="G159" s="11" t="s">
        <v>59</v>
      </c>
      <c r="H159" s="10"/>
      <c r="I159" s="10"/>
      <c r="J159" s="10"/>
      <c r="K159" s="10"/>
      <c r="L159" s="10"/>
      <c r="M159" s="10"/>
      <c r="N159" s="10"/>
    </row>
    <row r="160" spans="1:15" x14ac:dyDescent="0.2">
      <c r="F160" t="s">
        <v>61</v>
      </c>
    </row>
    <row r="161" spans="2:15" x14ac:dyDescent="0.2">
      <c r="B161" t="s">
        <v>177</v>
      </c>
      <c r="C161">
        <v>0.95</v>
      </c>
    </row>
    <row r="162" spans="2:15" x14ac:dyDescent="0.2">
      <c r="B162" s="14" t="s">
        <v>53</v>
      </c>
      <c r="C162" s="18" t="s">
        <v>46</v>
      </c>
      <c r="D162" s="18" t="s">
        <v>47</v>
      </c>
      <c r="E162" s="18" t="s">
        <v>48</v>
      </c>
      <c r="F162" s="18" t="s">
        <v>49</v>
      </c>
      <c r="G162" s="18" t="s">
        <v>50</v>
      </c>
      <c r="H162" s="18" t="s">
        <v>51</v>
      </c>
      <c r="I162" s="18" t="s">
        <v>52</v>
      </c>
      <c r="J162" s="19"/>
      <c r="K162" s="299" t="s">
        <v>143</v>
      </c>
      <c r="L162" s="20"/>
      <c r="M162" s="299" t="s">
        <v>144</v>
      </c>
      <c r="N162" s="21" t="s">
        <v>53</v>
      </c>
      <c r="O162" s="42" t="s">
        <v>63</v>
      </c>
    </row>
    <row r="163" spans="2:15" x14ac:dyDescent="0.2">
      <c r="B163" s="31">
        <v>1</v>
      </c>
      <c r="C163" s="29">
        <f t="shared" ref="C163:I172" si="23">AVERAGE(C5,C98,C67,C36,C129)*$C$161</f>
        <v>549.1</v>
      </c>
      <c r="D163" s="29">
        <f t="shared" si="23"/>
        <v>573.41999999999996</v>
      </c>
      <c r="E163" s="29">
        <f t="shared" si="23"/>
        <v>574.75</v>
      </c>
      <c r="F163" s="29">
        <f t="shared" si="23"/>
        <v>582.35</v>
      </c>
      <c r="G163" s="29">
        <f t="shared" si="23"/>
        <v>575.69999999999993</v>
      </c>
      <c r="H163" s="29">
        <f t="shared" si="23"/>
        <v>573.6099999999999</v>
      </c>
      <c r="I163" s="29">
        <f t="shared" si="23"/>
        <v>586.53</v>
      </c>
      <c r="J163" s="30"/>
      <c r="K163" s="29">
        <f>AVERAGE(C163:G163)</f>
        <v>571.06399999999996</v>
      </c>
      <c r="L163" s="29"/>
      <c r="M163" s="29">
        <f t="shared" ref="M163:M186" si="24">AVERAGE(M5,M98,M67,M36)</f>
        <v>597.625</v>
      </c>
      <c r="N163" s="32">
        <v>1</v>
      </c>
      <c r="O163" s="48">
        <f>K163-K186</f>
        <v>-47.34800000000007</v>
      </c>
    </row>
    <row r="164" spans="2:15" x14ac:dyDescent="0.2">
      <c r="B164" s="15">
        <v>2</v>
      </c>
      <c r="C164" s="12">
        <f t="shared" si="23"/>
        <v>529.72</v>
      </c>
      <c r="D164" s="12">
        <f t="shared" si="23"/>
        <v>554.2299999999999</v>
      </c>
      <c r="E164" s="12">
        <f t="shared" si="23"/>
        <v>550.24</v>
      </c>
      <c r="F164" s="12">
        <f t="shared" si="23"/>
        <v>550.42999999999995</v>
      </c>
      <c r="G164" s="12">
        <f t="shared" si="23"/>
        <v>545.1099999999999</v>
      </c>
      <c r="H164" s="12">
        <f t="shared" si="23"/>
        <v>552.14</v>
      </c>
      <c r="I164" s="12">
        <f t="shared" si="23"/>
        <v>549.4799999999999</v>
      </c>
      <c r="J164" s="26"/>
      <c r="K164" s="12">
        <f t="shared" ref="K164:K186" si="25">AVERAGE(C164:G164)</f>
        <v>545.94599999999991</v>
      </c>
      <c r="L164" s="12"/>
      <c r="M164" s="12">
        <f t="shared" si="24"/>
        <v>576.875</v>
      </c>
      <c r="N164" s="22">
        <v>2</v>
      </c>
      <c r="O164" s="43">
        <f>K164-K163</f>
        <v>-25.118000000000052</v>
      </c>
    </row>
    <row r="165" spans="2:15" x14ac:dyDescent="0.2">
      <c r="B165" s="15">
        <v>3</v>
      </c>
      <c r="C165" s="12">
        <f t="shared" si="23"/>
        <v>521.54999999999995</v>
      </c>
      <c r="D165" s="12">
        <f t="shared" si="23"/>
        <v>544.91999999999996</v>
      </c>
      <c r="E165" s="12">
        <f t="shared" si="23"/>
        <v>534.28</v>
      </c>
      <c r="F165" s="12">
        <f t="shared" si="23"/>
        <v>540.54999999999995</v>
      </c>
      <c r="G165" s="12">
        <f t="shared" si="23"/>
        <v>537.13</v>
      </c>
      <c r="H165" s="12">
        <f t="shared" si="23"/>
        <v>533.52</v>
      </c>
      <c r="I165" s="12">
        <f t="shared" si="23"/>
        <v>549.8599999999999</v>
      </c>
      <c r="J165" s="26"/>
      <c r="K165" s="12">
        <f t="shared" si="25"/>
        <v>535.68599999999992</v>
      </c>
      <c r="L165" s="12"/>
      <c r="M165" s="12">
        <f t="shared" si="24"/>
        <v>563.25</v>
      </c>
      <c r="N165" s="22">
        <v>3</v>
      </c>
      <c r="O165" s="43">
        <f t="shared" ref="O165:O186" si="26">K165-K164</f>
        <v>-10.259999999999991</v>
      </c>
    </row>
    <row r="166" spans="2:15" x14ac:dyDescent="0.2">
      <c r="B166" s="16">
        <v>4</v>
      </c>
      <c r="C166" s="13">
        <f t="shared" si="23"/>
        <v>520.9799999999999</v>
      </c>
      <c r="D166" s="13">
        <f t="shared" si="23"/>
        <v>538.65</v>
      </c>
      <c r="E166" s="13">
        <f t="shared" si="23"/>
        <v>543.02</v>
      </c>
      <c r="F166" s="13">
        <f t="shared" si="23"/>
        <v>539.03</v>
      </c>
      <c r="G166" s="13">
        <f t="shared" si="23"/>
        <v>532.19000000000005</v>
      </c>
      <c r="H166" s="13">
        <f t="shared" si="23"/>
        <v>522.12</v>
      </c>
      <c r="I166" s="13">
        <f t="shared" si="23"/>
        <v>537.13</v>
      </c>
      <c r="J166" s="27"/>
      <c r="K166" s="13">
        <f t="shared" si="25"/>
        <v>534.774</v>
      </c>
      <c r="L166" s="13"/>
      <c r="M166" s="13">
        <f t="shared" si="24"/>
        <v>552.125</v>
      </c>
      <c r="N166" s="23">
        <v>4</v>
      </c>
      <c r="O166" s="49">
        <f t="shared" si="26"/>
        <v>-0.91199999999992087</v>
      </c>
    </row>
    <row r="167" spans="2:15" x14ac:dyDescent="0.2">
      <c r="B167" s="31">
        <v>5</v>
      </c>
      <c r="C167" s="29">
        <f t="shared" si="23"/>
        <v>538.84</v>
      </c>
      <c r="D167" s="29">
        <f t="shared" si="23"/>
        <v>548.34</v>
      </c>
      <c r="E167" s="29">
        <f t="shared" si="23"/>
        <v>559.54999999999995</v>
      </c>
      <c r="F167" s="29">
        <f t="shared" si="23"/>
        <v>551.19000000000005</v>
      </c>
      <c r="G167" s="29">
        <f t="shared" si="23"/>
        <v>539.6</v>
      </c>
      <c r="H167" s="29">
        <f t="shared" si="23"/>
        <v>522.5</v>
      </c>
      <c r="I167" s="29">
        <f t="shared" si="23"/>
        <v>543.97</v>
      </c>
      <c r="J167" s="30"/>
      <c r="K167" s="29">
        <f t="shared" si="25"/>
        <v>547.50400000000002</v>
      </c>
      <c r="L167" s="29"/>
      <c r="M167" s="29">
        <f t="shared" si="24"/>
        <v>558.25</v>
      </c>
      <c r="N167" s="32">
        <v>5</v>
      </c>
      <c r="O167" s="48">
        <f t="shared" si="26"/>
        <v>12.730000000000018</v>
      </c>
    </row>
    <row r="168" spans="2:15" x14ac:dyDescent="0.2">
      <c r="B168" s="15">
        <v>6</v>
      </c>
      <c r="C168" s="12">
        <f t="shared" si="23"/>
        <v>579.69000000000005</v>
      </c>
      <c r="D168" s="12">
        <f t="shared" si="23"/>
        <v>592.6099999999999</v>
      </c>
      <c r="E168" s="12">
        <f t="shared" si="23"/>
        <v>601.54</v>
      </c>
      <c r="F168" s="12">
        <f t="shared" si="23"/>
        <v>593.37</v>
      </c>
      <c r="G168" s="12">
        <f t="shared" si="23"/>
        <v>559.74</v>
      </c>
      <c r="H168" s="12">
        <f t="shared" si="23"/>
        <v>537.89</v>
      </c>
      <c r="I168" s="12">
        <f t="shared" si="23"/>
        <v>548.53</v>
      </c>
      <c r="J168" s="26"/>
      <c r="K168" s="12">
        <f t="shared" si="25"/>
        <v>585.39</v>
      </c>
      <c r="L168" s="12"/>
      <c r="M168" s="12">
        <f t="shared" si="24"/>
        <v>571.375</v>
      </c>
      <c r="N168" s="22">
        <v>6</v>
      </c>
      <c r="O168" s="43">
        <f t="shared" si="26"/>
        <v>37.885999999999967</v>
      </c>
    </row>
    <row r="169" spans="2:15" x14ac:dyDescent="0.2">
      <c r="B169" s="15">
        <v>7</v>
      </c>
      <c r="C169" s="12">
        <f t="shared" si="23"/>
        <v>658.7299999999999</v>
      </c>
      <c r="D169" s="12">
        <f t="shared" si="23"/>
        <v>682.29</v>
      </c>
      <c r="E169" s="12">
        <f t="shared" si="23"/>
        <v>681.15</v>
      </c>
      <c r="F169" s="12">
        <f t="shared" si="23"/>
        <v>663.4799999999999</v>
      </c>
      <c r="G169" s="12">
        <f t="shared" si="23"/>
        <v>622.81999999999994</v>
      </c>
      <c r="H169" s="12">
        <f t="shared" si="23"/>
        <v>554.79999999999995</v>
      </c>
      <c r="I169" s="12">
        <f t="shared" si="23"/>
        <v>584.82000000000005</v>
      </c>
      <c r="J169" s="26"/>
      <c r="K169" s="12">
        <f t="shared" si="25"/>
        <v>661.69400000000007</v>
      </c>
      <c r="L169" s="12"/>
      <c r="M169" s="12">
        <f t="shared" si="24"/>
        <v>593.625</v>
      </c>
      <c r="N169" s="22">
        <v>7</v>
      </c>
      <c r="O169" s="43">
        <f t="shared" si="26"/>
        <v>76.304000000000087</v>
      </c>
    </row>
    <row r="170" spans="2:15" x14ac:dyDescent="0.2">
      <c r="B170" s="16">
        <v>8</v>
      </c>
      <c r="C170" s="13">
        <f t="shared" si="23"/>
        <v>707.18</v>
      </c>
      <c r="D170" s="13">
        <f t="shared" si="23"/>
        <v>724.66</v>
      </c>
      <c r="E170" s="13">
        <f t="shared" si="23"/>
        <v>720.1</v>
      </c>
      <c r="F170" s="13">
        <f t="shared" si="23"/>
        <v>705.85</v>
      </c>
      <c r="G170" s="13">
        <f t="shared" si="23"/>
        <v>659.68</v>
      </c>
      <c r="H170" s="13">
        <f t="shared" si="23"/>
        <v>578.74</v>
      </c>
      <c r="I170" s="13">
        <f t="shared" si="23"/>
        <v>590.9</v>
      </c>
      <c r="J170" s="27"/>
      <c r="K170" s="13">
        <f t="shared" si="25"/>
        <v>703.49399999999991</v>
      </c>
      <c r="L170" s="13"/>
      <c r="M170" s="13">
        <f t="shared" si="24"/>
        <v>615.25</v>
      </c>
      <c r="N170" s="23">
        <v>8</v>
      </c>
      <c r="O170" s="49">
        <f t="shared" si="26"/>
        <v>41.799999999999841</v>
      </c>
    </row>
    <row r="171" spans="2:15" x14ac:dyDescent="0.2">
      <c r="B171" s="15">
        <v>9</v>
      </c>
      <c r="C171" s="29">
        <f t="shared" si="23"/>
        <v>729.79</v>
      </c>
      <c r="D171" s="29">
        <f t="shared" si="23"/>
        <v>735.1099999999999</v>
      </c>
      <c r="E171" s="29">
        <f t="shared" si="23"/>
        <v>739.67</v>
      </c>
      <c r="F171" s="29">
        <f t="shared" si="23"/>
        <v>723.32999999999993</v>
      </c>
      <c r="G171" s="29">
        <f t="shared" si="23"/>
        <v>682.1</v>
      </c>
      <c r="H171" s="29">
        <f t="shared" si="23"/>
        <v>603.82000000000005</v>
      </c>
      <c r="I171" s="29">
        <f t="shared" si="23"/>
        <v>624.91</v>
      </c>
      <c r="J171" s="26"/>
      <c r="K171" s="12">
        <f t="shared" si="25"/>
        <v>721.99999999999989</v>
      </c>
      <c r="L171" s="12"/>
      <c r="M171" s="12">
        <f t="shared" si="24"/>
        <v>643.125</v>
      </c>
      <c r="N171" s="22">
        <v>9</v>
      </c>
      <c r="O171" s="48">
        <f t="shared" si="26"/>
        <v>18.505999999999972</v>
      </c>
    </row>
    <row r="172" spans="2:15" x14ac:dyDescent="0.2">
      <c r="B172" s="15">
        <v>10</v>
      </c>
      <c r="C172" s="12">
        <f t="shared" si="23"/>
        <v>748.79</v>
      </c>
      <c r="D172" s="12">
        <f t="shared" si="23"/>
        <v>739.29</v>
      </c>
      <c r="E172" s="12">
        <f t="shared" si="23"/>
        <v>741.94999999999993</v>
      </c>
      <c r="F172" s="12">
        <f t="shared" si="23"/>
        <v>732.64</v>
      </c>
      <c r="G172" s="12">
        <f t="shared" si="23"/>
        <v>700.34</v>
      </c>
      <c r="H172" s="12">
        <f t="shared" si="23"/>
        <v>619.78</v>
      </c>
      <c r="I172" s="12">
        <f t="shared" si="23"/>
        <v>640.29999999999995</v>
      </c>
      <c r="J172" s="26"/>
      <c r="K172" s="12">
        <f t="shared" si="25"/>
        <v>732.60199999999998</v>
      </c>
      <c r="L172" s="12"/>
      <c r="M172" s="12">
        <f t="shared" si="24"/>
        <v>661.125</v>
      </c>
      <c r="N172" s="22">
        <v>10</v>
      </c>
      <c r="O172" s="43">
        <f t="shared" si="26"/>
        <v>10.602000000000089</v>
      </c>
    </row>
    <row r="173" spans="2:15" x14ac:dyDescent="0.2">
      <c r="B173" s="15">
        <v>11</v>
      </c>
      <c r="C173" s="12">
        <f t="shared" ref="C173:I182" si="27">AVERAGE(C15,C108,C77,C46,C139)*$C$161</f>
        <v>745.37</v>
      </c>
      <c r="D173" s="12">
        <f t="shared" si="27"/>
        <v>749.17</v>
      </c>
      <c r="E173" s="12">
        <f t="shared" si="27"/>
        <v>738.72</v>
      </c>
      <c r="F173" s="12">
        <f t="shared" si="27"/>
        <v>739.4799999999999</v>
      </c>
      <c r="G173" s="12">
        <f t="shared" si="27"/>
        <v>706.2299999999999</v>
      </c>
      <c r="H173" s="12">
        <f t="shared" si="27"/>
        <v>627</v>
      </c>
      <c r="I173" s="12">
        <f t="shared" si="27"/>
        <v>639.91999999999996</v>
      </c>
      <c r="J173" s="26"/>
      <c r="K173" s="12">
        <f t="shared" si="25"/>
        <v>735.7940000000001</v>
      </c>
      <c r="L173" s="12"/>
      <c r="M173" s="12">
        <f t="shared" si="24"/>
        <v>664.625</v>
      </c>
      <c r="N173" s="22">
        <v>11</v>
      </c>
      <c r="O173" s="43">
        <f t="shared" si="26"/>
        <v>3.192000000000121</v>
      </c>
    </row>
    <row r="174" spans="2:15" x14ac:dyDescent="0.2">
      <c r="B174" s="16">
        <v>12</v>
      </c>
      <c r="C174" s="13">
        <f t="shared" si="27"/>
        <v>733.97</v>
      </c>
      <c r="D174" s="13">
        <f t="shared" si="27"/>
        <v>742.52</v>
      </c>
      <c r="E174" s="13">
        <f t="shared" si="27"/>
        <v>734.16</v>
      </c>
      <c r="F174" s="13">
        <f t="shared" si="27"/>
        <v>708.69999999999993</v>
      </c>
      <c r="G174" s="13">
        <f t="shared" si="27"/>
        <v>703.56999999999994</v>
      </c>
      <c r="H174" s="13">
        <f t="shared" si="27"/>
        <v>616.3599999999999</v>
      </c>
      <c r="I174" s="13">
        <f t="shared" si="27"/>
        <v>645.24</v>
      </c>
      <c r="J174" s="27"/>
      <c r="K174" s="13">
        <f t="shared" si="25"/>
        <v>724.58400000000006</v>
      </c>
      <c r="L174" s="13"/>
      <c r="M174" s="13">
        <f t="shared" si="24"/>
        <v>659.25</v>
      </c>
      <c r="N174" s="23">
        <v>12</v>
      </c>
      <c r="O174" s="49">
        <f t="shared" si="26"/>
        <v>-11.210000000000036</v>
      </c>
    </row>
    <row r="175" spans="2:15" x14ac:dyDescent="0.2">
      <c r="B175" s="15">
        <v>13</v>
      </c>
      <c r="C175" s="29">
        <f t="shared" si="27"/>
        <v>724.47</v>
      </c>
      <c r="D175" s="29">
        <f t="shared" si="27"/>
        <v>724.47</v>
      </c>
      <c r="E175" s="29">
        <f t="shared" si="27"/>
        <v>715.92</v>
      </c>
      <c r="F175" s="29">
        <f t="shared" si="27"/>
        <v>703.94999999999993</v>
      </c>
      <c r="G175" s="29">
        <f t="shared" si="27"/>
        <v>684.19</v>
      </c>
      <c r="H175" s="29">
        <f t="shared" si="27"/>
        <v>612.55999999999995</v>
      </c>
      <c r="I175" s="29">
        <f t="shared" si="27"/>
        <v>630.41999999999996</v>
      </c>
      <c r="J175" s="26"/>
      <c r="K175" s="12">
        <f t="shared" si="25"/>
        <v>710.6</v>
      </c>
      <c r="L175" s="12"/>
      <c r="M175" s="12">
        <f t="shared" si="24"/>
        <v>653</v>
      </c>
      <c r="N175" s="22">
        <v>13</v>
      </c>
      <c r="O175" s="48">
        <f t="shared" si="26"/>
        <v>-13.984000000000037</v>
      </c>
    </row>
    <row r="176" spans="2:15" x14ac:dyDescent="0.2">
      <c r="B176" s="15">
        <v>14</v>
      </c>
      <c r="C176" s="12">
        <f t="shared" si="27"/>
        <v>714.97</v>
      </c>
      <c r="D176" s="12">
        <f t="shared" si="27"/>
        <v>717.63</v>
      </c>
      <c r="E176" s="12">
        <f t="shared" si="27"/>
        <v>715.54</v>
      </c>
      <c r="F176" s="12">
        <f t="shared" si="27"/>
        <v>706.6099999999999</v>
      </c>
      <c r="G176" s="12">
        <f t="shared" si="27"/>
        <v>680.39</v>
      </c>
      <c r="H176" s="12">
        <f t="shared" si="27"/>
        <v>602.87</v>
      </c>
      <c r="I176" s="12">
        <f t="shared" si="27"/>
        <v>626.24</v>
      </c>
      <c r="J176" s="26"/>
      <c r="K176" s="12">
        <f t="shared" si="25"/>
        <v>707.02800000000002</v>
      </c>
      <c r="L176" s="12"/>
      <c r="M176" s="12">
        <f t="shared" si="24"/>
        <v>647.125</v>
      </c>
      <c r="N176" s="22">
        <v>14</v>
      </c>
      <c r="O176" s="43">
        <f t="shared" si="26"/>
        <v>-3.5720000000000027</v>
      </c>
    </row>
    <row r="177" spans="2:15" x14ac:dyDescent="0.2">
      <c r="B177" s="15">
        <v>15</v>
      </c>
      <c r="C177" s="12">
        <f t="shared" si="27"/>
        <v>714.20999999999992</v>
      </c>
      <c r="D177" s="12">
        <f t="shared" si="27"/>
        <v>714.97</v>
      </c>
      <c r="E177" s="12">
        <f t="shared" si="27"/>
        <v>707.37</v>
      </c>
      <c r="F177" s="12">
        <f t="shared" si="27"/>
        <v>699.19999999999993</v>
      </c>
      <c r="G177" s="12">
        <f t="shared" si="27"/>
        <v>667.47</v>
      </c>
      <c r="H177" s="12">
        <f t="shared" si="27"/>
        <v>592.79999999999995</v>
      </c>
      <c r="I177" s="12">
        <f t="shared" si="27"/>
        <v>614.65</v>
      </c>
      <c r="J177" s="26"/>
      <c r="K177" s="12">
        <f t="shared" si="25"/>
        <v>700.64399999999989</v>
      </c>
      <c r="L177" s="12"/>
      <c r="M177" s="12">
        <f t="shared" si="24"/>
        <v>637.25</v>
      </c>
      <c r="N177" s="22">
        <v>15</v>
      </c>
      <c r="O177" s="43">
        <f t="shared" si="26"/>
        <v>-6.3840000000001282</v>
      </c>
    </row>
    <row r="178" spans="2:15" x14ac:dyDescent="0.2">
      <c r="B178" s="16">
        <v>16</v>
      </c>
      <c r="C178" s="13">
        <f t="shared" si="27"/>
        <v>701.4799999999999</v>
      </c>
      <c r="D178" s="13">
        <f t="shared" si="27"/>
        <v>710.41</v>
      </c>
      <c r="E178" s="13">
        <f t="shared" si="27"/>
        <v>699.57999999999993</v>
      </c>
      <c r="F178" s="13">
        <f t="shared" si="27"/>
        <v>687.2299999999999</v>
      </c>
      <c r="G178" s="13">
        <f t="shared" si="27"/>
        <v>658.54</v>
      </c>
      <c r="H178" s="13">
        <f t="shared" si="27"/>
        <v>589.38</v>
      </c>
      <c r="I178" s="13">
        <f t="shared" si="27"/>
        <v>611.79999999999995</v>
      </c>
      <c r="J178" s="27"/>
      <c r="K178" s="13">
        <f t="shared" si="25"/>
        <v>691.44799999999998</v>
      </c>
      <c r="L178" s="13"/>
      <c r="M178" s="13">
        <f t="shared" si="24"/>
        <v>633.5</v>
      </c>
      <c r="N178" s="23">
        <v>16</v>
      </c>
      <c r="O178" s="49">
        <f t="shared" si="26"/>
        <v>-9.1959999999999127</v>
      </c>
    </row>
    <row r="179" spans="2:15" x14ac:dyDescent="0.2">
      <c r="B179" s="15">
        <v>17</v>
      </c>
      <c r="C179" s="29">
        <f t="shared" si="27"/>
        <v>699.00999999999988</v>
      </c>
      <c r="D179" s="29">
        <f t="shared" si="27"/>
        <v>713.44999999999993</v>
      </c>
      <c r="E179" s="29">
        <f t="shared" si="27"/>
        <v>709.45999999999992</v>
      </c>
      <c r="F179" s="29">
        <f t="shared" si="27"/>
        <v>692.17</v>
      </c>
      <c r="G179" s="29">
        <f t="shared" si="27"/>
        <v>664.43</v>
      </c>
      <c r="H179" s="29">
        <f t="shared" si="27"/>
        <v>594.69999999999993</v>
      </c>
      <c r="I179" s="29">
        <f t="shared" si="27"/>
        <v>628.14</v>
      </c>
      <c r="J179" s="26"/>
      <c r="K179" s="12">
        <f t="shared" si="25"/>
        <v>695.70399999999995</v>
      </c>
      <c r="L179" s="12"/>
      <c r="M179" s="12">
        <f t="shared" si="24"/>
        <v>643</v>
      </c>
      <c r="N179" s="22">
        <v>17</v>
      </c>
      <c r="O179" s="48">
        <f t="shared" si="26"/>
        <v>4.2559999999999718</v>
      </c>
    </row>
    <row r="180" spans="2:15" x14ac:dyDescent="0.2">
      <c r="B180" s="15">
        <v>18</v>
      </c>
      <c r="C180" s="12">
        <f t="shared" si="27"/>
        <v>789.64</v>
      </c>
      <c r="D180" s="12">
        <f t="shared" si="27"/>
        <v>805.22</v>
      </c>
      <c r="E180" s="12">
        <f t="shared" si="27"/>
        <v>809.4</v>
      </c>
      <c r="F180" s="12">
        <f t="shared" si="27"/>
        <v>784.69999999999993</v>
      </c>
      <c r="G180" s="12">
        <f t="shared" si="27"/>
        <v>749.3599999999999</v>
      </c>
      <c r="H180" s="12">
        <f t="shared" si="27"/>
        <v>692.17</v>
      </c>
      <c r="I180" s="12">
        <f t="shared" si="27"/>
        <v>736.81999999999994</v>
      </c>
      <c r="J180" s="26"/>
      <c r="K180" s="12">
        <f t="shared" si="25"/>
        <v>787.66399999999999</v>
      </c>
      <c r="L180" s="12"/>
      <c r="M180" s="12">
        <f t="shared" si="24"/>
        <v>754.125</v>
      </c>
      <c r="N180" s="22">
        <v>18</v>
      </c>
      <c r="O180" s="43">
        <f t="shared" si="26"/>
        <v>91.960000000000036</v>
      </c>
    </row>
    <row r="181" spans="2:15" x14ac:dyDescent="0.2">
      <c r="B181" s="15">
        <v>19</v>
      </c>
      <c r="C181" s="12">
        <f t="shared" si="27"/>
        <v>830.3</v>
      </c>
      <c r="D181" s="12">
        <f t="shared" si="27"/>
        <v>828.97</v>
      </c>
      <c r="E181" s="12">
        <f t="shared" si="27"/>
        <v>835.62</v>
      </c>
      <c r="F181" s="12">
        <f t="shared" si="27"/>
        <v>815.67</v>
      </c>
      <c r="G181" s="12">
        <f t="shared" si="27"/>
        <v>772.92</v>
      </c>
      <c r="H181" s="12">
        <f t="shared" si="27"/>
        <v>722</v>
      </c>
      <c r="I181" s="12">
        <f t="shared" si="27"/>
        <v>775.19999999999993</v>
      </c>
      <c r="J181" s="26"/>
      <c r="K181" s="12">
        <f t="shared" si="25"/>
        <v>816.69600000000003</v>
      </c>
      <c r="L181" s="12"/>
      <c r="M181" s="12">
        <f t="shared" si="24"/>
        <v>786.5</v>
      </c>
      <c r="N181" s="22">
        <v>19</v>
      </c>
      <c r="O181" s="43">
        <f t="shared" si="26"/>
        <v>29.032000000000039</v>
      </c>
    </row>
    <row r="182" spans="2:15" x14ac:dyDescent="0.2">
      <c r="B182" s="16">
        <v>20</v>
      </c>
      <c r="C182" s="13">
        <f t="shared" si="27"/>
        <v>823.27</v>
      </c>
      <c r="D182" s="13">
        <f t="shared" si="27"/>
        <v>827.06999999999994</v>
      </c>
      <c r="E182" s="13">
        <f t="shared" si="27"/>
        <v>825.55</v>
      </c>
      <c r="F182" s="13">
        <f t="shared" si="27"/>
        <v>811.49</v>
      </c>
      <c r="G182" s="13">
        <f t="shared" si="27"/>
        <v>756.57999999999993</v>
      </c>
      <c r="H182" s="13">
        <f t="shared" si="27"/>
        <v>719.91</v>
      </c>
      <c r="I182" s="13">
        <f t="shared" si="27"/>
        <v>787.55</v>
      </c>
      <c r="J182" s="27"/>
      <c r="K182" s="13">
        <f t="shared" si="25"/>
        <v>808.79200000000003</v>
      </c>
      <c r="L182" s="13"/>
      <c r="M182" s="13">
        <f t="shared" si="24"/>
        <v>792.25</v>
      </c>
      <c r="N182" s="23">
        <v>20</v>
      </c>
      <c r="O182" s="49">
        <f t="shared" si="26"/>
        <v>-7.9039999999999964</v>
      </c>
    </row>
    <row r="183" spans="2:15" x14ac:dyDescent="0.2">
      <c r="B183" s="15">
        <v>21</v>
      </c>
      <c r="C183" s="29">
        <f t="shared" ref="C183:I186" si="28">AVERAGE(C25,C118,C87,C56,C149)*$C$161</f>
        <v>815.09999999999991</v>
      </c>
      <c r="D183" s="29">
        <f t="shared" si="28"/>
        <v>813.19999999999993</v>
      </c>
      <c r="E183" s="29">
        <f t="shared" si="28"/>
        <v>806.74</v>
      </c>
      <c r="F183" s="29">
        <f t="shared" si="28"/>
        <v>798.56999999999994</v>
      </c>
      <c r="G183" s="29">
        <f t="shared" si="28"/>
        <v>735.68</v>
      </c>
      <c r="H183" s="29">
        <f t="shared" si="28"/>
        <v>705.09</v>
      </c>
      <c r="I183" s="29">
        <f t="shared" si="28"/>
        <v>771.20999999999992</v>
      </c>
      <c r="J183" s="26"/>
      <c r="K183" s="12">
        <f t="shared" si="25"/>
        <v>793.85799999999995</v>
      </c>
      <c r="L183" s="12"/>
      <c r="M183" s="12">
        <f t="shared" si="24"/>
        <v>778.125</v>
      </c>
      <c r="N183" s="22">
        <v>21</v>
      </c>
      <c r="O183" s="48">
        <f t="shared" si="26"/>
        <v>-14.934000000000083</v>
      </c>
    </row>
    <row r="184" spans="2:15" x14ac:dyDescent="0.2">
      <c r="B184" s="15">
        <v>22</v>
      </c>
      <c r="C184" s="12">
        <f t="shared" si="28"/>
        <v>779.94999999999993</v>
      </c>
      <c r="D184" s="12">
        <f t="shared" si="28"/>
        <v>769.31</v>
      </c>
      <c r="E184" s="12">
        <f t="shared" si="28"/>
        <v>772.34999999999991</v>
      </c>
      <c r="F184" s="12">
        <f t="shared" si="28"/>
        <v>756.39</v>
      </c>
      <c r="G184" s="12">
        <f t="shared" si="28"/>
        <v>699.57999999999993</v>
      </c>
      <c r="H184" s="12">
        <f t="shared" si="28"/>
        <v>681.72</v>
      </c>
      <c r="I184" s="12">
        <f t="shared" si="28"/>
        <v>742.9</v>
      </c>
      <c r="J184" s="26"/>
      <c r="K184" s="12">
        <f t="shared" si="25"/>
        <v>755.51599999999985</v>
      </c>
      <c r="L184" s="12"/>
      <c r="M184" s="12">
        <f t="shared" si="24"/>
        <v>749.875</v>
      </c>
      <c r="N184" s="22">
        <v>22</v>
      </c>
      <c r="O184" s="43">
        <f t="shared" si="26"/>
        <v>-38.342000000000098</v>
      </c>
    </row>
    <row r="185" spans="2:15" x14ac:dyDescent="0.2">
      <c r="B185" s="15">
        <v>23</v>
      </c>
      <c r="C185" s="12">
        <f t="shared" si="28"/>
        <v>693.5</v>
      </c>
      <c r="D185" s="12">
        <f t="shared" si="28"/>
        <v>699.95999999999992</v>
      </c>
      <c r="E185" s="12">
        <f t="shared" si="28"/>
        <v>691.41</v>
      </c>
      <c r="F185" s="12">
        <f t="shared" si="28"/>
        <v>687.04</v>
      </c>
      <c r="G185" s="12">
        <f t="shared" si="28"/>
        <v>660.81999999999994</v>
      </c>
      <c r="H185" s="12">
        <f t="shared" si="28"/>
        <v>643.15</v>
      </c>
      <c r="I185" s="12">
        <f t="shared" si="28"/>
        <v>690.84</v>
      </c>
      <c r="J185" s="26"/>
      <c r="K185" s="12">
        <f t="shared" si="25"/>
        <v>686.54599999999994</v>
      </c>
      <c r="L185" s="12"/>
      <c r="M185" s="12">
        <f t="shared" si="24"/>
        <v>696.75</v>
      </c>
      <c r="N185" s="22">
        <v>23</v>
      </c>
      <c r="O185" s="43">
        <f t="shared" si="26"/>
        <v>-68.969999999999914</v>
      </c>
    </row>
    <row r="186" spans="2:15" x14ac:dyDescent="0.2">
      <c r="B186" s="16">
        <v>24</v>
      </c>
      <c r="C186" s="13">
        <f t="shared" si="28"/>
        <v>619.02</v>
      </c>
      <c r="D186" s="13">
        <f t="shared" si="28"/>
        <v>622.05999999999995</v>
      </c>
      <c r="E186" s="13">
        <f t="shared" si="28"/>
        <v>627</v>
      </c>
      <c r="F186" s="13">
        <f t="shared" si="28"/>
        <v>610.85</v>
      </c>
      <c r="G186" s="13">
        <f t="shared" si="28"/>
        <v>613.13</v>
      </c>
      <c r="H186" s="13">
        <f t="shared" si="28"/>
        <v>591.66</v>
      </c>
      <c r="I186" s="13">
        <f t="shared" si="28"/>
        <v>622.44000000000005</v>
      </c>
      <c r="J186" s="27"/>
      <c r="K186" s="12">
        <f t="shared" si="25"/>
        <v>618.41200000000003</v>
      </c>
      <c r="L186" s="13"/>
      <c r="M186" s="12">
        <f t="shared" si="24"/>
        <v>634.75</v>
      </c>
      <c r="N186" s="23">
        <v>24</v>
      </c>
      <c r="O186" s="49">
        <f t="shared" si="26"/>
        <v>-68.133999999999901</v>
      </c>
    </row>
    <row r="187" spans="2:15" ht="13.5" thickBot="1" x14ac:dyDescent="0.25">
      <c r="B187" s="17" t="s">
        <v>54</v>
      </c>
      <c r="C187" s="25">
        <f t="shared" ref="C187:I187" si="29">SUM(C163:C186)</f>
        <v>16468.629999999997</v>
      </c>
      <c r="D187" s="25">
        <f t="shared" si="29"/>
        <v>16671.929999999997</v>
      </c>
      <c r="E187" s="25">
        <f t="shared" si="29"/>
        <v>16635.07</v>
      </c>
      <c r="F187" s="25">
        <f t="shared" si="29"/>
        <v>16384.27</v>
      </c>
      <c r="G187" s="25">
        <f t="shared" si="29"/>
        <v>15707.3</v>
      </c>
      <c r="H187" s="25">
        <f t="shared" si="29"/>
        <v>14590.289999999997</v>
      </c>
      <c r="I187" s="25">
        <f t="shared" si="29"/>
        <v>15279.799999999997</v>
      </c>
      <c r="J187" s="25"/>
      <c r="K187" s="25">
        <f>SUM(K163:K186)</f>
        <v>16373.44</v>
      </c>
      <c r="L187" s="25"/>
      <c r="M187" s="25">
        <f>SUM(M163:M186)</f>
        <v>15662.75</v>
      </c>
      <c r="N187" s="24"/>
      <c r="O187" s="44"/>
    </row>
    <row r="188" spans="2:15" ht="13.5" thickTop="1" x14ac:dyDescent="0.2">
      <c r="B188" t="s">
        <v>179</v>
      </c>
      <c r="C188" s="9">
        <f t="shared" ref="C188:I189" si="30">AVERAGE(C154,C123,C92,C61,C30)</f>
        <v>58.6</v>
      </c>
      <c r="D188" s="9">
        <f t="shared" si="30"/>
        <v>55.6</v>
      </c>
      <c r="E188" s="9">
        <f t="shared" si="30"/>
        <v>56.6</v>
      </c>
      <c r="F188" s="9">
        <f t="shared" si="30"/>
        <v>60</v>
      </c>
      <c r="G188" s="9">
        <f t="shared" si="30"/>
        <v>62.2</v>
      </c>
      <c r="H188" s="9">
        <f t="shared" si="30"/>
        <v>59.2</v>
      </c>
      <c r="I188" s="9">
        <f t="shared" si="30"/>
        <v>57.8</v>
      </c>
      <c r="K188" s="110" t="s">
        <v>180</v>
      </c>
      <c r="M188" t="s">
        <v>179</v>
      </c>
      <c r="N188" s="109" t="s">
        <v>181</v>
      </c>
      <c r="O188" s="9">
        <f>AVERAGE(C188:I188)</f>
        <v>58.571428571428569</v>
      </c>
    </row>
    <row r="189" spans="2:15" x14ac:dyDescent="0.2">
      <c r="B189" s="110" t="s">
        <v>182</v>
      </c>
      <c r="C189" s="9">
        <f t="shared" si="30"/>
        <v>31.2</v>
      </c>
      <c r="D189" s="9">
        <f t="shared" si="30"/>
        <v>29</v>
      </c>
      <c r="E189" s="9">
        <f t="shared" si="30"/>
        <v>28.6</v>
      </c>
      <c r="F189" s="9">
        <f t="shared" si="30"/>
        <v>30</v>
      </c>
      <c r="G189" s="9">
        <f t="shared" si="30"/>
        <v>30.6</v>
      </c>
      <c r="H189" s="9">
        <f t="shared" si="30"/>
        <v>30.4</v>
      </c>
      <c r="I189" s="9">
        <f t="shared" si="30"/>
        <v>29</v>
      </c>
      <c r="K189" s="110"/>
      <c r="M189" s="110" t="s">
        <v>182</v>
      </c>
      <c r="N189" s="109" t="s">
        <v>183</v>
      </c>
      <c r="O189" s="9">
        <f>AVERAGE(C189:I189)</f>
        <v>29.828571428571429</v>
      </c>
    </row>
    <row r="191" spans="2:15" x14ac:dyDescent="0.2">
      <c r="C191" s="33"/>
      <c r="D191" s="33"/>
    </row>
    <row r="193" spans="1:14" ht="15.75" x14ac:dyDescent="0.25">
      <c r="A193" s="10"/>
      <c r="B193" s="28"/>
      <c r="C193" s="28"/>
      <c r="D193" s="28"/>
      <c r="E193" s="28"/>
      <c r="F193" s="10"/>
      <c r="G193" s="11"/>
      <c r="H193" s="10"/>
      <c r="I193" s="10"/>
      <c r="J193" s="10"/>
      <c r="K193" s="10"/>
      <c r="L193" s="10"/>
      <c r="M193" s="10"/>
      <c r="N193" s="10"/>
    </row>
    <row r="196" spans="1:14" x14ac:dyDescent="0.2">
      <c r="B196" s="35"/>
      <c r="C196" s="36"/>
      <c r="D196" s="36"/>
      <c r="E196" s="36"/>
      <c r="F196" s="36"/>
      <c r="G196" s="36"/>
      <c r="H196" s="36"/>
      <c r="I196" s="36"/>
      <c r="J196" s="37"/>
      <c r="K196" s="38"/>
      <c r="L196" s="39"/>
      <c r="M196" s="38"/>
      <c r="N196" s="35"/>
    </row>
    <row r="197" spans="1:14" x14ac:dyDescent="0.2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1:14" x14ac:dyDescent="0.2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1:14" x14ac:dyDescent="0.2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1:14" x14ac:dyDescent="0.2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1:14" x14ac:dyDescent="0.2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1:14" x14ac:dyDescent="0.2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1:14" x14ac:dyDescent="0.2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1:14" x14ac:dyDescent="0.2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1:14" x14ac:dyDescent="0.2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1:14" x14ac:dyDescent="0.2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1:14" x14ac:dyDescent="0.2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1:14" x14ac:dyDescent="0.2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1:16" x14ac:dyDescent="0.2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1:16" x14ac:dyDescent="0.2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1:16" x14ac:dyDescent="0.2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1:16" x14ac:dyDescent="0.2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1:16" x14ac:dyDescent="0.2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1:16" x14ac:dyDescent="0.2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1:16" x14ac:dyDescent="0.2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1:16" x14ac:dyDescent="0.2">
      <c r="B216" s="4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0"/>
    </row>
    <row r="217" spans="1:16" x14ac:dyDescent="0.2">
      <c r="B217" s="4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0"/>
    </row>
    <row r="218" spans="1:16" x14ac:dyDescent="0.2">
      <c r="B218" s="40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0"/>
    </row>
    <row r="219" spans="1:16" x14ac:dyDescent="0.2">
      <c r="B219" s="40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0"/>
    </row>
    <row r="220" spans="1:16" x14ac:dyDescent="0.2">
      <c r="B220" s="40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0"/>
    </row>
    <row r="221" spans="1:16" x14ac:dyDescent="0.2">
      <c r="B221" s="35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6" x14ac:dyDescent="0.2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6" x14ac:dyDescent="0.2">
      <c r="A223" s="37"/>
      <c r="B223" s="40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0"/>
      <c r="O223" s="37"/>
      <c r="P223" s="37"/>
    </row>
    <row r="224" spans="1:16" x14ac:dyDescent="0.2">
      <c r="A224" s="37"/>
      <c r="B224" s="40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0"/>
      <c r="O224" s="37"/>
      <c r="P224" s="37"/>
    </row>
    <row r="225" spans="1:16" x14ac:dyDescent="0.2">
      <c r="A225" s="37"/>
      <c r="B225" s="40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0"/>
      <c r="O225" s="37"/>
      <c r="P225" s="37"/>
    </row>
    <row r="226" spans="1:16" x14ac:dyDescent="0.2">
      <c r="A226" s="37"/>
      <c r="B226" s="40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0"/>
      <c r="O226" s="37"/>
      <c r="P226" s="37"/>
    </row>
    <row r="227" spans="1:16" x14ac:dyDescent="0.2">
      <c r="A227" s="37"/>
      <c r="B227" s="40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0"/>
      <c r="O227" s="37"/>
      <c r="P227" s="37"/>
    </row>
    <row r="228" spans="1:16" x14ac:dyDescent="0.2">
      <c r="A228" s="37"/>
      <c r="B228" s="40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0"/>
      <c r="O228" s="37"/>
      <c r="P228" s="37"/>
    </row>
    <row r="229" spans="1:16" x14ac:dyDescent="0.2">
      <c r="A229" s="37"/>
      <c r="B229" s="40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0"/>
      <c r="O229" s="37"/>
      <c r="P229" s="37"/>
    </row>
    <row r="230" spans="1:16" x14ac:dyDescent="0.2">
      <c r="A230" s="37"/>
      <c r="B230" s="40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0"/>
      <c r="O230" s="37"/>
      <c r="P230" s="37"/>
    </row>
    <row r="231" spans="1:16" x14ac:dyDescent="0.2">
      <c r="A231" s="37"/>
      <c r="B231" s="40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0"/>
      <c r="O231" s="37"/>
      <c r="P231" s="37"/>
    </row>
    <row r="232" spans="1:16" x14ac:dyDescent="0.2">
      <c r="A232" s="37"/>
      <c r="B232" s="40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0"/>
      <c r="O232" s="37"/>
      <c r="P232" s="37"/>
    </row>
    <row r="233" spans="1:16" x14ac:dyDescent="0.2">
      <c r="A233" s="37"/>
      <c r="B233" s="40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0"/>
      <c r="O233" s="37"/>
      <c r="P233" s="37"/>
    </row>
    <row r="234" spans="1:16" x14ac:dyDescent="0.2">
      <c r="A234" s="37"/>
      <c r="B234" s="40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0"/>
      <c r="O234" s="37"/>
      <c r="P234" s="37"/>
    </row>
    <row r="235" spans="1:16" x14ac:dyDescent="0.2">
      <c r="B235" s="40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0"/>
      <c r="P235" s="37"/>
    </row>
    <row r="236" spans="1:16" x14ac:dyDescent="0.2">
      <c r="B236" s="40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0"/>
      <c r="P236" s="37"/>
    </row>
    <row r="237" spans="1:16" x14ac:dyDescent="0.2">
      <c r="B237" s="40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0"/>
      <c r="P237" s="37"/>
    </row>
    <row r="238" spans="1:16" x14ac:dyDescent="0.2">
      <c r="B238" s="35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37"/>
      <c r="P238" s="37"/>
    </row>
    <row r="239" spans="1:16" x14ac:dyDescent="0.2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P239" s="37"/>
    </row>
    <row r="240" spans="1:16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</row>
    <row r="241" spans="1:16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59"/>
  <sheetViews>
    <sheetView showGridLines="0" zoomScale="80" workbookViewId="0">
      <selection activeCell="M24" sqref="M24"/>
    </sheetView>
  </sheetViews>
  <sheetFormatPr defaultRowHeight="12.75" x14ac:dyDescent="0.2"/>
  <cols>
    <col min="1" max="1" width="1.5703125" customWidth="1"/>
    <col min="2" max="2" width="11.140625" customWidth="1"/>
    <col min="3" max="3" width="9.5703125" bestFit="1" customWidth="1"/>
    <col min="5" max="5" width="9.85546875" customWidth="1"/>
    <col min="6" max="6" width="10.42578125" customWidth="1"/>
    <col min="7" max="7" width="10.5703125" customWidth="1"/>
    <col min="8" max="8" width="9.5703125" customWidth="1"/>
    <col min="9" max="9" width="12.28515625" customWidth="1"/>
    <col min="10" max="10" width="9.7109375" customWidth="1"/>
    <col min="11" max="11" width="14.28515625" customWidth="1"/>
    <col min="12" max="12" width="10.5703125" customWidth="1"/>
    <col min="13" max="13" width="10.7109375" bestFit="1" customWidth="1"/>
    <col min="15" max="15" width="11.7109375" bestFit="1" customWidth="1"/>
  </cols>
  <sheetData>
    <row r="1" spans="2:14" x14ac:dyDescent="0.2">
      <c r="E1" s="10"/>
    </row>
    <row r="2" spans="2:14" ht="13.5" thickBot="1" x14ac:dyDescent="0.25">
      <c r="C2" s="253" t="s">
        <v>115</v>
      </c>
      <c r="G2" t="s">
        <v>85</v>
      </c>
    </row>
    <row r="3" spans="2:14" x14ac:dyDescent="0.2">
      <c r="B3" s="137" t="s">
        <v>122</v>
      </c>
      <c r="C3" s="139">
        <v>70</v>
      </c>
      <c r="D3" s="398">
        <v>0.15</v>
      </c>
      <c r="E3" s="397">
        <v>10.5</v>
      </c>
      <c r="F3" s="166" t="s">
        <v>78</v>
      </c>
      <c r="G3" s="399">
        <v>0.15</v>
      </c>
      <c r="H3" s="400">
        <v>11.7</v>
      </c>
      <c r="J3" s="241"/>
      <c r="K3" s="191"/>
      <c r="L3" s="239">
        <v>0.15</v>
      </c>
      <c r="M3" s="240">
        <v>0.4</v>
      </c>
    </row>
    <row r="4" spans="2:14" x14ac:dyDescent="0.2">
      <c r="B4" s="156" t="s">
        <v>123</v>
      </c>
      <c r="C4" s="260">
        <v>4.5</v>
      </c>
      <c r="D4" s="167" t="s">
        <v>83</v>
      </c>
      <c r="E4" s="167" t="s">
        <v>82</v>
      </c>
      <c r="F4" s="259">
        <v>5.71</v>
      </c>
      <c r="G4" s="168" t="s">
        <v>83</v>
      </c>
      <c r="H4" s="169" t="s">
        <v>82</v>
      </c>
      <c r="J4" s="242" t="s">
        <v>98</v>
      </c>
      <c r="K4" s="160">
        <v>19.3</v>
      </c>
      <c r="L4" s="192">
        <f>$K$4*L3+$K$4</f>
        <v>22.195</v>
      </c>
      <c r="M4" s="193">
        <f>$K$4*(1+M3)</f>
        <v>27.02</v>
      </c>
    </row>
    <row r="5" spans="2:14" ht="13.5" thickBot="1" x14ac:dyDescent="0.25">
      <c r="B5" s="159" t="s">
        <v>75</v>
      </c>
      <c r="C5" s="249">
        <f>657*C4</f>
        <v>2956.5</v>
      </c>
      <c r="D5" s="249"/>
      <c r="E5" s="250"/>
      <c r="F5" s="251"/>
      <c r="G5" s="252"/>
      <c r="H5" s="252"/>
      <c r="J5" s="243" t="s">
        <v>78</v>
      </c>
      <c r="K5" s="238">
        <v>5.71</v>
      </c>
      <c r="L5" s="194">
        <f>$K$5+L4</f>
        <v>27.905000000000001</v>
      </c>
      <c r="M5" s="195">
        <f>$K$5+M4</f>
        <v>32.729999999999997</v>
      </c>
    </row>
    <row r="6" spans="2:14" x14ac:dyDescent="0.2">
      <c r="B6" s="163" t="s">
        <v>81</v>
      </c>
      <c r="C6" s="140">
        <f>(14*$C$4)+(($C$5/$C$3)/4)</f>
        <v>73.558928571428567</v>
      </c>
      <c r="D6" s="142">
        <f>C6*(1+$D$3)</f>
        <v>84.592767857142846</v>
      </c>
      <c r="E6" s="142">
        <f>C6+$E$3</f>
        <v>84.058928571428567</v>
      </c>
      <c r="F6" s="142">
        <f>C6+$F$4</f>
        <v>79.26892857142856</v>
      </c>
      <c r="G6" s="140">
        <f>C6*(1+$G$3)+$F$4</f>
        <v>90.30276785714284</v>
      </c>
      <c r="H6" s="140">
        <f>F6+$H$3</f>
        <v>90.968928571428563</v>
      </c>
      <c r="I6" s="150"/>
    </row>
    <row r="7" spans="2:14" x14ac:dyDescent="0.2">
      <c r="B7" s="163" t="s">
        <v>76</v>
      </c>
      <c r="C7" s="140">
        <f>(14*$C$4)+(($C$5/$C$3)/5)</f>
        <v>71.447142857142865</v>
      </c>
      <c r="D7" s="142">
        <f t="shared" ref="D7:D18" si="0">C7*(1+$D$3)</f>
        <v>82.164214285714294</v>
      </c>
      <c r="E7" s="142">
        <f t="shared" ref="E7:E12" si="1">C7+$E$3</f>
        <v>81.947142857142865</v>
      </c>
      <c r="F7" s="142">
        <f t="shared" ref="F7:F12" si="2">C7+$F$4</f>
        <v>77.157142857142858</v>
      </c>
      <c r="G7" s="140">
        <f t="shared" ref="G7:G18" si="3">C7*(1+$G$3)+$F$4</f>
        <v>87.874214285714288</v>
      </c>
      <c r="H7" s="140">
        <f t="shared" ref="H7:H12" si="4">F7+$H$3</f>
        <v>88.857142857142861</v>
      </c>
      <c r="I7" s="150"/>
    </row>
    <row r="8" spans="2:14" x14ac:dyDescent="0.2">
      <c r="B8" s="163" t="s">
        <v>80</v>
      </c>
      <c r="C8" s="140">
        <f>(14*$C$4)+(($C$5/$C$3)/6)</f>
        <v>70.039285714285711</v>
      </c>
      <c r="D8" s="142">
        <f t="shared" si="0"/>
        <v>80.545178571428565</v>
      </c>
      <c r="E8" s="142">
        <f t="shared" si="1"/>
        <v>80.539285714285711</v>
      </c>
      <c r="F8" s="142">
        <f t="shared" si="2"/>
        <v>75.749285714285705</v>
      </c>
      <c r="G8" s="140">
        <f t="shared" si="3"/>
        <v>86.255178571428559</v>
      </c>
      <c r="H8" s="140">
        <f t="shared" si="4"/>
        <v>87.449285714285708</v>
      </c>
      <c r="I8" s="150"/>
    </row>
    <row r="9" spans="2:14" x14ac:dyDescent="0.2">
      <c r="B9" s="164" t="s">
        <v>77</v>
      </c>
      <c r="C9" s="140">
        <f>(14*$C$4)+(($C$5/$C$3)/7)</f>
        <v>69.03367346938775</v>
      </c>
      <c r="D9" s="142">
        <f t="shared" si="0"/>
        <v>79.388724489795905</v>
      </c>
      <c r="E9" s="142">
        <f t="shared" si="1"/>
        <v>79.53367346938775</v>
      </c>
      <c r="F9" s="142">
        <f t="shared" si="2"/>
        <v>74.743673469387744</v>
      </c>
      <c r="G9" s="140">
        <f t="shared" si="3"/>
        <v>85.098724489795899</v>
      </c>
      <c r="H9" s="140">
        <f t="shared" si="4"/>
        <v>86.443673469387747</v>
      </c>
      <c r="I9" s="150"/>
      <c r="K9" s="256" t="s">
        <v>120</v>
      </c>
    </row>
    <row r="10" spans="2:14" x14ac:dyDescent="0.2">
      <c r="B10" s="164" t="s">
        <v>86</v>
      </c>
      <c r="C10" s="140">
        <f>(14*$C$4)+(($C$5/$C$3)/8)</f>
        <v>68.279464285714283</v>
      </c>
      <c r="D10" s="142">
        <f t="shared" si="0"/>
        <v>78.521383928571424</v>
      </c>
      <c r="E10" s="142">
        <f t="shared" si="1"/>
        <v>78.779464285714283</v>
      </c>
      <c r="F10" s="142">
        <f t="shared" si="2"/>
        <v>73.989464285714277</v>
      </c>
      <c r="G10" s="140">
        <f t="shared" si="3"/>
        <v>84.231383928571418</v>
      </c>
      <c r="H10" s="140">
        <f t="shared" si="4"/>
        <v>85.68946428571428</v>
      </c>
    </row>
    <row r="11" spans="2:14" x14ac:dyDescent="0.2">
      <c r="B11" s="164" t="s">
        <v>87</v>
      </c>
      <c r="C11" s="140">
        <f>(14*$C$4)+(($C$5/$C$3)/9)</f>
        <v>67.69285714285715</v>
      </c>
      <c r="D11" s="142">
        <f t="shared" si="0"/>
        <v>77.846785714285716</v>
      </c>
      <c r="E11" s="142">
        <f t="shared" si="1"/>
        <v>78.19285714285715</v>
      </c>
      <c r="F11" s="142">
        <f t="shared" si="2"/>
        <v>73.402857142857144</v>
      </c>
      <c r="G11" s="140">
        <f t="shared" si="3"/>
        <v>83.556785714285709</v>
      </c>
      <c r="H11" s="140">
        <f t="shared" si="4"/>
        <v>85.102857142857147</v>
      </c>
    </row>
    <row r="12" spans="2:14" x14ac:dyDescent="0.2">
      <c r="B12" s="164" t="s">
        <v>88</v>
      </c>
      <c r="C12" s="140">
        <f>(14*$C$4)+(($C$5/$C$3)/10)</f>
        <v>67.223571428571432</v>
      </c>
      <c r="D12" s="142">
        <f t="shared" si="0"/>
        <v>77.307107142857134</v>
      </c>
      <c r="E12" s="142">
        <f t="shared" si="1"/>
        <v>77.723571428571432</v>
      </c>
      <c r="F12" s="142">
        <f t="shared" si="2"/>
        <v>72.933571428571426</v>
      </c>
      <c r="G12" s="140">
        <f t="shared" si="3"/>
        <v>83.017107142857128</v>
      </c>
      <c r="H12" s="140">
        <f t="shared" si="4"/>
        <v>84.633571428571429</v>
      </c>
      <c r="K12" s="323" t="s">
        <v>99</v>
      </c>
      <c r="L12" s="324"/>
    </row>
    <row r="13" spans="2:14" x14ac:dyDescent="0.2">
      <c r="B13" s="164" t="s">
        <v>106</v>
      </c>
      <c r="C13" s="140">
        <f>(14*$C$4)+(($C$5/$C$3)/11)</f>
        <v>66.839610389610385</v>
      </c>
      <c r="D13" s="142">
        <f t="shared" si="0"/>
        <v>76.86555194805193</v>
      </c>
      <c r="E13" s="142">
        <f t="shared" ref="E13:E18" si="5">C13+$E$3</f>
        <v>77.339610389610385</v>
      </c>
      <c r="F13" s="142">
        <f t="shared" ref="F13:F18" si="6">C13+$F$4</f>
        <v>72.549610389610379</v>
      </c>
      <c r="G13" s="140">
        <f t="shared" si="3"/>
        <v>82.575551948051924</v>
      </c>
      <c r="H13" s="140">
        <f t="shared" ref="H13:H18" si="7">F13+$H$3</f>
        <v>84.249610389610382</v>
      </c>
      <c r="J13" s="201"/>
      <c r="K13" s="326" t="s">
        <v>102</v>
      </c>
      <c r="L13" s="329" t="s">
        <v>150</v>
      </c>
      <c r="M13" s="325"/>
      <c r="N13" s="330" t="s">
        <v>147</v>
      </c>
    </row>
    <row r="14" spans="2:14" x14ac:dyDescent="0.2">
      <c r="B14" s="164" t="s">
        <v>107</v>
      </c>
      <c r="C14" s="140">
        <f>(14*$C$4)+(($C$5/$C$3)/12)</f>
        <v>66.519642857142856</v>
      </c>
      <c r="D14" s="142">
        <f t="shared" si="0"/>
        <v>76.497589285714284</v>
      </c>
      <c r="E14" s="142">
        <f t="shared" si="5"/>
        <v>77.019642857142856</v>
      </c>
      <c r="F14" s="142">
        <f t="shared" si="6"/>
        <v>72.229642857142849</v>
      </c>
      <c r="G14" s="140">
        <f t="shared" si="3"/>
        <v>82.207589285714278</v>
      </c>
      <c r="H14" s="140">
        <f t="shared" si="7"/>
        <v>83.929642857142852</v>
      </c>
      <c r="J14" s="134" t="s">
        <v>112</v>
      </c>
      <c r="K14" s="327">
        <v>32</v>
      </c>
      <c r="L14" s="327">
        <v>3</v>
      </c>
      <c r="M14" s="314">
        <f>K14-L14</f>
        <v>29</v>
      </c>
      <c r="N14" s="319">
        <f>M14/50</f>
        <v>0.57999999999999996</v>
      </c>
    </row>
    <row r="15" spans="2:14" x14ac:dyDescent="0.2">
      <c r="B15" s="164" t="s">
        <v>108</v>
      </c>
      <c r="C15" s="140">
        <f>(14*$C$4)+(($C$5/$C$3)/13)</f>
        <v>66.248901098901101</v>
      </c>
      <c r="D15" s="142">
        <f t="shared" si="0"/>
        <v>76.186236263736262</v>
      </c>
      <c r="E15" s="142">
        <f t="shared" si="5"/>
        <v>76.748901098901101</v>
      </c>
      <c r="F15" s="142">
        <f t="shared" si="6"/>
        <v>71.958901098901094</v>
      </c>
      <c r="G15" s="140">
        <f t="shared" si="3"/>
        <v>81.896236263736256</v>
      </c>
      <c r="H15" s="140">
        <f t="shared" si="7"/>
        <v>83.658901098901097</v>
      </c>
      <c r="J15" s="199" t="s">
        <v>113</v>
      </c>
      <c r="K15" s="328">
        <v>110</v>
      </c>
      <c r="L15" s="328">
        <v>7</v>
      </c>
      <c r="M15" s="315">
        <f>K15-L15</f>
        <v>103</v>
      </c>
      <c r="N15" s="331">
        <f>M15/150</f>
        <v>0.68666666666666665</v>
      </c>
    </row>
    <row r="16" spans="2:14" x14ac:dyDescent="0.2">
      <c r="B16" s="164" t="s">
        <v>109</v>
      </c>
      <c r="C16" s="140">
        <f>(14*$C$4)+(($C$5/$C$3)/14)</f>
        <v>66.016836734693882</v>
      </c>
      <c r="D16" s="142">
        <f t="shared" si="0"/>
        <v>75.919362244897954</v>
      </c>
      <c r="E16" s="142">
        <f t="shared" si="5"/>
        <v>76.516836734693882</v>
      </c>
      <c r="F16" s="142">
        <f t="shared" si="6"/>
        <v>71.726836734693876</v>
      </c>
      <c r="G16" s="140">
        <f t="shared" si="3"/>
        <v>81.629362244897948</v>
      </c>
      <c r="H16" s="140">
        <f t="shared" si="7"/>
        <v>83.426836734693879</v>
      </c>
      <c r="J16" s="198"/>
      <c r="K16" s="150"/>
      <c r="L16" s="150"/>
      <c r="M16" s="152"/>
      <c r="N16" s="321"/>
    </row>
    <row r="17" spans="1:16" x14ac:dyDescent="0.2">
      <c r="B17" s="164" t="s">
        <v>110</v>
      </c>
      <c r="C17" s="140">
        <f>(14*$C$4)+(($C$5/$C$3)/15)</f>
        <v>65.815714285714279</v>
      </c>
      <c r="D17" s="142">
        <f t="shared" si="0"/>
        <v>75.688071428571419</v>
      </c>
      <c r="E17" s="142">
        <f t="shared" si="5"/>
        <v>76.315714285714279</v>
      </c>
      <c r="F17" s="142">
        <f t="shared" si="6"/>
        <v>71.525714285714272</v>
      </c>
      <c r="G17" s="140">
        <f t="shared" si="3"/>
        <v>81.398071428571413</v>
      </c>
      <c r="H17" s="140">
        <f t="shared" si="7"/>
        <v>83.225714285714275</v>
      </c>
      <c r="J17" s="135" t="s">
        <v>141</v>
      </c>
      <c r="K17" s="152"/>
      <c r="L17" s="335">
        <v>70</v>
      </c>
      <c r="M17" s="152"/>
      <c r="N17" s="322"/>
    </row>
    <row r="18" spans="1:16" x14ac:dyDescent="0.2">
      <c r="B18" s="165" t="s">
        <v>111</v>
      </c>
      <c r="C18" s="141">
        <f>(14*$C$4)+(($C$5/$C$3)/16)</f>
        <v>65.639732142857142</v>
      </c>
      <c r="D18" s="141">
        <f t="shared" si="0"/>
        <v>75.485691964285706</v>
      </c>
      <c r="E18" s="143">
        <f t="shared" si="5"/>
        <v>76.139732142857142</v>
      </c>
      <c r="F18" s="143">
        <f t="shared" si="6"/>
        <v>71.349732142857135</v>
      </c>
      <c r="G18" s="141">
        <f t="shared" si="3"/>
        <v>81.1956919642857</v>
      </c>
      <c r="H18" s="141">
        <f t="shared" si="7"/>
        <v>83.049732142857138</v>
      </c>
      <c r="J18" s="203" t="s">
        <v>100</v>
      </c>
      <c r="K18" s="244"/>
      <c r="L18" s="204">
        <f>0.25*((M14)/50)*L17</f>
        <v>10.149999999999999</v>
      </c>
      <c r="M18" s="316">
        <f>ROUND(L18,0)</f>
        <v>10</v>
      </c>
      <c r="N18" s="320">
        <f>IF(M18&lt;21,M18,21)</f>
        <v>10</v>
      </c>
      <c r="O18" s="186"/>
    </row>
    <row r="19" spans="1:16" x14ac:dyDescent="0.2">
      <c r="J19" s="205" t="s">
        <v>101</v>
      </c>
      <c r="K19" s="246"/>
      <c r="L19" s="206">
        <f>0.75*((M15)/150)*L17</f>
        <v>36.050000000000004</v>
      </c>
      <c r="M19" s="317">
        <f>ROUND(L19,0)</f>
        <v>36</v>
      </c>
      <c r="N19" s="320">
        <v>10</v>
      </c>
    </row>
    <row r="20" spans="1:16" ht="13.5" thickBot="1" x14ac:dyDescent="0.25">
      <c r="J20" s="305" t="s">
        <v>148</v>
      </c>
      <c r="L20" s="202">
        <f>SUM(L18:L19)</f>
        <v>46.2</v>
      </c>
      <c r="M20" s="318">
        <f>ROUND(L20,0)</f>
        <v>46</v>
      </c>
      <c r="N20" s="333"/>
    </row>
    <row r="21" spans="1:16" ht="14.25" thickTop="1" thickBot="1" x14ac:dyDescent="0.25">
      <c r="B21" s="156"/>
      <c r="C21" s="154"/>
      <c r="D21" s="154" t="s">
        <v>89</v>
      </c>
      <c r="E21" s="154"/>
      <c r="F21" s="154"/>
      <c r="G21" s="154"/>
      <c r="H21" s="157"/>
      <c r="J21" s="332" t="s">
        <v>149</v>
      </c>
      <c r="N21" s="334">
        <f>SUM(N18:N20)</f>
        <v>20</v>
      </c>
      <c r="O21" s="186"/>
    </row>
    <row r="22" spans="1:16" ht="13.5" thickTop="1" x14ac:dyDescent="0.2">
      <c r="B22" s="156"/>
      <c r="C22" s="175" t="s">
        <v>72</v>
      </c>
      <c r="D22" s="170">
        <v>385</v>
      </c>
      <c r="E22" s="158" t="s">
        <v>92</v>
      </c>
      <c r="F22" s="170">
        <v>50</v>
      </c>
      <c r="G22" s="154"/>
      <c r="H22" s="172"/>
      <c r="J22" t="s">
        <v>142</v>
      </c>
    </row>
    <row r="23" spans="1:16" x14ac:dyDescent="0.2">
      <c r="B23" s="159"/>
      <c r="C23" s="176" t="s">
        <v>90</v>
      </c>
      <c r="D23" s="171">
        <v>504</v>
      </c>
      <c r="E23" s="160" t="s">
        <v>93</v>
      </c>
      <c r="F23" s="171">
        <v>25</v>
      </c>
      <c r="G23" s="155"/>
      <c r="H23" s="173"/>
      <c r="J23" t="s">
        <v>114</v>
      </c>
    </row>
    <row r="24" spans="1:16" x14ac:dyDescent="0.2">
      <c r="B24" s="135"/>
      <c r="E24" s="160" t="s">
        <v>94</v>
      </c>
      <c r="F24" s="171">
        <v>50</v>
      </c>
      <c r="G24" s="155"/>
      <c r="H24" s="173"/>
      <c r="J24" t="s">
        <v>151</v>
      </c>
    </row>
    <row r="25" spans="1:16" x14ac:dyDescent="0.2">
      <c r="B25" s="135"/>
      <c r="E25" s="160" t="s">
        <v>95</v>
      </c>
      <c r="F25" s="171">
        <v>764</v>
      </c>
      <c r="G25" s="155"/>
      <c r="H25" s="173"/>
      <c r="J25" s="336" t="s">
        <v>152</v>
      </c>
      <c r="K25" s="189"/>
    </row>
    <row r="26" spans="1:16" x14ac:dyDescent="0.2">
      <c r="B26" s="178" t="s">
        <v>97</v>
      </c>
      <c r="C26" s="179" t="s">
        <v>118</v>
      </c>
      <c r="D26" s="171">
        <v>200</v>
      </c>
      <c r="E26" s="160" t="s">
        <v>104</v>
      </c>
      <c r="F26" s="171">
        <v>3</v>
      </c>
      <c r="G26" s="155"/>
      <c r="H26" s="173"/>
      <c r="J26" t="s">
        <v>103</v>
      </c>
      <c r="K26" s="189"/>
    </row>
    <row r="27" spans="1:16" x14ac:dyDescent="0.2">
      <c r="B27" s="178"/>
      <c r="C27" s="179" t="s">
        <v>117</v>
      </c>
      <c r="D27" s="171">
        <v>0</v>
      </c>
      <c r="E27" s="340" t="s">
        <v>153</v>
      </c>
      <c r="F27" s="171">
        <v>100</v>
      </c>
      <c r="G27" s="155"/>
      <c r="H27" s="173"/>
      <c r="J27" s="134" t="s">
        <v>138</v>
      </c>
      <c r="K27" s="244"/>
      <c r="L27" s="244"/>
      <c r="M27" s="244"/>
      <c r="N27" s="244"/>
      <c r="O27" s="244"/>
      <c r="P27" s="196"/>
    </row>
    <row r="28" spans="1:16" x14ac:dyDescent="0.2">
      <c r="B28" s="178"/>
      <c r="C28" s="179" t="s">
        <v>116</v>
      </c>
      <c r="D28" s="171">
        <v>0</v>
      </c>
      <c r="E28" s="337" t="s">
        <v>117</v>
      </c>
      <c r="F28" s="338">
        <v>110</v>
      </c>
      <c r="H28" s="197"/>
      <c r="J28" s="135" t="s">
        <v>139</v>
      </c>
      <c r="K28" s="189"/>
      <c r="L28" s="152"/>
      <c r="M28" s="152"/>
      <c r="N28" s="152"/>
      <c r="O28" s="152"/>
      <c r="P28" s="197"/>
    </row>
    <row r="29" spans="1:16" x14ac:dyDescent="0.2">
      <c r="A29" s="188"/>
      <c r="B29" s="178"/>
      <c r="C29" s="179" t="s">
        <v>105</v>
      </c>
      <c r="D29" s="171">
        <v>0</v>
      </c>
      <c r="E29" s="337" t="s">
        <v>116</v>
      </c>
      <c r="F29" s="338">
        <v>0</v>
      </c>
      <c r="H29" s="197"/>
      <c r="J29" s="135"/>
      <c r="K29" s="152"/>
      <c r="L29" s="152"/>
      <c r="M29" s="152"/>
      <c r="N29" s="152"/>
      <c r="O29" s="152"/>
      <c r="P29" s="197"/>
    </row>
    <row r="30" spans="1:16" x14ac:dyDescent="0.2">
      <c r="B30" s="178"/>
      <c r="C30" s="179"/>
      <c r="D30" s="171"/>
      <c r="E30" s="337" t="s">
        <v>105</v>
      </c>
      <c r="F30" s="338">
        <v>0</v>
      </c>
      <c r="H30" s="197"/>
      <c r="I30" s="187"/>
      <c r="J30" s="199" t="s">
        <v>140</v>
      </c>
      <c r="K30" s="245"/>
      <c r="L30" s="246"/>
      <c r="M30" s="246"/>
      <c r="N30" s="246"/>
      <c r="O30" s="246"/>
      <c r="P30" s="200"/>
    </row>
    <row r="31" spans="1:16" x14ac:dyDescent="0.2">
      <c r="B31" s="161"/>
      <c r="C31" s="177" t="s">
        <v>91</v>
      </c>
      <c r="D31" s="162">
        <f>SUM(D22:D30)</f>
        <v>1089</v>
      </c>
      <c r="E31" s="162" t="s">
        <v>91</v>
      </c>
      <c r="F31" s="162">
        <f>SUM(F22:F30)</f>
        <v>1102</v>
      </c>
      <c r="G31" s="162" t="s">
        <v>96</v>
      </c>
      <c r="H31" s="174">
        <f>F31-D31</f>
        <v>13</v>
      </c>
      <c r="I31" s="189"/>
      <c r="J31" s="186"/>
      <c r="K31" s="186"/>
      <c r="L31" s="186"/>
      <c r="M31" s="186"/>
      <c r="O31" s="208"/>
    </row>
    <row r="32" spans="1:16" x14ac:dyDescent="0.2">
      <c r="I32" s="189"/>
      <c r="J32" s="152" t="s">
        <v>119</v>
      </c>
      <c r="K32" s="207"/>
    </row>
    <row r="33" spans="1:15" x14ac:dyDescent="0.2">
      <c r="I33" s="189"/>
      <c r="J33" s="152" t="s">
        <v>121</v>
      </c>
      <c r="K33" s="189"/>
    </row>
    <row r="34" spans="1:15" x14ac:dyDescent="0.2">
      <c r="I34" s="189"/>
      <c r="K34" s="189"/>
    </row>
    <row r="35" spans="1:15" x14ac:dyDescent="0.2">
      <c r="I35" s="189"/>
      <c r="J35" t="s">
        <v>146</v>
      </c>
      <c r="K35" s="189"/>
    </row>
    <row r="36" spans="1:15" x14ac:dyDescent="0.2">
      <c r="I36" s="189"/>
      <c r="K36" s="189"/>
    </row>
    <row r="37" spans="1:15" x14ac:dyDescent="0.2">
      <c r="I37" s="189"/>
    </row>
    <row r="38" spans="1:15" x14ac:dyDescent="0.2">
      <c r="I38" s="189"/>
    </row>
    <row r="41" spans="1:15" x14ac:dyDescent="0.2">
      <c r="A41" s="188"/>
      <c r="B41" s="186"/>
      <c r="C41" s="186"/>
      <c r="D41" s="186"/>
      <c r="E41" s="186"/>
      <c r="F41" s="186"/>
      <c r="G41" s="186"/>
      <c r="H41" s="186"/>
      <c r="I41" s="186"/>
    </row>
    <row r="42" spans="1:15" x14ac:dyDescent="0.2">
      <c r="B42" s="186"/>
      <c r="C42" s="186"/>
      <c r="D42" s="186"/>
      <c r="E42" s="186"/>
      <c r="F42" s="186"/>
      <c r="G42" s="186"/>
      <c r="H42" s="186"/>
      <c r="I42" s="186"/>
    </row>
    <row r="44" spans="1:15" x14ac:dyDescent="0.2">
      <c r="O44" s="189"/>
    </row>
    <row r="45" spans="1:15" x14ac:dyDescent="0.2">
      <c r="A45" s="188"/>
      <c r="K45" s="187"/>
      <c r="O45" s="189"/>
    </row>
    <row r="46" spans="1:15" x14ac:dyDescent="0.2">
      <c r="K46" s="187"/>
      <c r="O46" s="189"/>
    </row>
    <row r="47" spans="1:15" x14ac:dyDescent="0.2">
      <c r="E47" s="37"/>
      <c r="F47" s="37"/>
      <c r="G47" s="37"/>
      <c r="H47" s="37"/>
      <c r="I47" s="37"/>
      <c r="J47" s="37"/>
      <c r="K47" s="208"/>
      <c r="L47" s="37"/>
      <c r="M47" s="37"/>
      <c r="O47" s="189"/>
    </row>
    <row r="48" spans="1:15" x14ac:dyDescent="0.2">
      <c r="E48" s="37"/>
      <c r="F48" s="37"/>
      <c r="G48" s="37"/>
      <c r="H48" s="37"/>
      <c r="I48" s="37"/>
      <c r="J48" s="37"/>
      <c r="K48" s="37"/>
      <c r="L48" s="37"/>
      <c r="M48" s="37"/>
      <c r="O48" s="189"/>
    </row>
    <row r="49" spans="1:15" x14ac:dyDescent="0.2">
      <c r="E49" s="37"/>
      <c r="F49" s="37"/>
      <c r="G49" s="37"/>
      <c r="H49" s="37"/>
      <c r="I49" s="37"/>
      <c r="J49" s="37"/>
      <c r="K49" s="37"/>
      <c r="L49" s="37"/>
      <c r="M49" s="37"/>
      <c r="O49" s="187"/>
    </row>
    <row r="50" spans="1:15" x14ac:dyDescent="0.2">
      <c r="E50" s="37"/>
      <c r="F50" s="37"/>
      <c r="G50" s="37"/>
      <c r="H50" s="37"/>
      <c r="I50" s="37"/>
      <c r="J50" s="37"/>
      <c r="K50" s="37"/>
      <c r="L50" s="37"/>
      <c r="M50" s="208"/>
    </row>
    <row r="51" spans="1:15" x14ac:dyDescent="0.2">
      <c r="A51" s="188"/>
      <c r="B51" s="186"/>
      <c r="C51" s="186"/>
      <c r="D51" s="186"/>
      <c r="E51" s="209"/>
      <c r="F51" s="209"/>
      <c r="G51" s="209"/>
      <c r="H51" s="209"/>
      <c r="I51" s="209"/>
      <c r="J51" s="209"/>
      <c r="K51" s="209"/>
      <c r="L51" s="37"/>
      <c r="M51" s="208"/>
    </row>
    <row r="52" spans="1:15" x14ac:dyDescent="0.2">
      <c r="B52" s="186"/>
      <c r="C52" s="186"/>
      <c r="D52" s="186"/>
      <c r="E52" s="209"/>
      <c r="F52" s="209"/>
      <c r="G52" s="209"/>
      <c r="H52" s="209"/>
      <c r="I52" s="209"/>
      <c r="J52" s="209"/>
      <c r="K52" s="209"/>
      <c r="L52" s="37"/>
      <c r="M52" s="208"/>
    </row>
    <row r="53" spans="1:15" x14ac:dyDescent="0.2">
      <c r="E53" s="37"/>
      <c r="F53" s="37"/>
      <c r="G53" s="37"/>
      <c r="H53" s="37"/>
      <c r="I53" s="37"/>
      <c r="J53" s="37"/>
      <c r="K53" s="37"/>
      <c r="L53" s="37"/>
      <c r="M53" s="37"/>
    </row>
    <row r="54" spans="1:15" x14ac:dyDescent="0.2">
      <c r="E54" s="37"/>
      <c r="F54" s="37"/>
      <c r="G54" s="37"/>
      <c r="H54" s="37"/>
      <c r="I54" s="37"/>
      <c r="J54" s="37"/>
      <c r="K54" s="37"/>
      <c r="L54" s="37"/>
      <c r="M54" s="208"/>
    </row>
    <row r="55" spans="1:15" x14ac:dyDescent="0.2">
      <c r="E55" s="37"/>
      <c r="F55" s="210"/>
      <c r="G55" s="210"/>
      <c r="H55" s="210"/>
      <c r="I55" s="211"/>
      <c r="J55" s="37"/>
      <c r="K55" s="37"/>
      <c r="L55" s="37"/>
      <c r="M55" s="37"/>
    </row>
    <row r="56" spans="1:15" x14ac:dyDescent="0.2">
      <c r="E56" s="37"/>
      <c r="F56" s="210"/>
      <c r="G56" s="210"/>
      <c r="H56" s="210"/>
      <c r="I56" s="211"/>
      <c r="J56" s="37"/>
      <c r="K56" s="37"/>
      <c r="L56" s="37"/>
      <c r="M56" s="37"/>
    </row>
    <row r="57" spans="1:15" x14ac:dyDescent="0.2">
      <c r="E57" s="37"/>
      <c r="F57" s="210"/>
      <c r="G57" s="210"/>
      <c r="H57" s="210"/>
      <c r="I57" s="211"/>
      <c r="J57" s="37"/>
      <c r="K57" s="37"/>
      <c r="L57" s="37"/>
      <c r="M57" s="37"/>
    </row>
    <row r="58" spans="1:15" ht="14.25" x14ac:dyDescent="0.2">
      <c r="E58" s="37"/>
      <c r="F58" s="212"/>
      <c r="G58" s="213"/>
      <c r="H58" s="214"/>
      <c r="I58" s="215"/>
      <c r="J58" s="37"/>
      <c r="K58" s="37"/>
      <c r="L58" s="37"/>
      <c r="M58" s="37"/>
    </row>
    <row r="59" spans="1:15" x14ac:dyDescent="0.2">
      <c r="E59" s="37"/>
      <c r="F59" s="37"/>
      <c r="G59" s="37"/>
      <c r="H59" s="37"/>
      <c r="I59" s="37"/>
      <c r="J59" s="216"/>
      <c r="K59" s="37"/>
      <c r="L59" s="37"/>
      <c r="M59" s="37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0"/>
  <sheetViews>
    <sheetView zoomScale="85" workbookViewId="0">
      <selection activeCell="A10" sqref="A10"/>
    </sheetView>
  </sheetViews>
  <sheetFormatPr defaultRowHeight="12.75" x14ac:dyDescent="0.2"/>
  <cols>
    <col min="2" max="2" width="7.28515625" customWidth="1"/>
    <col min="3" max="3" width="7.5703125" customWidth="1"/>
    <col min="4" max="4" width="13.140625" customWidth="1"/>
    <col min="5" max="6" width="12" customWidth="1"/>
    <col min="7" max="7" width="7.28515625" customWidth="1"/>
    <col min="8" max="8" width="9.28515625" customWidth="1"/>
    <col min="9" max="9" width="10.85546875" customWidth="1"/>
    <col min="10" max="10" width="12.7109375" customWidth="1"/>
    <col min="11" max="11" width="7.42578125" customWidth="1"/>
    <col min="12" max="12" width="11.7109375" customWidth="1"/>
    <col min="13" max="13" width="12.28515625" customWidth="1"/>
    <col min="14" max="14" width="11.28515625" customWidth="1"/>
    <col min="15" max="15" width="12.5703125" customWidth="1"/>
  </cols>
  <sheetData>
    <row r="1" spans="1:16" x14ac:dyDescent="0.2">
      <c r="C1" s="291"/>
      <c r="D1" s="291"/>
      <c r="E1" s="292"/>
      <c r="F1" s="292"/>
      <c r="G1" s="270"/>
      <c r="H1" s="270"/>
      <c r="I1" s="270"/>
      <c r="K1" s="291"/>
      <c r="L1" s="291"/>
      <c r="M1" s="292"/>
    </row>
    <row r="2" spans="1:16" x14ac:dyDescent="0.2">
      <c r="C2" s="285" t="s">
        <v>134</v>
      </c>
      <c r="D2" s="285"/>
      <c r="E2" s="292"/>
      <c r="F2" s="292"/>
      <c r="G2" s="270"/>
      <c r="H2" t="s">
        <v>163</v>
      </c>
      <c r="I2" s="270"/>
      <c r="L2" s="285"/>
      <c r="M2" s="285" t="s">
        <v>135</v>
      </c>
    </row>
    <row r="3" spans="1:16" ht="13.5" thickBot="1" x14ac:dyDescent="0.25">
      <c r="C3" s="294"/>
      <c r="D3" s="285"/>
      <c r="E3" s="293"/>
      <c r="F3" s="292"/>
      <c r="G3" s="270"/>
      <c r="H3" s="270"/>
      <c r="I3" s="270"/>
      <c r="K3" s="285"/>
      <c r="L3" s="285"/>
      <c r="M3" s="292"/>
    </row>
    <row r="4" spans="1:16" ht="38.25" thickTop="1" thickBot="1" x14ac:dyDescent="0.25">
      <c r="B4" s="274" t="s">
        <v>137</v>
      </c>
      <c r="C4" s="274" t="s">
        <v>136</v>
      </c>
      <c r="D4" s="275" t="s">
        <v>130</v>
      </c>
      <c r="E4" s="276" t="s">
        <v>131</v>
      </c>
      <c r="F4" s="385"/>
      <c r="G4" s="274" t="s">
        <v>137</v>
      </c>
      <c r="H4" s="277" t="s">
        <v>162</v>
      </c>
      <c r="I4" s="277" t="s">
        <v>161</v>
      </c>
      <c r="J4" s="278" t="s">
        <v>133</v>
      </c>
      <c r="K4" s="279" t="s">
        <v>132</v>
      </c>
      <c r="L4" s="152"/>
      <c r="M4" s="274" t="s">
        <v>84</v>
      </c>
      <c r="N4" s="275" t="s">
        <v>130</v>
      </c>
      <c r="O4" s="276" t="s">
        <v>131</v>
      </c>
    </row>
    <row r="5" spans="1:16" ht="15.75" thickTop="1" x14ac:dyDescent="0.2">
      <c r="A5">
        <v>1</v>
      </c>
      <c r="B5" s="375">
        <v>1</v>
      </c>
      <c r="C5" s="375">
        <v>1</v>
      </c>
      <c r="D5" s="286">
        <v>0</v>
      </c>
      <c r="E5" s="290">
        <v>0</v>
      </c>
      <c r="F5" s="386"/>
      <c r="G5" s="375">
        <v>1</v>
      </c>
      <c r="H5" s="378"/>
      <c r="I5" s="287">
        <v>83</v>
      </c>
      <c r="J5" s="281">
        <f>I5+E5+H5</f>
        <v>83</v>
      </c>
      <c r="K5" s="282">
        <f>((I5+E5)/2)</f>
        <v>41.5</v>
      </c>
      <c r="M5" s="375">
        <v>1</v>
      </c>
      <c r="N5" s="286">
        <v>0</v>
      </c>
      <c r="O5" s="290">
        <v>0</v>
      </c>
    </row>
    <row r="6" spans="1:16" ht="15" x14ac:dyDescent="0.2">
      <c r="A6">
        <v>2</v>
      </c>
      <c r="B6" s="376">
        <v>2</v>
      </c>
      <c r="C6" s="376">
        <v>2</v>
      </c>
      <c r="D6" s="286">
        <v>0</v>
      </c>
      <c r="E6" s="290">
        <v>0</v>
      </c>
      <c r="F6" s="386"/>
      <c r="G6" s="376">
        <v>2</v>
      </c>
      <c r="H6" s="379"/>
      <c r="I6" s="288">
        <v>85</v>
      </c>
      <c r="J6" s="280">
        <f t="shared" ref="J6:J28" si="0">I6+E6+H6</f>
        <v>85</v>
      </c>
      <c r="K6" s="283">
        <f t="shared" ref="K6:K28" si="1">((I6+E6)/2)</f>
        <v>42.5</v>
      </c>
      <c r="M6" s="376">
        <v>2</v>
      </c>
      <c r="N6" s="286">
        <v>0</v>
      </c>
      <c r="O6" s="290">
        <v>0</v>
      </c>
    </row>
    <row r="7" spans="1:16" ht="15" x14ac:dyDescent="0.2">
      <c r="A7">
        <v>2</v>
      </c>
      <c r="B7" s="376">
        <v>3</v>
      </c>
      <c r="C7" s="376">
        <v>3</v>
      </c>
      <c r="D7" s="286">
        <v>0</v>
      </c>
      <c r="E7" s="290">
        <v>0</v>
      </c>
      <c r="F7" s="386"/>
      <c r="G7" s="376">
        <v>3</v>
      </c>
      <c r="H7" s="379"/>
      <c r="I7" s="288">
        <v>87</v>
      </c>
      <c r="J7" s="280">
        <f t="shared" si="0"/>
        <v>87</v>
      </c>
      <c r="K7" s="283">
        <f t="shared" si="1"/>
        <v>43.5</v>
      </c>
      <c r="M7" s="376">
        <v>3</v>
      </c>
      <c r="N7" s="286">
        <v>0</v>
      </c>
      <c r="O7" s="290">
        <v>0</v>
      </c>
    </row>
    <row r="8" spans="1:16" ht="15" x14ac:dyDescent="0.2">
      <c r="A8">
        <v>3</v>
      </c>
      <c r="B8" s="376">
        <v>4</v>
      </c>
      <c r="C8" s="376">
        <v>4</v>
      </c>
      <c r="D8" s="286">
        <v>0</v>
      </c>
      <c r="E8" s="290">
        <v>0</v>
      </c>
      <c r="F8" s="386"/>
      <c r="G8" s="376">
        <v>4</v>
      </c>
      <c r="H8" s="379"/>
      <c r="I8" s="288">
        <v>88</v>
      </c>
      <c r="J8" s="280">
        <f t="shared" si="0"/>
        <v>88</v>
      </c>
      <c r="K8" s="283">
        <f t="shared" si="1"/>
        <v>44</v>
      </c>
      <c r="M8" s="376">
        <v>4</v>
      </c>
      <c r="N8" s="286">
        <v>0</v>
      </c>
      <c r="O8" s="290">
        <v>0</v>
      </c>
    </row>
    <row r="9" spans="1:16" ht="15" x14ac:dyDescent="0.2">
      <c r="A9">
        <v>4</v>
      </c>
      <c r="B9" s="376">
        <v>5</v>
      </c>
      <c r="C9" s="376">
        <v>5</v>
      </c>
      <c r="D9" s="286">
        <v>0</v>
      </c>
      <c r="E9" s="290">
        <v>0</v>
      </c>
      <c r="F9" s="386"/>
      <c r="G9" s="376">
        <v>5</v>
      </c>
      <c r="H9" s="379"/>
      <c r="I9" s="288">
        <v>88</v>
      </c>
      <c r="J9" s="280">
        <f t="shared" si="0"/>
        <v>88</v>
      </c>
      <c r="K9" s="283">
        <f t="shared" si="1"/>
        <v>44</v>
      </c>
      <c r="M9" s="376">
        <v>5</v>
      </c>
      <c r="N9" s="286">
        <v>0</v>
      </c>
      <c r="O9" s="290">
        <v>0</v>
      </c>
    </row>
    <row r="10" spans="1:16" ht="15" x14ac:dyDescent="0.2">
      <c r="B10" s="376">
        <v>6</v>
      </c>
      <c r="C10" s="376">
        <v>6</v>
      </c>
      <c r="D10" s="286">
        <v>0</v>
      </c>
      <c r="E10" s="290">
        <v>0</v>
      </c>
      <c r="F10" s="386"/>
      <c r="G10" s="376">
        <v>6</v>
      </c>
      <c r="H10" s="379"/>
      <c r="I10" s="288">
        <v>85</v>
      </c>
      <c r="J10" s="280">
        <f t="shared" si="0"/>
        <v>85</v>
      </c>
      <c r="K10" s="283">
        <f t="shared" si="1"/>
        <v>42.5</v>
      </c>
      <c r="M10" s="376">
        <v>6</v>
      </c>
      <c r="N10" s="286">
        <v>0</v>
      </c>
      <c r="O10" s="290">
        <v>0</v>
      </c>
    </row>
    <row r="11" spans="1:16" ht="15" x14ac:dyDescent="0.2">
      <c r="B11" s="376">
        <v>7</v>
      </c>
      <c r="C11" s="376">
        <v>7</v>
      </c>
      <c r="D11" s="286">
        <v>0</v>
      </c>
      <c r="E11" s="290">
        <v>0</v>
      </c>
      <c r="F11" s="386"/>
      <c r="G11" s="376">
        <v>7</v>
      </c>
      <c r="H11" s="379"/>
      <c r="I11" s="288">
        <v>89</v>
      </c>
      <c r="J11" s="280">
        <f t="shared" si="0"/>
        <v>89</v>
      </c>
      <c r="K11" s="283">
        <f t="shared" si="1"/>
        <v>44.5</v>
      </c>
      <c r="M11" s="376">
        <v>7</v>
      </c>
      <c r="N11" s="286">
        <v>0</v>
      </c>
      <c r="O11" s="290">
        <v>0</v>
      </c>
    </row>
    <row r="12" spans="1:16" ht="15" x14ac:dyDescent="0.2">
      <c r="B12" s="376">
        <v>8</v>
      </c>
      <c r="C12" s="376">
        <v>8</v>
      </c>
      <c r="D12" s="286">
        <v>0</v>
      </c>
      <c r="E12" s="290">
        <v>0</v>
      </c>
      <c r="F12" s="386"/>
      <c r="G12" s="376">
        <v>8</v>
      </c>
      <c r="H12" s="379"/>
      <c r="I12" s="288">
        <v>87</v>
      </c>
      <c r="J12" s="280">
        <f t="shared" si="0"/>
        <v>87</v>
      </c>
      <c r="K12" s="283">
        <f t="shared" si="1"/>
        <v>43.5</v>
      </c>
      <c r="M12" s="376">
        <v>8</v>
      </c>
      <c r="N12" s="286">
        <v>0</v>
      </c>
      <c r="O12" s="290">
        <v>0</v>
      </c>
    </row>
    <row r="13" spans="1:16" ht="15" x14ac:dyDescent="0.2">
      <c r="B13" s="376">
        <v>9</v>
      </c>
      <c r="C13" s="376">
        <v>9</v>
      </c>
      <c r="D13" s="286">
        <v>0</v>
      </c>
      <c r="E13" s="290">
        <v>0</v>
      </c>
      <c r="F13" s="386"/>
      <c r="G13" s="376">
        <v>9</v>
      </c>
      <c r="H13" s="379"/>
      <c r="I13" s="288">
        <v>84</v>
      </c>
      <c r="J13" s="280">
        <f t="shared" si="0"/>
        <v>84</v>
      </c>
      <c r="K13" s="283">
        <f t="shared" si="1"/>
        <v>42</v>
      </c>
      <c r="M13" s="376">
        <v>9</v>
      </c>
      <c r="N13" s="286">
        <v>0</v>
      </c>
      <c r="O13" s="290">
        <v>0</v>
      </c>
    </row>
    <row r="14" spans="1:16" ht="15" x14ac:dyDescent="0.2">
      <c r="B14" s="376">
        <v>10</v>
      </c>
      <c r="C14" s="376">
        <v>10</v>
      </c>
      <c r="D14" s="286">
        <v>0</v>
      </c>
      <c r="E14" s="290">
        <v>0</v>
      </c>
      <c r="F14" s="386"/>
      <c r="G14" s="376">
        <v>10</v>
      </c>
      <c r="H14" s="379"/>
      <c r="I14" s="288">
        <v>82</v>
      </c>
      <c r="J14" s="280">
        <f t="shared" si="0"/>
        <v>82</v>
      </c>
      <c r="K14" s="283">
        <f t="shared" si="1"/>
        <v>41</v>
      </c>
      <c r="M14" s="376">
        <v>10</v>
      </c>
      <c r="N14" s="286">
        <v>0</v>
      </c>
      <c r="O14" s="290">
        <v>0</v>
      </c>
    </row>
    <row r="15" spans="1:16" ht="15" x14ac:dyDescent="0.2">
      <c r="B15" s="376">
        <v>11</v>
      </c>
      <c r="C15" s="376">
        <v>11</v>
      </c>
      <c r="D15" s="286">
        <v>0</v>
      </c>
      <c r="E15" s="290">
        <v>0</v>
      </c>
      <c r="F15" s="386"/>
      <c r="G15" s="376">
        <v>11</v>
      </c>
      <c r="H15" s="379"/>
      <c r="I15" s="288">
        <v>83</v>
      </c>
      <c r="J15" s="280">
        <f t="shared" si="0"/>
        <v>83</v>
      </c>
      <c r="K15" s="283">
        <f t="shared" si="1"/>
        <v>41.5</v>
      </c>
      <c r="M15" s="376">
        <v>11</v>
      </c>
      <c r="N15" s="286">
        <v>0</v>
      </c>
      <c r="O15" s="290">
        <v>0</v>
      </c>
    </row>
    <row r="16" spans="1:16" ht="15" x14ac:dyDescent="0.2">
      <c r="B16" s="376">
        <v>12</v>
      </c>
      <c r="C16" s="376">
        <v>12</v>
      </c>
      <c r="D16" s="286">
        <v>0</v>
      </c>
      <c r="E16" s="290">
        <v>0</v>
      </c>
      <c r="F16" s="386"/>
      <c r="G16" s="376">
        <v>12</v>
      </c>
      <c r="H16" s="379"/>
      <c r="I16" s="288">
        <v>86</v>
      </c>
      <c r="J16" s="280">
        <f t="shared" si="0"/>
        <v>86</v>
      </c>
      <c r="K16" s="283">
        <f t="shared" si="1"/>
        <v>43</v>
      </c>
      <c r="M16" s="376">
        <v>12</v>
      </c>
      <c r="N16" s="286">
        <v>15</v>
      </c>
      <c r="O16" s="290">
        <v>17.100000000000001</v>
      </c>
      <c r="P16">
        <v>222</v>
      </c>
    </row>
    <row r="17" spans="2:16" ht="15" x14ac:dyDescent="0.2">
      <c r="B17" s="376">
        <v>13</v>
      </c>
      <c r="C17" s="376">
        <v>13</v>
      </c>
      <c r="D17" s="286">
        <v>0</v>
      </c>
      <c r="E17" s="290">
        <v>0</v>
      </c>
      <c r="F17" s="386"/>
      <c r="G17" s="376">
        <v>13</v>
      </c>
      <c r="H17" s="379"/>
      <c r="I17" s="288">
        <v>86</v>
      </c>
      <c r="J17" s="280">
        <f t="shared" si="0"/>
        <v>86</v>
      </c>
      <c r="K17" s="283">
        <f t="shared" si="1"/>
        <v>43</v>
      </c>
      <c r="M17" s="376">
        <v>13</v>
      </c>
      <c r="N17" s="286">
        <v>0</v>
      </c>
      <c r="O17" s="290">
        <v>0</v>
      </c>
      <c r="P17">
        <v>80</v>
      </c>
    </row>
    <row r="18" spans="2:16" ht="15" x14ac:dyDescent="0.2">
      <c r="B18" s="376">
        <v>14</v>
      </c>
      <c r="C18" s="376">
        <v>14</v>
      </c>
      <c r="D18" s="286">
        <v>0</v>
      </c>
      <c r="E18" s="290">
        <v>0</v>
      </c>
      <c r="F18" s="386"/>
      <c r="G18" s="376">
        <v>14</v>
      </c>
      <c r="H18" s="379"/>
      <c r="I18" s="288">
        <v>87</v>
      </c>
      <c r="J18" s="280">
        <f t="shared" si="0"/>
        <v>87</v>
      </c>
      <c r="K18" s="283">
        <f t="shared" si="1"/>
        <v>43.5</v>
      </c>
      <c r="M18" s="376">
        <v>14</v>
      </c>
      <c r="N18" s="286">
        <v>0</v>
      </c>
      <c r="O18" s="290">
        <v>0</v>
      </c>
    </row>
    <row r="19" spans="2:16" ht="15" x14ac:dyDescent="0.2">
      <c r="B19" s="376">
        <v>15</v>
      </c>
      <c r="C19" s="376">
        <v>15</v>
      </c>
      <c r="D19" s="286">
        <v>0</v>
      </c>
      <c r="E19" s="290">
        <v>0</v>
      </c>
      <c r="F19" s="386"/>
      <c r="G19" s="376">
        <v>15</v>
      </c>
      <c r="H19" s="379"/>
      <c r="I19" s="288">
        <v>87</v>
      </c>
      <c r="J19" s="280">
        <f t="shared" si="0"/>
        <v>87</v>
      </c>
      <c r="K19" s="283">
        <f t="shared" si="1"/>
        <v>43.5</v>
      </c>
      <c r="M19" s="376">
        <v>15</v>
      </c>
      <c r="N19" s="286">
        <v>0</v>
      </c>
      <c r="O19" s="290">
        <v>0</v>
      </c>
    </row>
    <row r="20" spans="2:16" ht="15" x14ac:dyDescent="0.2">
      <c r="B20" s="376">
        <v>16</v>
      </c>
      <c r="C20" s="376">
        <v>16</v>
      </c>
      <c r="D20" s="286">
        <v>0</v>
      </c>
      <c r="E20" s="290">
        <v>0</v>
      </c>
      <c r="F20" s="386"/>
      <c r="G20" s="376">
        <v>16</v>
      </c>
      <c r="H20" s="379"/>
      <c r="I20" s="288">
        <v>87</v>
      </c>
      <c r="J20" s="280">
        <f t="shared" si="0"/>
        <v>87</v>
      </c>
      <c r="K20" s="283">
        <f t="shared" si="1"/>
        <v>43.5</v>
      </c>
      <c r="M20" s="376">
        <v>16</v>
      </c>
      <c r="N20" s="286">
        <v>0</v>
      </c>
      <c r="O20" s="290">
        <v>0</v>
      </c>
    </row>
    <row r="21" spans="2:16" ht="15" x14ac:dyDescent="0.2">
      <c r="B21" s="376">
        <v>17</v>
      </c>
      <c r="C21" s="376">
        <v>17</v>
      </c>
      <c r="D21" s="286">
        <v>0</v>
      </c>
      <c r="E21" s="290">
        <v>0</v>
      </c>
      <c r="F21" s="386"/>
      <c r="G21" s="376">
        <v>17</v>
      </c>
      <c r="H21" s="379"/>
      <c r="I21" s="288">
        <v>86</v>
      </c>
      <c r="J21" s="280">
        <f t="shared" si="0"/>
        <v>86</v>
      </c>
      <c r="K21" s="283">
        <f t="shared" si="1"/>
        <v>43</v>
      </c>
      <c r="M21" s="376">
        <v>17</v>
      </c>
      <c r="N21" s="286">
        <v>0</v>
      </c>
      <c r="O21" s="290">
        <v>0</v>
      </c>
    </row>
    <row r="22" spans="2:16" ht="15" x14ac:dyDescent="0.2">
      <c r="B22" s="376">
        <v>18</v>
      </c>
      <c r="C22" s="376">
        <v>18</v>
      </c>
      <c r="D22" s="286">
        <v>0</v>
      </c>
      <c r="E22" s="290">
        <v>0</v>
      </c>
      <c r="F22" s="386"/>
      <c r="G22" s="376">
        <v>18</v>
      </c>
      <c r="H22" s="379"/>
      <c r="I22" s="288">
        <v>85</v>
      </c>
      <c r="J22" s="280">
        <f t="shared" si="0"/>
        <v>85</v>
      </c>
      <c r="K22" s="283">
        <f t="shared" si="1"/>
        <v>42.5</v>
      </c>
      <c r="M22" s="376">
        <v>18</v>
      </c>
      <c r="N22" s="286">
        <v>0</v>
      </c>
      <c r="O22" s="290">
        <v>0</v>
      </c>
    </row>
    <row r="23" spans="2:16" ht="15" x14ac:dyDescent="0.2">
      <c r="B23" s="376">
        <v>19</v>
      </c>
      <c r="C23" s="376">
        <v>19</v>
      </c>
      <c r="D23" s="286">
        <v>0</v>
      </c>
      <c r="E23" s="290">
        <v>0</v>
      </c>
      <c r="F23" s="386"/>
      <c r="G23" s="376">
        <v>19</v>
      </c>
      <c r="H23" s="379"/>
      <c r="I23" s="288">
        <v>84</v>
      </c>
      <c r="J23" s="280">
        <f t="shared" si="0"/>
        <v>84</v>
      </c>
      <c r="K23" s="283">
        <f t="shared" si="1"/>
        <v>42</v>
      </c>
      <c r="M23" s="376">
        <v>19</v>
      </c>
      <c r="N23" s="286">
        <v>0</v>
      </c>
      <c r="O23" s="290">
        <v>0</v>
      </c>
    </row>
    <row r="24" spans="2:16" ht="15" x14ac:dyDescent="0.2">
      <c r="B24" s="376">
        <v>20</v>
      </c>
      <c r="C24" s="376">
        <v>20</v>
      </c>
      <c r="D24" s="286">
        <v>0</v>
      </c>
      <c r="E24" s="290">
        <v>0</v>
      </c>
      <c r="F24" s="386"/>
      <c r="G24" s="376">
        <v>20</v>
      </c>
      <c r="H24" s="379"/>
      <c r="I24" s="288">
        <v>84</v>
      </c>
      <c r="J24" s="280">
        <v>84</v>
      </c>
      <c r="K24" s="283">
        <f t="shared" si="1"/>
        <v>42</v>
      </c>
      <c r="M24" s="376">
        <v>20</v>
      </c>
      <c r="N24" s="286">
        <v>0</v>
      </c>
      <c r="O24" s="290">
        <v>0</v>
      </c>
    </row>
    <row r="25" spans="2:16" ht="15" x14ac:dyDescent="0.2">
      <c r="B25" s="376">
        <v>21</v>
      </c>
      <c r="C25" s="376">
        <v>21</v>
      </c>
      <c r="D25" s="286">
        <v>0</v>
      </c>
      <c r="E25" s="290">
        <v>0</v>
      </c>
      <c r="F25" s="386"/>
      <c r="G25" s="376">
        <v>21</v>
      </c>
      <c r="H25" s="379"/>
      <c r="I25" s="288">
        <v>83</v>
      </c>
      <c r="J25" s="280">
        <f t="shared" si="0"/>
        <v>83</v>
      </c>
      <c r="K25" s="283">
        <f t="shared" si="1"/>
        <v>41.5</v>
      </c>
      <c r="M25" s="376">
        <v>21</v>
      </c>
      <c r="N25" s="286">
        <v>0</v>
      </c>
      <c r="O25" s="290">
        <v>0</v>
      </c>
    </row>
    <row r="26" spans="2:16" ht="15" x14ac:dyDescent="0.2">
      <c r="B26" s="376">
        <v>22</v>
      </c>
      <c r="C26" s="376">
        <v>22</v>
      </c>
      <c r="D26" s="286">
        <v>0</v>
      </c>
      <c r="E26" s="290">
        <v>0</v>
      </c>
      <c r="F26" s="386"/>
      <c r="G26" s="376">
        <v>22</v>
      </c>
      <c r="H26" s="379"/>
      <c r="I26" s="288">
        <v>78</v>
      </c>
      <c r="J26" s="280">
        <f t="shared" si="0"/>
        <v>78</v>
      </c>
      <c r="K26" s="283">
        <f t="shared" si="1"/>
        <v>39</v>
      </c>
      <c r="M26" s="376">
        <v>22</v>
      </c>
      <c r="N26" s="286">
        <v>0</v>
      </c>
      <c r="O26" s="290">
        <v>0</v>
      </c>
    </row>
    <row r="27" spans="2:16" ht="15" x14ac:dyDescent="0.2">
      <c r="B27" s="376">
        <v>23</v>
      </c>
      <c r="C27" s="376">
        <v>23</v>
      </c>
      <c r="D27" s="286">
        <v>0</v>
      </c>
      <c r="E27" s="290">
        <v>0</v>
      </c>
      <c r="F27" s="386"/>
      <c r="G27" s="376">
        <v>23</v>
      </c>
      <c r="H27" s="379"/>
      <c r="I27" s="288">
        <v>79</v>
      </c>
      <c r="J27" s="280">
        <f t="shared" si="0"/>
        <v>79</v>
      </c>
      <c r="K27" s="283">
        <f t="shared" si="1"/>
        <v>39.5</v>
      </c>
      <c r="M27" s="376">
        <v>23</v>
      </c>
      <c r="N27" s="286">
        <v>0</v>
      </c>
      <c r="O27" s="290">
        <v>0</v>
      </c>
    </row>
    <row r="28" spans="2:16" ht="15.75" thickBot="1" x14ac:dyDescent="0.25">
      <c r="B28" s="377">
        <v>24</v>
      </c>
      <c r="C28" s="377">
        <v>24</v>
      </c>
      <c r="D28" s="286">
        <v>0</v>
      </c>
      <c r="E28" s="290">
        <v>0</v>
      </c>
      <c r="F28" s="386"/>
      <c r="G28" s="377">
        <v>24</v>
      </c>
      <c r="H28" s="380"/>
      <c r="I28" s="289">
        <v>82</v>
      </c>
      <c r="J28" s="381">
        <f t="shared" si="0"/>
        <v>82</v>
      </c>
      <c r="K28" s="393">
        <f t="shared" si="1"/>
        <v>41</v>
      </c>
      <c r="M28" s="377">
        <v>24</v>
      </c>
      <c r="N28" s="286">
        <v>0</v>
      </c>
      <c r="O28" s="290">
        <v>0</v>
      </c>
    </row>
    <row r="29" spans="2:16" ht="16.5" thickTop="1" thickBot="1" x14ac:dyDescent="0.25">
      <c r="C29" s="271"/>
      <c r="D29" s="272">
        <f>SUM(D5:D28)</f>
        <v>0</v>
      </c>
      <c r="E29" s="273">
        <f>SUM(E5:E28)</f>
        <v>0</v>
      </c>
      <c r="F29" s="284"/>
      <c r="G29" s="284"/>
      <c r="H29" s="284"/>
      <c r="I29" s="284"/>
      <c r="M29" s="271"/>
      <c r="N29" s="382">
        <f>SUM(N5:N28)</f>
        <v>15</v>
      </c>
      <c r="O29" s="273">
        <f>SUM(O5:O28)</f>
        <v>17.100000000000001</v>
      </c>
    </row>
    <row r="30" spans="2:16" x14ac:dyDescent="0.2">
      <c r="I30" s="256" t="s">
        <v>120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R37"/>
  <sheetViews>
    <sheetView showGridLines="0" tabSelected="1" zoomScale="85" workbookViewId="0">
      <selection activeCell="E10" sqref="E10"/>
    </sheetView>
  </sheetViews>
  <sheetFormatPr defaultRowHeight="12.75" x14ac:dyDescent="0.2"/>
  <cols>
    <col min="1" max="1" width="3.5703125" customWidth="1"/>
    <col min="2" max="2" width="13.28515625" customWidth="1"/>
    <col min="3" max="3" width="12.28515625" customWidth="1"/>
    <col min="4" max="4" width="13.28515625" customWidth="1"/>
    <col min="5" max="5" width="14.7109375" customWidth="1"/>
    <col min="8" max="8" width="11.7109375" customWidth="1"/>
    <col min="9" max="9" width="12.28515625" customWidth="1"/>
    <col min="10" max="10" width="15.28515625" customWidth="1"/>
    <col min="11" max="11" width="13.28515625" customWidth="1"/>
    <col min="12" max="12" width="10.42578125" customWidth="1"/>
    <col min="13" max="14" width="7.85546875" customWidth="1"/>
    <col min="15" max="15" width="8" customWidth="1"/>
    <col min="16" max="16" width="7.7109375" customWidth="1"/>
  </cols>
  <sheetData>
    <row r="1" spans="1:18" ht="15.75" x14ac:dyDescent="0.25">
      <c r="A1" s="50"/>
      <c r="B1" s="421" t="s">
        <v>16</v>
      </c>
      <c r="C1" s="421"/>
      <c r="D1" s="421"/>
      <c r="E1" s="421"/>
      <c r="F1" s="421"/>
      <c r="G1" s="421"/>
      <c r="H1" s="421"/>
      <c r="I1" s="421"/>
      <c r="J1" s="50"/>
      <c r="K1" s="341"/>
      <c r="L1" s="1"/>
      <c r="M1" s="1"/>
      <c r="N1" s="1"/>
      <c r="O1" s="1"/>
      <c r="P1" s="1"/>
    </row>
    <row r="2" spans="1:18" x14ac:dyDescent="0.2">
      <c r="A2" s="50"/>
      <c r="B2" s="50"/>
      <c r="C2" s="50"/>
      <c r="D2" s="50"/>
      <c r="E2" s="50"/>
      <c r="F2" s="50"/>
      <c r="G2" s="50"/>
      <c r="H2" s="129" t="s">
        <v>84</v>
      </c>
      <c r="I2" s="148">
        <v>19</v>
      </c>
      <c r="J2" s="50"/>
      <c r="K2" s="1"/>
      <c r="L2" s="1"/>
      <c r="M2" s="1"/>
      <c r="N2" s="1"/>
      <c r="O2" s="1"/>
      <c r="P2" s="1"/>
    </row>
    <row r="3" spans="1:18" ht="15" x14ac:dyDescent="0.25">
      <c r="A3" s="50"/>
      <c r="B3" s="51"/>
      <c r="C3" s="52"/>
      <c r="D3" s="53" t="s">
        <v>62</v>
      </c>
      <c r="E3" s="257">
        <f>P29</f>
        <v>519</v>
      </c>
      <c r="F3" s="51"/>
      <c r="G3" s="52"/>
      <c r="H3" s="53" t="s">
        <v>5</v>
      </c>
      <c r="I3" s="235">
        <v>920</v>
      </c>
      <c r="K3" s="112" t="s">
        <v>68</v>
      </c>
      <c r="L3" s="111">
        <f>E3</f>
        <v>519</v>
      </c>
      <c r="M3" s="1"/>
      <c r="N3" s="1"/>
      <c r="O3" s="1"/>
      <c r="P3" s="1"/>
    </row>
    <row r="4" spans="1:18" ht="15" x14ac:dyDescent="0.25">
      <c r="A4" s="50"/>
      <c r="B4" s="54"/>
      <c r="C4" s="55"/>
      <c r="D4" s="56" t="s">
        <v>0</v>
      </c>
      <c r="E4" s="296">
        <f>O32</f>
        <v>582</v>
      </c>
      <c r="F4" s="54"/>
      <c r="G4" s="55"/>
      <c r="H4" s="56" t="s">
        <v>3</v>
      </c>
      <c r="I4" s="7">
        <v>46</v>
      </c>
      <c r="K4" s="113" t="s">
        <v>69</v>
      </c>
      <c r="L4" s="306">
        <f>O29</f>
        <v>433</v>
      </c>
      <c r="M4" s="1"/>
      <c r="N4" s="1"/>
      <c r="O4" s="1"/>
      <c r="P4" s="1"/>
    </row>
    <row r="5" spans="1:18" ht="15" x14ac:dyDescent="0.25">
      <c r="A5" s="50"/>
      <c r="B5" s="54"/>
      <c r="C5" s="55"/>
      <c r="D5" s="56" t="s">
        <v>34</v>
      </c>
      <c r="E5" s="414">
        <v>50</v>
      </c>
      <c r="F5" s="54"/>
      <c r="G5" s="55"/>
      <c r="H5" s="56" t="s">
        <v>4</v>
      </c>
      <c r="I5" s="7">
        <v>25</v>
      </c>
      <c r="K5" s="114" t="s">
        <v>67</v>
      </c>
      <c r="L5" s="127">
        <f>L3-L4</f>
        <v>86</v>
      </c>
      <c r="M5" s="1"/>
      <c r="N5" s="1"/>
      <c r="O5" s="1"/>
      <c r="P5" s="1"/>
    </row>
    <row r="6" spans="1:18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N6" s="1"/>
      <c r="O6" s="1"/>
      <c r="P6" s="1"/>
    </row>
    <row r="7" spans="1:18" ht="15" x14ac:dyDescent="0.25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124" t="s">
        <v>70</v>
      </c>
      <c r="K7" s="115">
        <v>118</v>
      </c>
      <c r="L7" s="109" t="s">
        <v>72</v>
      </c>
      <c r="M7" s="297">
        <f>P29</f>
        <v>519</v>
      </c>
      <c r="N7" s="128"/>
      <c r="O7" s="128"/>
      <c r="P7" s="1"/>
    </row>
    <row r="8" spans="1:18" ht="15" x14ac:dyDescent="0.25">
      <c r="A8" s="50"/>
      <c r="B8" s="57"/>
      <c r="C8" s="58"/>
      <c r="D8" s="59" t="s">
        <v>172</v>
      </c>
      <c r="E8" s="3">
        <v>52</v>
      </c>
      <c r="F8" s="57"/>
      <c r="G8" s="58"/>
      <c r="H8" s="59" t="s">
        <v>31</v>
      </c>
      <c r="I8" s="236">
        <v>0</v>
      </c>
      <c r="J8" s="125" t="s">
        <v>71</v>
      </c>
      <c r="K8" s="116">
        <v>50</v>
      </c>
      <c r="L8" s="126" t="s">
        <v>129</v>
      </c>
      <c r="M8" s="116">
        <v>0</v>
      </c>
      <c r="N8" s="128"/>
      <c r="O8" s="128"/>
      <c r="P8" s="1"/>
    </row>
    <row r="9" spans="1:18" ht="15.75" thickBot="1" x14ac:dyDescent="0.3">
      <c r="A9" s="50"/>
      <c r="B9" s="54"/>
      <c r="C9" s="55"/>
      <c r="D9" s="56" t="s">
        <v>2</v>
      </c>
      <c r="E9" s="60">
        <f>SUM(E3:E8)</f>
        <v>1203</v>
      </c>
      <c r="F9" s="54"/>
      <c r="G9" s="55"/>
      <c r="H9" s="56" t="s">
        <v>6</v>
      </c>
      <c r="I9" s="61">
        <f>SUM(I3:I8)</f>
        <v>1141</v>
      </c>
      <c r="J9" s="50"/>
      <c r="K9" s="123">
        <f>K7-K8</f>
        <v>68</v>
      </c>
      <c r="M9" s="258">
        <f>SUM(M7:M8)</f>
        <v>519</v>
      </c>
      <c r="N9" s="37"/>
      <c r="O9" s="37"/>
      <c r="P9" s="1"/>
    </row>
    <row r="10" spans="1:18" ht="15" thickTop="1" x14ac:dyDescent="0.2">
      <c r="A10" s="50"/>
      <c r="B10" s="54"/>
      <c r="C10" s="55"/>
      <c r="D10" s="62"/>
      <c r="E10" s="63"/>
      <c r="F10" s="54"/>
      <c r="G10" s="55"/>
      <c r="H10" s="62"/>
      <c r="I10" s="64"/>
      <c r="J10" s="50"/>
      <c r="K10" s="1"/>
      <c r="L10" s="1"/>
      <c r="M10" s="1"/>
      <c r="N10" s="1"/>
      <c r="O10" s="1"/>
      <c r="P10" s="1"/>
    </row>
    <row r="11" spans="1:18" ht="15" x14ac:dyDescent="0.25">
      <c r="A11" s="50"/>
      <c r="B11" s="51"/>
      <c r="C11" s="52"/>
      <c r="D11" s="53" t="s">
        <v>7</v>
      </c>
      <c r="E11" s="105">
        <v>90</v>
      </c>
      <c r="F11" s="65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180"/>
      <c r="M11" s="36"/>
      <c r="N11" s="181"/>
      <c r="O11" s="182"/>
      <c r="P11" s="183"/>
      <c r="Q11" s="181"/>
      <c r="R11" s="182"/>
    </row>
    <row r="12" spans="1:18" ht="15" x14ac:dyDescent="0.25">
      <c r="A12" s="50"/>
      <c r="B12" s="54"/>
      <c r="C12" s="55"/>
      <c r="D12" s="56" t="s">
        <v>36</v>
      </c>
      <c r="E12" s="106">
        <f>0.5*E11</f>
        <v>45</v>
      </c>
      <c r="F12" s="67"/>
      <c r="G12" s="55"/>
      <c r="H12" s="56" t="s">
        <v>39</v>
      </c>
      <c r="I12" s="303">
        <v>100</v>
      </c>
      <c r="J12" s="50"/>
      <c r="K12" s="1"/>
      <c r="L12" s="183"/>
      <c r="M12" s="256" t="s">
        <v>120</v>
      </c>
      <c r="N12" s="183"/>
      <c r="O12" s="183"/>
      <c r="P12" s="36"/>
      <c r="Q12" s="183"/>
      <c r="R12" s="183"/>
    </row>
    <row r="13" spans="1:18" ht="15" x14ac:dyDescent="0.25">
      <c r="A13" s="50"/>
      <c r="B13" s="54"/>
      <c r="C13" s="55"/>
      <c r="D13" s="56" t="s">
        <v>37</v>
      </c>
      <c r="E13" s="106">
        <f>+E11-E12</f>
        <v>45</v>
      </c>
      <c r="F13" s="67"/>
      <c r="G13" s="55"/>
      <c r="H13" s="56" t="s">
        <v>10</v>
      </c>
      <c r="I13" s="303">
        <v>25</v>
      </c>
      <c r="J13" s="50"/>
      <c r="K13" s="1"/>
      <c r="L13" s="183"/>
      <c r="M13" s="184"/>
      <c r="N13" s="184"/>
      <c r="O13" s="184"/>
      <c r="P13" s="183"/>
      <c r="Q13" s="183"/>
      <c r="R13" s="183"/>
    </row>
    <row r="14" spans="1:18" ht="15" x14ac:dyDescent="0.25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50"/>
      <c r="K14" s="1"/>
      <c r="L14" s="183"/>
      <c r="M14" s="184"/>
      <c r="N14" s="184"/>
      <c r="O14" s="184"/>
      <c r="P14" s="184"/>
      <c r="Q14" s="184"/>
      <c r="R14" s="184"/>
    </row>
    <row r="15" spans="1:18" ht="15" thickBot="1" x14ac:dyDescent="0.25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79</v>
      </c>
      <c r="K15" s="190">
        <v>45.75</v>
      </c>
      <c r="L15" s="183"/>
      <c r="N15" s="184"/>
      <c r="O15" s="184"/>
      <c r="P15" s="184"/>
      <c r="Q15" s="184"/>
      <c r="R15" s="184"/>
    </row>
    <row r="16" spans="1:18" ht="15.75" thickTop="1" x14ac:dyDescent="0.25">
      <c r="A16" s="50"/>
      <c r="B16" s="51"/>
      <c r="C16" s="52"/>
      <c r="D16" s="53" t="s">
        <v>41</v>
      </c>
      <c r="E16" s="118">
        <f>+E9-I9</f>
        <v>62</v>
      </c>
      <c r="F16" s="108">
        <f>SpinReq+Nonspin</f>
        <v>89</v>
      </c>
      <c r="G16" s="418" t="s">
        <v>23</v>
      </c>
      <c r="H16" s="419"/>
      <c r="I16" s="419"/>
      <c r="J16" s="420"/>
      <c r="L16" s="183"/>
      <c r="M16" s="349"/>
      <c r="N16" s="373" t="s">
        <v>160</v>
      </c>
      <c r="O16" s="353" t="s">
        <v>127</v>
      </c>
      <c r="P16" s="353" t="s">
        <v>128</v>
      </c>
      <c r="Q16" s="362" t="s">
        <v>132</v>
      </c>
      <c r="R16" s="366" t="s">
        <v>159</v>
      </c>
    </row>
    <row r="17" spans="1:18" ht="15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>
        <f>E14+Nonspin</f>
        <v>119</v>
      </c>
      <c r="G17" s="51"/>
      <c r="H17" s="71"/>
      <c r="I17" s="53" t="s">
        <v>17</v>
      </c>
      <c r="J17" s="72" t="s">
        <v>18</v>
      </c>
      <c r="K17" s="1"/>
      <c r="L17" s="183"/>
      <c r="M17" s="367"/>
      <c r="N17" s="342" t="s">
        <v>124</v>
      </c>
      <c r="O17" s="261">
        <v>43</v>
      </c>
      <c r="P17" s="359">
        <v>80</v>
      </c>
      <c r="Q17" s="363">
        <f>+MIN(P17-O17,R17*10)</f>
        <v>30</v>
      </c>
      <c r="R17" s="348">
        <v>3</v>
      </c>
    </row>
    <row r="18" spans="1:18" ht="15" x14ac:dyDescent="0.25">
      <c r="A18" s="50"/>
      <c r="B18" s="54"/>
      <c r="C18" s="55"/>
      <c r="D18" s="73" t="s">
        <v>45</v>
      </c>
      <c r="E18" s="74">
        <f>E16+E17</f>
        <v>112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367"/>
      <c r="N18" s="342">
        <v>2</v>
      </c>
      <c r="O18" s="261">
        <v>48</v>
      </c>
      <c r="P18" s="359">
        <v>82</v>
      </c>
      <c r="Q18" s="364">
        <f t="shared" ref="Q18:Q28" si="0">+MIN(P18-O18,R18*10)</f>
        <v>34</v>
      </c>
      <c r="R18" s="349">
        <v>4.5</v>
      </c>
    </row>
    <row r="19" spans="1:18" ht="15" x14ac:dyDescent="0.25">
      <c r="A19" s="50"/>
      <c r="B19" s="54"/>
      <c r="C19" s="55"/>
      <c r="D19" s="73" t="s">
        <v>38</v>
      </c>
      <c r="E19" s="75">
        <f>+E16-E12-IF((E17-E13)&lt;0,E13-E17,0)</f>
        <v>17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367"/>
      <c r="N19" s="342">
        <v>3</v>
      </c>
      <c r="O19" s="261">
        <v>0</v>
      </c>
      <c r="P19" s="359">
        <v>0</v>
      </c>
      <c r="Q19" s="364">
        <f t="shared" si="0"/>
        <v>0</v>
      </c>
      <c r="R19" s="349">
        <v>3.37</v>
      </c>
    </row>
    <row r="20" spans="1:18" ht="15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367"/>
      <c r="N20" s="342" t="s">
        <v>154</v>
      </c>
      <c r="O20" s="261">
        <v>0</v>
      </c>
      <c r="P20" s="359">
        <v>0</v>
      </c>
      <c r="Q20" s="364">
        <f t="shared" si="0"/>
        <v>0</v>
      </c>
      <c r="R20" s="349">
        <v>10</v>
      </c>
    </row>
    <row r="21" spans="1:18" ht="15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367"/>
      <c r="N21" s="344" t="s">
        <v>155</v>
      </c>
      <c r="O21" s="355">
        <v>0</v>
      </c>
      <c r="P21" s="335">
        <v>0</v>
      </c>
      <c r="Q21" s="364">
        <f t="shared" si="0"/>
        <v>0</v>
      </c>
      <c r="R21" s="349">
        <v>10</v>
      </c>
    </row>
    <row r="22" spans="1:18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36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349">
        <v>3.33</v>
      </c>
    </row>
    <row r="23" spans="1:18" ht="15.75" thickTop="1" x14ac:dyDescent="0.25">
      <c r="A23" s="50"/>
      <c r="B23" s="77"/>
      <c r="C23" s="78"/>
      <c r="D23" s="79" t="s">
        <v>43</v>
      </c>
      <c r="E23" s="80">
        <f>E19</f>
        <v>17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185"/>
      <c r="M23" s="368"/>
      <c r="N23" s="344" t="s">
        <v>157</v>
      </c>
      <c r="O23" s="355">
        <v>0</v>
      </c>
      <c r="P23" s="335">
        <v>0</v>
      </c>
      <c r="Q23" s="364">
        <f t="shared" si="0"/>
        <v>0</v>
      </c>
      <c r="R23" s="349">
        <v>3.6</v>
      </c>
    </row>
    <row r="24" spans="1:18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369"/>
      <c r="N24" s="342" t="s">
        <v>158</v>
      </c>
      <c r="O24" s="261">
        <v>214</v>
      </c>
      <c r="P24" s="359">
        <v>214</v>
      </c>
      <c r="Q24" s="364">
        <f t="shared" si="0"/>
        <v>0</v>
      </c>
      <c r="R24" s="349">
        <v>3.6</v>
      </c>
    </row>
    <row r="25" spans="1:18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370"/>
      <c r="N25" s="346" t="s">
        <v>129</v>
      </c>
      <c r="O25" s="347">
        <v>0</v>
      </c>
      <c r="P25" s="360">
        <v>0</v>
      </c>
      <c r="Q25" s="364">
        <f t="shared" si="0"/>
        <v>0</v>
      </c>
      <c r="R25" s="349">
        <v>10</v>
      </c>
    </row>
    <row r="26" spans="1:18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371"/>
      <c r="N26" s="343">
        <v>6</v>
      </c>
      <c r="O26" s="261">
        <v>0</v>
      </c>
      <c r="P26" s="359">
        <v>0</v>
      </c>
      <c r="Q26" s="364">
        <f t="shared" si="0"/>
        <v>0</v>
      </c>
      <c r="R26" s="349">
        <v>2</v>
      </c>
    </row>
    <row r="27" spans="1:18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369"/>
      <c r="N27" s="343">
        <v>7</v>
      </c>
      <c r="O27" s="261">
        <v>33</v>
      </c>
      <c r="P27" s="359">
        <v>33</v>
      </c>
      <c r="Q27" s="364">
        <f t="shared" si="0"/>
        <v>0</v>
      </c>
      <c r="R27" s="349">
        <v>2.1</v>
      </c>
    </row>
    <row r="28" spans="1:18" ht="15.75" thickBot="1" x14ac:dyDescent="0.3">
      <c r="A28" s="50"/>
      <c r="B28" s="307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372"/>
      <c r="N28" s="345">
        <v>8</v>
      </c>
      <c r="O28" s="262">
        <v>95</v>
      </c>
      <c r="P28" s="361">
        <v>110</v>
      </c>
      <c r="Q28" s="365">
        <f t="shared" si="0"/>
        <v>15</v>
      </c>
      <c r="R28" s="350">
        <v>2.1</v>
      </c>
    </row>
    <row r="29" spans="1:18" ht="16.5" thickTop="1" thickBot="1" x14ac:dyDescent="0.3">
      <c r="A29" s="50"/>
      <c r="B29" s="308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00">
        <f>SUM(O17:O28)</f>
        <v>433</v>
      </c>
      <c r="P29" s="357">
        <f>SUM(P17:P28)</f>
        <v>519</v>
      </c>
      <c r="Q29" s="358">
        <f>SUM(Q17:Q28)</f>
        <v>79</v>
      </c>
      <c r="R29" s="351"/>
    </row>
    <row r="30" spans="1:18" ht="15.75" thickTop="1" x14ac:dyDescent="0.25">
      <c r="A30" s="50"/>
      <c r="B30" s="308"/>
      <c r="C30" s="309"/>
      <c r="D30" s="310"/>
      <c r="E30" s="307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/>
      <c r="M30" s="1"/>
      <c r="N30" s="265" t="s">
        <v>125</v>
      </c>
      <c r="O30" s="263">
        <v>52</v>
      </c>
      <c r="P30" s="266">
        <v>108</v>
      </c>
      <c r="Q30" s="354"/>
      <c r="R30" s="1"/>
    </row>
    <row r="31" spans="1:18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530</v>
      </c>
      <c r="P31" s="266">
        <v>600</v>
      </c>
      <c r="Q31" s="1"/>
      <c r="R31" s="1"/>
    </row>
    <row r="32" spans="1:18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312">
        <f>K23-K30</f>
        <v>0</v>
      </c>
      <c r="L32" s="1"/>
      <c r="M32" s="1"/>
      <c r="N32" s="268"/>
      <c r="O32" s="295">
        <f>SUM(O30:O31)</f>
        <v>582</v>
      </c>
      <c r="P32" s="269">
        <f>SUM(P30:P31)</f>
        <v>708</v>
      </c>
      <c r="Q32" s="1"/>
      <c r="R32" s="1"/>
    </row>
    <row r="33" spans="1:16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</row>
    <row r="34" spans="1:16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374" t="s">
        <v>176</v>
      </c>
      <c r="O34" s="1"/>
      <c r="P34" s="1"/>
    </row>
    <row r="35" spans="1:16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</row>
    <row r="36" spans="1:16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2">
    <mergeCell ref="B1:I1"/>
    <mergeCell ref="G16:J16"/>
  </mergeCells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Calculator-Hourly</vt:lpstr>
      <vt:lpstr>Load</vt:lpstr>
      <vt:lpstr>Last Year's Load</vt:lpstr>
      <vt:lpstr>Calculations</vt:lpstr>
      <vt:lpstr>Spin</vt:lpstr>
      <vt:lpstr>Calculator-Peak</vt:lpstr>
      <vt:lpstr>Deficiency</vt:lpstr>
      <vt:lpstr>NFPurchase</vt:lpstr>
      <vt:lpstr>Nonspin</vt:lpstr>
      <vt:lpstr>NonSpinReq</vt:lpstr>
      <vt:lpstr>Calculations!Print_Area</vt:lpstr>
      <vt:lpstr>'Calculator-Hourly'!Print_Area</vt:lpstr>
      <vt:lpstr>'Calculator-Peak'!Print_Area</vt:lpstr>
      <vt:lpstr>Load!Print_Area</vt:lpstr>
      <vt:lpstr>Spin</vt:lpstr>
      <vt:lpstr>SpinReq</vt:lpstr>
      <vt:lpstr>TotalSpin</vt:lpstr>
      <vt:lpstr>TotalSpinReq</vt:lpstr>
    </vt:vector>
  </TitlesOfParts>
  <Company>Electric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Felienne</cp:lastModifiedBy>
  <cp:lastPrinted>2000-11-03T18:15:59Z</cp:lastPrinted>
  <dcterms:created xsi:type="dcterms:W3CDTF">1998-09-28T18:26:36Z</dcterms:created>
  <dcterms:modified xsi:type="dcterms:W3CDTF">2014-09-05T09:58:20Z</dcterms:modified>
</cp:coreProperties>
</file>