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8325" tabRatio="611"/>
  </bookViews>
  <sheets>
    <sheet name="UNLNK" sheetId="2" r:id="rId1"/>
    <sheet name="LNK" sheetId="1" r:id="rId2"/>
    <sheet name="REF" sheetId="3" r:id="rId3"/>
  </sheets>
  <externalReferences>
    <externalReference r:id="rId4"/>
    <externalReference r:id="rId5"/>
    <externalReference r:id="rId6"/>
    <externalReference r:id="rId7"/>
  </externalReferences>
  <definedNames>
    <definedName name="BLPH1" hidden="1">LNK!$W$27</definedName>
    <definedName name="BLPH2" hidden="1">LNK!$W$25</definedName>
    <definedName name="BLPH3" hidden="1">LNK!$O$24</definedName>
    <definedName name="_xlnm.Print_Area" localSheetId="1">LNK!$A$1:$U$64</definedName>
    <definedName name="_xlnm.Print_Area" localSheetId="0">UNLNK!$B$1:$T$70</definedName>
  </definedNames>
  <calcPr calcId="152511"/>
</workbook>
</file>

<file path=xl/calcChain.xml><?xml version="1.0" encoding="utf-8"?>
<calcChain xmlns="http://schemas.openxmlformats.org/spreadsheetml/2006/main">
  <c r="E3" i="1" l="1"/>
  <c r="D3" i="1" s="1"/>
  <c r="K3" i="1" s="1"/>
  <c r="D5" i="1"/>
  <c r="E5" i="1"/>
  <c r="F5" i="1" s="1"/>
  <c r="L5" i="1"/>
  <c r="M5" i="1" s="1"/>
  <c r="D6" i="1"/>
  <c r="E6" i="1"/>
  <c r="F6" i="1"/>
  <c r="L6" i="1"/>
  <c r="M6" i="1"/>
  <c r="D7" i="1"/>
  <c r="E7" i="1"/>
  <c r="F7" i="1" s="1"/>
  <c r="L7" i="1"/>
  <c r="M7" i="1"/>
  <c r="D8" i="1"/>
  <c r="E8" i="1"/>
  <c r="F8" i="1"/>
  <c r="L8" i="1"/>
  <c r="M8" i="1"/>
  <c r="D9" i="1"/>
  <c r="E9" i="1"/>
  <c r="F9" i="1"/>
  <c r="L9" i="1"/>
  <c r="M9" i="1"/>
  <c r="D10" i="1"/>
  <c r="F10" i="1" s="1"/>
  <c r="E10" i="1"/>
  <c r="L10" i="1"/>
  <c r="M10" i="1"/>
  <c r="D11" i="1"/>
  <c r="E11" i="1"/>
  <c r="F11" i="1"/>
  <c r="L11" i="1"/>
  <c r="M11" i="1" s="1"/>
  <c r="D12" i="1"/>
  <c r="F12" i="1" s="1"/>
  <c r="E12" i="1"/>
  <c r="D13" i="1"/>
  <c r="E13" i="1"/>
  <c r="F13" i="1"/>
  <c r="K13" i="1"/>
  <c r="M13" i="1" s="1"/>
  <c r="L13" i="1"/>
  <c r="D14" i="1"/>
  <c r="E14" i="1"/>
  <c r="F14" i="1"/>
  <c r="K14" i="1"/>
  <c r="L14" i="1"/>
  <c r="M14" i="1"/>
  <c r="D15" i="1"/>
  <c r="E15" i="1"/>
  <c r="F15" i="1" s="1"/>
  <c r="K15" i="1"/>
  <c r="L15" i="1"/>
  <c r="M15" i="1"/>
  <c r="K16" i="1"/>
  <c r="L16" i="1"/>
  <c r="M16" i="1" s="1"/>
  <c r="D17" i="1"/>
  <c r="F17" i="1" s="1"/>
  <c r="E17" i="1"/>
  <c r="K17" i="1"/>
  <c r="L17" i="1"/>
  <c r="M17" i="1"/>
  <c r="D18" i="1"/>
  <c r="F18" i="1" s="1"/>
  <c r="E18" i="1"/>
  <c r="K18" i="1"/>
  <c r="L18" i="1"/>
  <c r="M18" i="1"/>
  <c r="D19" i="1"/>
  <c r="E19" i="1"/>
  <c r="F19" i="1"/>
  <c r="K19" i="1"/>
  <c r="L19" i="1"/>
  <c r="M19" i="1" s="1"/>
  <c r="D20" i="1"/>
  <c r="E20" i="1"/>
  <c r="F20" i="1"/>
  <c r="D21" i="1"/>
  <c r="E21" i="1"/>
  <c r="F21" i="1" s="1"/>
  <c r="D22" i="1"/>
  <c r="F22" i="1" s="1"/>
  <c r="E22" i="1"/>
  <c r="D26" i="1"/>
  <c r="E26" i="1"/>
  <c r="F26" i="1"/>
  <c r="W26" i="1"/>
  <c r="W25" i="1" s="1"/>
  <c r="D27" i="1"/>
  <c r="E27" i="1"/>
  <c r="F27" i="1" s="1"/>
  <c r="W27" i="1"/>
  <c r="W28" i="1"/>
  <c r="D31" i="1"/>
  <c r="E31" i="1"/>
  <c r="F31" i="1"/>
  <c r="D32" i="1"/>
  <c r="E32" i="1"/>
  <c r="F32" i="1"/>
  <c r="K34" i="1"/>
  <c r="L34" i="1"/>
  <c r="M34" i="1" s="1"/>
  <c r="D36" i="1"/>
  <c r="E36" i="1"/>
  <c r="F36" i="1" s="1"/>
  <c r="K37" i="1"/>
  <c r="L37" i="1"/>
  <c r="M37" i="1" s="1"/>
  <c r="K38" i="1"/>
  <c r="L38" i="1"/>
  <c r="M38" i="1" s="1"/>
  <c r="K39" i="1"/>
  <c r="M39" i="1" s="1"/>
  <c r="L39" i="1"/>
  <c r="E40" i="1"/>
  <c r="D40" i="1" s="1"/>
  <c r="F40" i="1" s="1"/>
  <c r="K40" i="1"/>
  <c r="M40" i="1" s="1"/>
  <c r="L40" i="1"/>
  <c r="E41" i="1"/>
  <c r="D41" i="1" s="1"/>
  <c r="F41" i="1" s="1"/>
  <c r="E42" i="1"/>
  <c r="D42" i="1" s="1"/>
  <c r="F42" i="1" s="1"/>
  <c r="E43" i="1"/>
  <c r="D43" i="1" s="1"/>
  <c r="F43" i="1" s="1"/>
  <c r="E44" i="1"/>
  <c r="E45" i="1"/>
  <c r="D45" i="1" s="1"/>
  <c r="F45" i="1" s="1"/>
  <c r="E46" i="1"/>
  <c r="D46" i="1" s="1"/>
  <c r="M46" i="1"/>
  <c r="M47" i="1"/>
  <c r="G56" i="1"/>
  <c r="N56" i="1"/>
  <c r="G66" i="1"/>
  <c r="N66" i="1" s="1"/>
  <c r="X27" i="1" a="1"/>
  <c r="L28" i="1" a="1"/>
  <c r="L30" i="1" a="1"/>
  <c r="L31" i="1" a="1"/>
  <c r="L32" i="1" a="1"/>
  <c r="D34" i="1" a="1"/>
  <c r="D35" i="1" a="1"/>
  <c r="D37" i="1" a="1"/>
  <c r="D38" i="1" a="1"/>
  <c r="E28" i="1"/>
  <c r="D33" i="1" a="1"/>
  <c r="D23" i="1" a="1"/>
  <c r="L27" i="1" a="1"/>
  <c r="E33" i="1" a="1"/>
  <c r="K23" i="1" a="1"/>
  <c r="E25" i="1" a="1"/>
  <c r="L26" i="1" a="1"/>
  <c r="X29" i="1" a="1"/>
  <c r="L23" i="1" a="1"/>
  <c r="E30" i="1"/>
  <c r="K25" i="1" a="1"/>
  <c r="K41" i="1" a="1"/>
  <c r="L22" i="1"/>
  <c r="K24" i="1" a="1"/>
  <c r="X25" i="1" a="1"/>
  <c r="K27" i="1" a="1"/>
  <c r="D28" i="1" a="1"/>
  <c r="D30" i="1"/>
  <c r="E34" i="1" a="1"/>
  <c r="E35" i="1" a="1"/>
  <c r="E37" i="1" a="1"/>
  <c r="E38" i="1" a="1"/>
  <c r="E47" i="1" a="1"/>
  <c r="L24" i="1" a="1"/>
  <c r="X28" i="1" a="1"/>
  <c r="D29" i="1"/>
  <c r="E23" i="1" a="1"/>
  <c r="D24" i="1" a="1"/>
  <c r="L25" i="1" a="1"/>
  <c r="K28" i="1" a="1"/>
  <c r="E29" i="1"/>
  <c r="K30" i="1" a="1"/>
  <c r="K31" i="1" a="1"/>
  <c r="K32" i="1" a="1"/>
  <c r="L41" i="1" a="1"/>
  <c r="E24" i="1"/>
  <c r="D25" i="1" a="1"/>
  <c r="K26" i="1" a="1"/>
  <c r="X26" i="1" a="1"/>
  <c r="L3" i="1" l="1"/>
  <c r="X26" i="1"/>
  <c r="K26" i="1"/>
  <c r="D25" i="1"/>
  <c r="L41" i="1"/>
  <c r="K32" i="1"/>
  <c r="K31" i="1"/>
  <c r="K30" i="1"/>
  <c r="F29" i="1"/>
  <c r="K28" i="1"/>
  <c r="L25" i="1"/>
  <c r="D24" i="1"/>
  <c r="F24" i="1" s="1"/>
  <c r="E23" i="1"/>
  <c r="X28" i="1"/>
  <c r="L24" i="1"/>
  <c r="E47" i="1"/>
  <c r="E38" i="1"/>
  <c r="E37" i="1"/>
  <c r="E35" i="1"/>
  <c r="E34" i="1"/>
  <c r="D28" i="1"/>
  <c r="K27" i="1"/>
  <c r="X25" i="1"/>
  <c r="K24" i="1"/>
  <c r="K41" i="1"/>
  <c r="K25" i="1"/>
  <c r="F30" i="1"/>
  <c r="L23" i="1"/>
  <c r="X29" i="1"/>
  <c r="L26" i="1"/>
  <c r="E25" i="1"/>
  <c r="K23" i="1"/>
  <c r="E33" i="1"/>
  <c r="L27" i="1"/>
  <c r="D23" i="1"/>
  <c r="D33" i="1"/>
  <c r="F28" i="1"/>
  <c r="D38" i="1"/>
  <c r="D37" i="1"/>
  <c r="D35" i="1"/>
  <c r="D34" i="1"/>
  <c r="L32" i="1"/>
  <c r="L31" i="1"/>
  <c r="L30" i="1"/>
  <c r="L28" i="1"/>
  <c r="X27" i="1"/>
  <c r="F46" i="1"/>
  <c r="D44" i="1"/>
  <c r="F44" i="1" s="1"/>
  <c r="M23" i="1" l="1"/>
  <c r="M31" i="1"/>
  <c r="F35" i="1"/>
  <c r="M25" i="1"/>
  <c r="M30" i="1"/>
  <c r="M32" i="1"/>
  <c r="M27" i="1"/>
  <c r="F37" i="1"/>
  <c r="F38" i="1"/>
  <c r="F34" i="1"/>
  <c r="F33" i="1"/>
  <c r="F25" i="1"/>
  <c r="M24" i="1"/>
  <c r="M26" i="1"/>
  <c r="M28" i="1"/>
  <c r="F23" i="1"/>
  <c r="M41" i="1"/>
  <c r="D47" i="1" a="1"/>
  <c r="D47" i="1" l="1"/>
  <c r="F47" i="1" s="1"/>
</calcChain>
</file>

<file path=xl/comments1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<sst xmlns="http://schemas.openxmlformats.org/spreadsheetml/2006/main" count="438" uniqueCount="192">
  <si>
    <t>Dow Jones Industrial Average</t>
  </si>
  <si>
    <t>NASDAQ Composite</t>
  </si>
  <si>
    <t>NASDAQ 100</t>
  </si>
  <si>
    <t>S&amp;P 500</t>
  </si>
  <si>
    <t>LIBOR</t>
  </si>
  <si>
    <t>3 Month</t>
  </si>
  <si>
    <t>6 Month</t>
  </si>
  <si>
    <t>1 Year</t>
  </si>
  <si>
    <t>2 Year</t>
  </si>
  <si>
    <t>5 Year</t>
  </si>
  <si>
    <t>10 Year</t>
  </si>
  <si>
    <t>30 Year</t>
  </si>
  <si>
    <t>% Change</t>
  </si>
  <si>
    <t>US Treasuries</t>
  </si>
  <si>
    <t>$/Euro</t>
  </si>
  <si>
    <t>$/Pound</t>
  </si>
  <si>
    <t>bp change</t>
  </si>
  <si>
    <t>Russell 2000</t>
  </si>
  <si>
    <t>Economic Data</t>
  </si>
  <si>
    <t>FTSE</t>
  </si>
  <si>
    <t>Nikkei</t>
  </si>
  <si>
    <t>DAX</t>
  </si>
  <si>
    <t>CAC 40</t>
  </si>
  <si>
    <t>Equity Market Indices</t>
  </si>
  <si>
    <t>BB Spread</t>
  </si>
  <si>
    <t>B Spread</t>
  </si>
  <si>
    <t>Industry Data</t>
  </si>
  <si>
    <t xml:space="preserve">Previous Week's News  </t>
  </si>
  <si>
    <t>Equity/Commodity Markets</t>
  </si>
  <si>
    <t>Electricity COB ($/MWh)</t>
  </si>
  <si>
    <t>Nymex Crude Oil ($/Bbl)</t>
  </si>
  <si>
    <t>Merrill Lynch High Yield Index</t>
  </si>
  <si>
    <t xml:space="preserve">This Week's News  </t>
  </si>
  <si>
    <t>Wilshire 5000</t>
  </si>
  <si>
    <t>TSE 300</t>
  </si>
  <si>
    <t>US</t>
  </si>
  <si>
    <t>Canada</t>
  </si>
  <si>
    <t>Japan</t>
  </si>
  <si>
    <t>Prime Rate (Current)</t>
  </si>
  <si>
    <t>Europe</t>
  </si>
  <si>
    <t>Australia</t>
  </si>
  <si>
    <t>IPE Brent Crude ( $/Bbl)</t>
  </si>
  <si>
    <t>NYMEX HO (cents/Gal)</t>
  </si>
  <si>
    <t>Enron Related Securities</t>
  </si>
  <si>
    <t>Enron (ENE)</t>
  </si>
  <si>
    <t>EOG Resources (EOG)</t>
  </si>
  <si>
    <t>The New Power Company (NPW)</t>
  </si>
  <si>
    <t>Northern Border Partners (NBP)</t>
  </si>
  <si>
    <t>Nymex Gas Henry Hub ($/MMBtu)</t>
  </si>
  <si>
    <t>INDU Index</t>
  </si>
  <si>
    <t>CCMP Index</t>
  </si>
  <si>
    <t>NDQ Index</t>
  </si>
  <si>
    <t>SPX Index</t>
  </si>
  <si>
    <t>RTY Index</t>
  </si>
  <si>
    <t>TMW Index</t>
  </si>
  <si>
    <t>TS300 Index</t>
  </si>
  <si>
    <t>UKX Index</t>
  </si>
  <si>
    <t>NKY Index</t>
  </si>
  <si>
    <t>DAX Index</t>
  </si>
  <si>
    <t>CAC Index</t>
  </si>
  <si>
    <t>OW1  Comdty</t>
  </si>
  <si>
    <t>CL1 Comdty</t>
  </si>
  <si>
    <t>CO1 Comdty</t>
  </si>
  <si>
    <t>HU1 Comdty</t>
  </si>
  <si>
    <t>NG1 Comdty</t>
  </si>
  <si>
    <t>HO1 Comdty</t>
  </si>
  <si>
    <t>ELEASO21 Index</t>
  </si>
  <si>
    <t>ELEANOX4 Index</t>
  </si>
  <si>
    <t>GC1 Comdty</t>
  </si>
  <si>
    <t>PL1 Comdty</t>
  </si>
  <si>
    <t>LB1 Comdty</t>
  </si>
  <si>
    <t>PX_Last</t>
  </si>
  <si>
    <t>CUSIP</t>
  </si>
  <si>
    <t>PX_Close_5D</t>
  </si>
  <si>
    <t>PX_Settle</t>
  </si>
  <si>
    <t>CHG_NET_5D</t>
  </si>
  <si>
    <t>ENE US Equity</t>
  </si>
  <si>
    <t>EOG US Equity</t>
  </si>
  <si>
    <t>NBP US Equity</t>
  </si>
  <si>
    <t>NPW US Equity</t>
  </si>
  <si>
    <t>CB03 Govt CUSIP</t>
  </si>
  <si>
    <t>CB06 Govt CUSIP</t>
  </si>
  <si>
    <t>CB12 Govt CUSIP</t>
  </si>
  <si>
    <t>CT02 Govt CUSIP</t>
  </si>
  <si>
    <t>CT05 Govt CUSIP</t>
  </si>
  <si>
    <t>CT10 Govt CUSIP</t>
  </si>
  <si>
    <t>CT30 Govt CUSIP</t>
  </si>
  <si>
    <t>YLD_YTM_MID</t>
  </si>
  <si>
    <t>US0003M Index</t>
  </si>
  <si>
    <t>US0006M Index</t>
  </si>
  <si>
    <t>EUR Curncy</t>
  </si>
  <si>
    <t>CAD Curncy</t>
  </si>
  <si>
    <t>JPY Curncy</t>
  </si>
  <si>
    <t>GBP Curncy</t>
  </si>
  <si>
    <t>DEM Curncy</t>
  </si>
  <si>
    <t>CHF Curncy</t>
  </si>
  <si>
    <t>FRF Curncy</t>
  </si>
  <si>
    <t>FWD_RT_1MO</t>
  </si>
  <si>
    <t>YLD_CHG_PCT_5D</t>
  </si>
  <si>
    <t>USSW2 Index</t>
  </si>
  <si>
    <t>USSW5 Index</t>
  </si>
  <si>
    <t>USSW10 Index</t>
  </si>
  <si>
    <t>USSW30 Index</t>
  </si>
  <si>
    <t>US0012M Index</t>
  </si>
  <si>
    <t>PRIME Index</t>
  </si>
  <si>
    <t>EGM Market Update</t>
  </si>
  <si>
    <t>Japan Governments</t>
  </si>
  <si>
    <t>TIBOR</t>
  </si>
  <si>
    <t>GJGB2 INDEX</t>
  </si>
  <si>
    <t>GJGB5 INDEX</t>
  </si>
  <si>
    <t>GJGB10 INDEX</t>
  </si>
  <si>
    <t>GJGB30 INDEX</t>
  </si>
  <si>
    <t>GJTB6MO INDEX</t>
  </si>
  <si>
    <t>GJTB3MO INDEX</t>
  </si>
  <si>
    <t>GJGB1 INDEX</t>
  </si>
  <si>
    <t>NA</t>
  </si>
  <si>
    <t>Ti0003M INDEX</t>
  </si>
  <si>
    <t>TI0006M INDEX</t>
  </si>
  <si>
    <t>TI0012M INDEX</t>
  </si>
  <si>
    <t>N/A</t>
  </si>
  <si>
    <t>Commodities</t>
  </si>
  <si>
    <t>Currencies</t>
  </si>
  <si>
    <t>$/AUD</t>
  </si>
  <si>
    <t>AUD Curncy</t>
  </si>
  <si>
    <t>CAD/$</t>
  </si>
  <si>
    <t>Yen/$</t>
  </si>
  <si>
    <t>DM/$</t>
  </si>
  <si>
    <t>CHF/$</t>
  </si>
  <si>
    <t>FRF/$</t>
  </si>
  <si>
    <t>Coal Spot Price Big Sandy ($/st)</t>
  </si>
  <si>
    <t>COALBGSD Index</t>
  </si>
  <si>
    <t>Coal Spot Price PRB, 8800 ($/st)</t>
  </si>
  <si>
    <t>Coal Spot Price PRB, 8400 ($/st)</t>
  </si>
  <si>
    <t>COALPWDR Index</t>
  </si>
  <si>
    <t>COALPR84 Index</t>
  </si>
  <si>
    <t>SO2 Emission Allowance ($/st)</t>
  </si>
  <si>
    <t>NOX Emission Allowance ($/st)</t>
  </si>
  <si>
    <t>Platinum Future ($/50 Troy Oz)</t>
  </si>
  <si>
    <t>Gold Future ($/100 Troy Ounce)</t>
  </si>
  <si>
    <t>LMAHDS03 Comdty</t>
  </si>
  <si>
    <t>LMPBDS03 Comdty</t>
  </si>
  <si>
    <t>LMNIDS03 Comdty</t>
  </si>
  <si>
    <t>Lumber ($/110,000 board ft)</t>
  </si>
  <si>
    <t>NYMEX UL (cents/Gal)</t>
  </si>
  <si>
    <t>Hot Rolled Steel ($/metric ton)</t>
  </si>
  <si>
    <t>Cold Rolled Steel ($/metric ton)</t>
  </si>
  <si>
    <t>MBSTUSCR Index</t>
  </si>
  <si>
    <t>MBSTUSHR Index</t>
  </si>
  <si>
    <t>LME 3MO Aluminum Future ($/25 tonnes)</t>
  </si>
  <si>
    <t>LME 3MO Lead Future ($/25 tonnes)</t>
  </si>
  <si>
    <t>LME 3MO Nickel Future ($/6 tonnes)</t>
  </si>
  <si>
    <t>Credit/Equity Markets</t>
  </si>
  <si>
    <t>EOTT (EOT)</t>
  </si>
  <si>
    <t>EOT US equity</t>
  </si>
  <si>
    <t>ENE Equity</t>
  </si>
  <si>
    <t>BPIY Index</t>
  </si>
  <si>
    <t>BMIY Index</t>
  </si>
  <si>
    <t>BCIY Index</t>
  </si>
  <si>
    <t>Baltic Handymax Index ($/day)</t>
  </si>
  <si>
    <t>Baltic Panamax Index ($/day)</t>
  </si>
  <si>
    <t>Baltix Capesize Index ($/day)</t>
  </si>
  <si>
    <t>Nov 9: Dynegy to Acquire Rival Enron for at Least $23 Billion in Stock and Debt</t>
  </si>
  <si>
    <t>Nov 9: Saudi Arabia, Venezuela, Mexico Agree to Cut Oil Production to Stem Glut</t>
  </si>
  <si>
    <t>Nov 9: OPEC Faces Struggle to Meet $25 Price Goal as Two-Year Oil Boom Falters</t>
  </si>
  <si>
    <t>Nov 8: Imports All Commodity Price (OCT) [S: -0.5%, A: -2.4%, P: 0.1%]</t>
  </si>
  <si>
    <t>Nov 8: Initial Jobless Claims (NOV 3) [500k, A: 450k, P: 496k]</t>
  </si>
  <si>
    <t>Nov 8: Bloomberg Retail Sales (OCT) [A: 2.0%, P: 1.2%]</t>
  </si>
  <si>
    <t>Nov 9: Netherlands - CPI (YoY) (OCT) [S: 4.5%, A: 4.3%, P: 4.7%]</t>
  </si>
  <si>
    <t>Nov 8: EC - Euro-Zone GDP s.a. (QoQ) (2Q) [A: 0.1%, P: 0.5%]</t>
  </si>
  <si>
    <t>Nov 8: Denmark - Unemployment Rate - sa (SEP) [A: 5.0%, P: 5.1%]</t>
  </si>
  <si>
    <t>Nov 8: Housing Starts (OCT) [S: 153k, A: 174k, P: 154k]</t>
  </si>
  <si>
    <t>Nov 8: Ivey Purchasing Managers Index (OCT) [S: 42.5, A: 48.5, P: 45.4]</t>
  </si>
  <si>
    <t>Nov 7: Bank Lending (YoY) (OCT) [S: -4.2%, A: -4.1%, P: -4.2%]</t>
  </si>
  <si>
    <t>Nov 7: Machine Orders (MoM) (SEP) [S: -9.0%, A: -13.2%, P: 8.7%]</t>
  </si>
  <si>
    <t>Nov 7: Money Supply M2 +CD (YoY) (OCT) [S: 3.7%, A: 3.6%, P: 3.7%]</t>
  </si>
  <si>
    <t>Nov 7: Participation Rate (OCT) [S: 63.6%, A: 63.8%, P: 63.5%]</t>
  </si>
  <si>
    <t>Nov 8: Housing Finance (SEP) [S: -0.5%, A: -1.0%, P: -2.1%]</t>
  </si>
  <si>
    <t>Nov 16: Crude Oil Rises from 2 1/2-Year Low on Hopes Producers Will Agree on Cuts</t>
  </si>
  <si>
    <t>Nov 16: Azurix, Enron Shareholder Lawsuit Settlement is Approved by Judge</t>
  </si>
  <si>
    <t>Nov 16: TXU Considering Options for East Anglian Electricity Distribution Netword</t>
  </si>
  <si>
    <t>Nov 15: Initial Jobless Claims (NOV 10) [S: 475k, A: 444k, P: 452k]</t>
  </si>
  <si>
    <t>Nov 15: Business Inventories (SEP) [S: -0.3%, A: -0.5%, P: -0.2k]</t>
  </si>
  <si>
    <t>Nov 15: Philadelphia Fed. (NOV) [S: -25.0, A: -20.2, P: -27.4]</t>
  </si>
  <si>
    <t>Nov 16: France - Non-Farm Payrolls (QoQ) (3Q) [S: 0.1%, A: 0.3%, P: 0.3%</t>
  </si>
  <si>
    <t>Nov 16: Italy - CPI - EU Harmonized (YoY) (OCT) [S: 2.5%, A: 2.5%, P: 2.6%]</t>
  </si>
  <si>
    <t>Nov 16: Netherlands - Unemployment Rate (s.a.) (OCT) [S: 2.1%, A: 2.0%, P: 2.0%]</t>
  </si>
  <si>
    <t>Nov 15: New Motor Vehicle Sales (SEP) [S: -4.7%, A: -5.3%, P: 0.9%]</t>
  </si>
  <si>
    <t>Nov 15: Mfg. Electricity Usage (YoY) (OCT) [A: -4.7%, P: -6.0%]</t>
  </si>
  <si>
    <t>Nov 14:Tokyo Dept. Store Sales (YoY) (OCT) [A: -1.5%, P: 2.4%]</t>
  </si>
  <si>
    <t>Nov 13: Bankruptcies (YoY) (OCT) [A: 11.3%, P: 0.4%]</t>
  </si>
  <si>
    <t>Nov 14: Average Weekly Wages (QoQ) (AUG) [S: 0.7%, A: 1.4%, P: 2.2%]</t>
  </si>
  <si>
    <t>Nov 13: Wage Cost Index (3Q) [S: 1.0%, A: 1.1%, P: 0.6%]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</si>
</sst>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9" formatCode="0.0%"/>
    <numFmt numFmtId="188" formatCode="&quot;$&quot;#,##0.00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u/>
      <sz val="20"/>
      <color indexed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14" fontId="9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14" fontId="9" fillId="2" borderId="3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10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8" xfId="0" applyFont="1" applyFill="1" applyBorder="1" applyAlignment="1"/>
    <xf numFmtId="10" fontId="6" fillId="3" borderId="8" xfId="0" applyNumberFormat="1" applyFont="1" applyFill="1" applyBorder="1" applyAlignment="1">
      <alignment horizontal="right"/>
    </xf>
    <xf numFmtId="1" fontId="6" fillId="3" borderId="10" xfId="0" applyNumberFormat="1" applyFont="1" applyFill="1" applyBorder="1" applyAlignment="1">
      <alignment horizontal="center"/>
    </xf>
    <xf numFmtId="17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10" fontId="6" fillId="3" borderId="7" xfId="0" applyNumberFormat="1" applyFont="1" applyFill="1" applyBorder="1" applyAlignment="1"/>
    <xf numFmtId="10" fontId="6" fillId="3" borderId="8" xfId="0" applyNumberFormat="1" applyFont="1" applyFill="1" applyBorder="1" applyAlignment="1"/>
    <xf numFmtId="0" fontId="9" fillId="0" borderId="4" xfId="0" applyFont="1" applyBorder="1" applyAlignment="1"/>
    <xf numFmtId="169" fontId="6" fillId="0" borderId="11" xfId="0" applyNumberFormat="1" applyFont="1" applyFill="1" applyBorder="1" applyAlignment="1">
      <alignment horizontal="center"/>
    </xf>
    <xf numFmtId="10" fontId="6" fillId="3" borderId="8" xfId="1" applyNumberFormat="1" applyFont="1" applyFill="1" applyBorder="1" applyAlignment="1">
      <alignment horizontal="center"/>
    </xf>
    <xf numFmtId="0" fontId="10" fillId="0" borderId="0" xfId="0" applyFont="1"/>
    <xf numFmtId="2" fontId="6" fillId="3" borderId="8" xfId="0" applyNumberFormat="1" applyFont="1" applyFill="1" applyBorder="1" applyAlignment="1"/>
    <xf numFmtId="169" fontId="6" fillId="3" borderId="10" xfId="0" applyNumberFormat="1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6" fillId="0" borderId="0" xfId="0" applyFont="1" applyFill="1" applyBorder="1"/>
    <xf numFmtId="0" fontId="6" fillId="3" borderId="12" xfId="0" applyFont="1" applyFill="1" applyBorder="1" applyAlignment="1"/>
    <xf numFmtId="0" fontId="6" fillId="0" borderId="0" xfId="0" applyFont="1" applyBorder="1"/>
    <xf numFmtId="0" fontId="8" fillId="2" borderId="13" xfId="0" applyFont="1" applyFill="1" applyBorder="1"/>
    <xf numFmtId="0" fontId="8" fillId="2" borderId="14" xfId="0" applyFont="1" applyFill="1" applyBorder="1"/>
    <xf numFmtId="0" fontId="6" fillId="0" borderId="15" xfId="0" applyFont="1" applyBorder="1"/>
    <xf numFmtId="0" fontId="12" fillId="0" borderId="13" xfId="0" applyFont="1" applyFill="1" applyBorder="1"/>
    <xf numFmtId="0" fontId="12" fillId="0" borderId="14" xfId="0" applyFont="1" applyFill="1" applyBorder="1"/>
    <xf numFmtId="0" fontId="6" fillId="0" borderId="14" xfId="0" applyFont="1" applyFill="1" applyBorder="1"/>
    <xf numFmtId="0" fontId="6" fillId="0" borderId="14" xfId="0" applyFont="1" applyBorder="1"/>
    <xf numFmtId="0" fontId="12" fillId="0" borderId="16" xfId="0" applyFont="1" applyBorder="1"/>
    <xf numFmtId="0" fontId="12" fillId="0" borderId="14" xfId="0" applyFont="1" applyBorder="1"/>
    <xf numFmtId="0" fontId="6" fillId="0" borderId="17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18" xfId="0" applyFont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2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6" fillId="2" borderId="22" xfId="0" applyFont="1" applyFill="1" applyBorder="1"/>
    <xf numFmtId="2" fontId="6" fillId="3" borderId="24" xfId="0" applyNumberFormat="1" applyFont="1" applyFill="1" applyBorder="1" applyAlignment="1"/>
    <xf numFmtId="0" fontId="6" fillId="2" borderId="17" xfId="0" applyFont="1" applyFill="1" applyBorder="1"/>
    <xf numFmtId="169" fontId="6" fillId="3" borderId="8" xfId="0" applyNumberFormat="1" applyFont="1" applyFill="1" applyBorder="1" applyAlignment="1">
      <alignment horizontal="center"/>
    </xf>
    <xf numFmtId="0" fontId="12" fillId="0" borderId="18" xfId="0" applyFont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15" xfId="0" applyBorder="1"/>
    <xf numFmtId="0" fontId="6" fillId="3" borderId="25" xfId="0" applyFont="1" applyFill="1" applyBorder="1" applyAlignment="1"/>
    <xf numFmtId="0" fontId="0" fillId="0" borderId="18" xfId="0" applyBorder="1"/>
    <xf numFmtId="0" fontId="6" fillId="3" borderId="26" xfId="0" applyFont="1" applyFill="1" applyBorder="1" applyAlignment="1"/>
    <xf numFmtId="0" fontId="6" fillId="3" borderId="27" xfId="0" applyFont="1" applyFill="1" applyBorder="1" applyAlignment="1"/>
    <xf numFmtId="0" fontId="6" fillId="3" borderId="15" xfId="0" applyFont="1" applyFill="1" applyBorder="1" applyAlignment="1"/>
    <xf numFmtId="169" fontId="6" fillId="3" borderId="24" xfId="0" applyNumberFormat="1" applyFont="1" applyFill="1" applyBorder="1" applyAlignment="1">
      <alignment horizontal="center"/>
    </xf>
    <xf numFmtId="16" fontId="6" fillId="0" borderId="4" xfId="0" applyNumberFormat="1" applyFont="1" applyFill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188" fontId="6" fillId="0" borderId="0" xfId="0" applyNumberFormat="1" applyFont="1"/>
    <xf numFmtId="0" fontId="9" fillId="0" borderId="11" xfId="0" applyNumberFormat="1" applyFont="1" applyFill="1" applyBorder="1" applyAlignment="1"/>
    <xf numFmtId="0" fontId="6" fillId="0" borderId="11" xfId="0" applyNumberFormat="1" applyFont="1" applyFill="1" applyBorder="1" applyAlignment="1"/>
    <xf numFmtId="0" fontId="6" fillId="3" borderId="31" xfId="0" applyFont="1" applyFill="1" applyBorder="1" applyAlignment="1"/>
    <xf numFmtId="0" fontId="6" fillId="3" borderId="32" xfId="0" applyFont="1" applyFill="1" applyBorder="1" applyAlignment="1"/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6" fillId="0" borderId="35" xfId="0" applyFont="1" applyBorder="1"/>
    <xf numFmtId="0" fontId="6" fillId="0" borderId="36" xfId="0" applyFont="1" applyBorder="1"/>
    <xf numFmtId="0" fontId="0" fillId="0" borderId="5" xfId="0" applyBorder="1"/>
    <xf numFmtId="0" fontId="9" fillId="0" borderId="11" xfId="0" applyFont="1" applyBorder="1" applyAlignment="1"/>
    <xf numFmtId="0" fontId="6" fillId="0" borderId="11" xfId="0" applyFont="1" applyBorder="1" applyAlignment="1"/>
    <xf numFmtId="14" fontId="9" fillId="0" borderId="1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1766113723286899"/>
          <c:y val="3.32420913192639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509802347785"/>
          <c:y val="0.16344028231971436"/>
          <c:w val="0.82800916117736434"/>
          <c:h val="0.63436990934262016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15488"/>
        <c:axId val="138016048"/>
      </c:scatterChart>
      <c:valAx>
        <c:axId val="13801548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87308372173764"/>
              <c:y val="0.908617162726547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6048"/>
        <c:crosses val="autoZero"/>
        <c:crossBetween val="midCat"/>
      </c:valAx>
      <c:valAx>
        <c:axId val="138016048"/>
        <c:scaling>
          <c:orientation val="minMax"/>
          <c:max val="0.06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54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78684396693164"/>
          <c:y val="0.87814524568388908"/>
          <c:w val="0.2270717644226013"/>
          <c:h val="0.113577145340818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987445599688962"/>
          <c:y val="3.342724090266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97276883821978"/>
          <c:y val="0.12256654997645226"/>
          <c:w val="0.73061620937657212"/>
          <c:h val="0.61004714647370561"/>
        </c:manualLayout>
      </c:layout>
      <c:lineChart>
        <c:grouping val="standard"/>
        <c:varyColors val="0"/>
        <c:ser>
          <c:idx val="0"/>
          <c:order val="0"/>
          <c:tx>
            <c:strRef>
              <c:f>UNLNK!$W$23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UNLNK!$W$25:$W$29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UNLNK!$X$25:$X$29</c:f>
              <c:numCache>
                <c:formatCode>"$"#,##0.00</c:formatCode>
                <c:ptCount val="5"/>
                <c:pt idx="0">
                  <c:v>11.17</c:v>
                </c:pt>
                <c:pt idx="1">
                  <c:v>9.67</c:v>
                </c:pt>
                <c:pt idx="2">
                  <c:v>9.0500000000000007</c:v>
                </c:pt>
                <c:pt idx="3">
                  <c:v>8.41</c:v>
                </c:pt>
                <c:pt idx="4">
                  <c:v>8.6300000000000008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18288"/>
        <c:axId val="138018848"/>
      </c:lineChart>
      <c:dateAx>
        <c:axId val="13801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403323871197901"/>
              <c:y val="0.9276059350490591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884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8018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8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20204713331952318"/>
          <c:y val="3.4986605622328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6664713065383"/>
          <c:y val="0.2011729823283902"/>
          <c:w val="0.84492437569982415"/>
          <c:h val="0.54229238714609529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9328"/>
        <c:axId val="138009888"/>
      </c:scatterChart>
      <c:valAx>
        <c:axId val="138009328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919803027164358"/>
              <c:y val="0.865918489152636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09888"/>
        <c:crosses val="autoZero"/>
        <c:crossBetween val="midCat"/>
      </c:valAx>
      <c:valAx>
        <c:axId val="138009888"/>
        <c:scaling>
          <c:orientation val="minMax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093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5344511254425"/>
          <c:y val="0.86300293868410871"/>
          <c:w val="0.20204713331952318"/>
          <c:h val="0.125368670146677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5865429030164"/>
          <c:y val="3.55041190144992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92255729322042"/>
          <c:y val="0.20119000774882886"/>
          <c:w val="0.77441515811384709"/>
          <c:h val="0.44971884085032338"/>
        </c:manualLayout>
      </c:layout>
      <c:lineChart>
        <c:grouping val="standard"/>
        <c:varyColors val="0"/>
        <c:ser>
          <c:idx val="0"/>
          <c:order val="0"/>
          <c:tx>
            <c:strRef>
              <c:f>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LNK!$X$25:$X$29</c:f>
              <c:numCache>
                <c:formatCode>"$"#,##0.00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12128"/>
        <c:axId val="138012688"/>
      </c:lineChart>
      <c:dateAx>
        <c:axId val="13801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359247202237897"/>
              <c:y val="0.8876029753624803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268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8012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012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</xdr:row>
      <xdr:rowOff>123825</xdr:rowOff>
    </xdr:from>
    <xdr:to>
      <xdr:col>19</xdr:col>
      <xdr:colOff>19050</xdr:colOff>
      <xdr:row>22</xdr:row>
      <xdr:rowOff>123825</xdr:rowOff>
    </xdr:to>
    <xdr:graphicFrame macro="">
      <xdr:nvGraphicFramePr>
        <xdr:cNvPr id="3122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23</xdr:row>
      <xdr:rowOff>133350</xdr:rowOff>
    </xdr:from>
    <xdr:to>
      <xdr:col>19</xdr:col>
      <xdr:colOff>19050</xdr:colOff>
      <xdr:row>44</xdr:row>
      <xdr:rowOff>152400</xdr:rowOff>
    </xdr:to>
    <xdr:graphicFrame macro="">
      <xdr:nvGraphicFramePr>
        <xdr:cNvPr id="3132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</xdr:row>
      <xdr:rowOff>0</xdr:rowOff>
    </xdr:from>
    <xdr:to>
      <xdr:col>19</xdr:col>
      <xdr:colOff>552450</xdr:colOff>
      <xdr:row>22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266700</xdr:colOff>
          <xdr:row>0</xdr:row>
          <xdr:rowOff>76200</xdr:rowOff>
        </xdr:from>
        <xdr:to>
          <xdr:col>20</xdr:col>
          <xdr:colOff>771525</xdr:colOff>
          <xdr:row>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Pre-Saver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114300</xdr:colOff>
      <xdr:row>23</xdr:row>
      <xdr:rowOff>57150</xdr:rowOff>
    </xdr:from>
    <xdr:to>
      <xdr:col>19</xdr:col>
      <xdr:colOff>571500</xdr:colOff>
      <xdr:row>43</xdr:row>
      <xdr:rowOff>38100</xdr:rowOff>
    </xdr:to>
    <xdr:graphicFrame macro="">
      <xdr:nvGraphicFramePr>
        <xdr:cNvPr id="1052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M">
    <ddeItems>
      <ddeItem name="AUD Curncy,[CHG_NET_5D]" advise="1">
        <values>
          <value>
            <val>7.4999899999999998E-3</val>
          </value>
        </values>
      </ddeItem>
      <ddeItem name="AUD Curncy,[FWD_RT_1MO]" advise="1">
        <values>
          <value>
            <val>0.52144999999999997</val>
          </value>
        </values>
      </ddeItem>
      <ddeItem name="BCIY Index,[PX_CLOSE_5D]" advise="1">
        <values>
          <value>
            <val>932</val>
          </value>
        </values>
      </ddeItem>
      <ddeItem name="BCIY Index,[PX_LAST]" advise="1">
        <values>
          <value>
            <val>978</val>
          </value>
        </values>
      </ddeItem>
      <ddeItem name="BMIY Index,[PX_CLOSE_5D]" advise="1">
        <values>
          <value>
            <val>6852</val>
          </value>
        </values>
      </ddeItem>
      <ddeItem name="BMIY Index,[PX_LAST]" advise="1">
        <values>
          <value>
            <val>6791</val>
          </value>
        </values>
      </ddeItem>
      <ddeItem name="BPIY Index,[PX_CLOSE_5D]" advise="1">
        <values>
          <value>
            <val>843</val>
          </value>
        </values>
      </ddeItem>
      <ddeItem name="BPIY Index,[PX_LAST]" advise="1">
        <values>
          <value>
            <val>830</val>
          </value>
        </values>
      </ddeItem>
      <ddeItem name="cac Index,[PX_close_5d]" advise="1">
        <values>
          <value>
            <val>4514.28</val>
          </value>
        </values>
      </ddeItem>
      <ddeItem name="cac Index,[PX_last]" advise="1">
        <values>
          <value>
            <val>4587.3</val>
          </value>
        </values>
      </ddeItem>
      <ddeItem name="'CAD Curncy,[CHG_NET_5D]'" advise="1">
        <values>
          <value>
            <val>-1.274991E-2</val>
          </value>
        </values>
      </ddeItem>
      <ddeItem name="'CAD Curncy,[FWD_RT_1MO]'" advise="1">
        <values>
          <value>
            <val>1.5905849999999999</val>
          </value>
        </values>
      </ddeItem>
      <ddeItem name="'CB03 Govt,&lt;CUSIP&gt;[YLD_YTM_MID]'" advise="1">
        <values>
          <value>
            <val>1.9330000000000001</val>
          </value>
        </values>
      </ddeItem>
      <ddeItem name="'CB06 Govt,&lt;CUSIP&gt;[YLD_YTM_MID]'" advise="1">
        <values>
          <value>
            <val>2.0459999999999998</val>
          </value>
        </values>
      </ddeItem>
      <ddeItem name="'CB12 Govt,&lt;CUSIP&gt;[YLD_YTM_MID]'" advise="1">
        <values>
          <value>
            <val>2.3029999999999999</val>
          </value>
        </values>
      </ddeItem>
      <ddeItem name="ccmp Index,[PX_close_5d]" advise="1">
        <values>
          <value>
            <val>1828.48</val>
          </value>
        </values>
      </ddeItem>
      <ddeItem name="ccmp Index,[PX_last]" advise="1">
        <values>
          <value>
            <val>1898.58</val>
          </value>
        </values>
      </ddeItem>
      <ddeItem name="'CHF Curncy,[CHG_NET_5D]'" advise="1">
        <values>
          <value>
            <val>1.920009E-2</val>
          </value>
        </values>
      </ddeItem>
      <ddeItem name="'CHF Curncy,[FWD_RT_1MO]'" advise="1">
        <values>
          <value>
            <val>1.658245</val>
          </value>
        </values>
      </ddeItem>
      <ddeItem name="CL1 Comdty,[PX_close_5d]" advise="1">
        <values>
          <value>
            <val>22.22</val>
          </value>
        </values>
      </ddeItem>
      <ddeItem name="CL1 Comdty,[PX_SETTLE]" advise="1">
        <values>
          <value>
            <val>18.03</val>
          </value>
        </values>
      </ddeItem>
      <ddeItem name="CO1 Comdty,[PX_close_5d]" advise="1">
        <values>
          <value>
            <val>21.38</val>
          </value>
        </values>
      </ddeItem>
      <ddeItem name="CO1 Comdty,[PX_SETTLE]" advise="1">
        <values>
          <value>
            <val>17.75</val>
          </value>
        </values>
      </ddeItem>
      <ddeItem name="COALBGSD Index,[PX_CLOSE_5D]" advise="1">
        <values>
          <value>
            <val>35</val>
          </value>
        </values>
      </ddeItem>
      <ddeItem name="COALBGSD Index,[PX_LAST]" advise="1">
        <values>
          <value>
            <val>33.5</val>
          </value>
        </values>
      </ddeItem>
      <ddeItem name="COALPR84 Index,[PX_CLOSE_5D]" advise="1">
        <values>
          <value>
            <val>6.75</val>
          </value>
        </values>
      </ddeItem>
      <ddeItem name="COALPR84 Index,[PX_LAST]" advise="1">
        <values>
          <value>
            <val>6.13</val>
          </value>
        </values>
      </ddeItem>
      <ddeItem name="COALPWDR Index,[PX_CLOSE_5D]" advise="1">
        <values>
          <value>
            <val>8.25</val>
          </value>
        </values>
      </ddeItem>
      <ddeItem name="COALPWDR Index,[PX_LAST]" advise="1">
        <values>
          <value>
            <val>7.88</val>
          </value>
        </values>
      </ddeItem>
      <ddeItem name="'CT02 Govt,&lt;CUSIP&gt;[YLD_YTM_MID]'" advise="1">
        <values>
          <value>
            <val>3.0529999999999999</val>
          </value>
        </values>
      </ddeItem>
      <ddeItem name="'CT05 Govt,&lt;CUSIP&gt;[YLD_YTM_MID]'" advise="1">
        <values>
          <value>
            <val>4.2350000000000003</val>
          </value>
        </values>
      </ddeItem>
      <ddeItem name="'CT10 Govt,&lt;CUSIP&gt;[YLD_YTM_MID]'" advise="1">
        <values>
          <value>
            <val>4.891</val>
          </value>
        </values>
      </ddeItem>
      <ddeItem name="'CT30 Govt,&lt;CUSIP&gt;[YLD_YTM_MID]'" advise="1">
        <values>
          <value>
            <val>5.3029999999999999</val>
          </value>
        </values>
      </ddeItem>
      <ddeItem name="dax Index,[PX_close_5d]" advise="1">
        <values>
          <value>
            <val>4910.07</val>
          </value>
        </values>
      </ddeItem>
      <ddeItem name="dax Index,[PX_last]" advise="1">
        <values>
          <value>
            <val>5062.6400000000003</val>
          </value>
        </values>
      </ddeItem>
      <ddeItem name="'DEM Curncy,[CHG_NET_5D]'" advise="1">
        <values>
          <value>
            <val>2.363086E-2</val>
          </value>
        </values>
      </ddeItem>
      <ddeItem name="'DEM Curncy,[FWD_RT_1MO]'" advise="1">
        <values>
          <value>
            <val>2.2139799999999998</val>
          </value>
        </values>
      </ddeItem>
      <ddeItem name="ELEANOX4 Index,[PX_CLOSE_5D]" advise="1">
        <values>
          <value>
            <val>917</val>
          </value>
        </values>
      </ddeItem>
      <ddeItem name="ELEANOX4 Index,[PX_LAST]" advise="1">
        <values>
          <value>
            <val>900</val>
          </value>
        </values>
      </ddeItem>
      <ddeItem name="ELEASO21 Index,[PX_CLOSE_5D]" advise="1">
        <values>
          <value>
            <val>206.25</val>
          </value>
        </values>
      </ddeItem>
      <ddeItem name="ELEASO21 Index,[PX_LAST]" advise="1">
        <values>
          <value>
            <val>199</val>
          </value>
        </values>
      </ddeItem>
      <ddeItem name="'ENE US Equity,[PX_CLOSE_5D]'" advise="1">
        <values>
          <value>
            <val>8.6300000000000008</val>
          </value>
        </values>
      </ddeItem>
      <ddeItem name="'ENE US Equity,[PX_LAST]'" advise="1">
        <values>
          <value>
            <val>9</val>
          </value>
        </values>
      </ddeItem>
      <ddeItem name="'EOG US Equity,[PX_CLOSE_5D]'" advise="1">
        <values>
          <value>
            <val>36.61</val>
          </value>
        </values>
      </ddeItem>
      <ddeItem name="'EOG US Equity,[PX_LAST]'" advise="1">
        <values>
          <value>
            <val>32.729999999999997</val>
          </value>
        </values>
      </ddeItem>
      <ddeItem name="EOT US Equity,[PX_CLOSE_5D]" advise="1">
        <values>
          <value>
            <val>19.440000000000001</val>
          </value>
        </values>
      </ddeItem>
      <ddeItem name="EOT US Equity,[PX_LAST]" advise="1">
        <values>
          <value>
            <val>18.5</val>
          </value>
        </values>
      </ddeItem>
      <ddeItem name="'EUR Curncy,[CHG_NET_5D]'" advise="1">
        <values>
          <value>
            <val>-9.5499799999999996E-3</val>
          </value>
        </values>
      </ddeItem>
      <ddeItem name="'EUR Curncy,[FWD_RT_1MO]'" advise="1">
        <values>
          <value>
            <val>0.88338499999999998</val>
          </value>
        </values>
      </ddeItem>
      <ddeItem name="'FRF Curncy,[CHG_NET_5D]'" advise="1">
        <values>
          <value>
            <val>7.9254149999999995E-2</val>
          </value>
        </values>
      </ddeItem>
      <ddeItem name="'FRF Curncy,[FWD_RT_1MO]'" advise="1">
        <values>
          <value>
            <val>7.4254350000000002</val>
          </value>
        </values>
      </ddeItem>
      <ddeItem name="'GBP Curncy,[CHG_NET_5D]'" advise="1">
        <values>
          <value>
            <val>-2.9350040000000001E-2</val>
          </value>
        </values>
      </ddeItem>
      <ddeItem name="'GBP Curncy,[FWD_RT_1MO]'" advise="1">
        <values>
          <value>
            <val>1.424655</val>
          </value>
        </values>
      </ddeItem>
      <ddeItem name="GC1 Comdty,[PX_CLOSE_5D]" advise="1">
        <values>
          <value>
            <val>277.7</val>
          </value>
        </values>
      </ddeItem>
      <ddeItem name="GC1 Comdty,[PX_SETTLE]" advise="1">
        <values>
          <value>
            <val>274.89999999999998</val>
          </value>
        </values>
      </ddeItem>
      <ddeItem name="GJGB1 Index,[PX_CLOSE_5D]" advise="1">
        <values>
          <value>
            <val>4.3999999999999997E-2</val>
          </value>
        </values>
      </ddeItem>
      <ddeItem name="GJGB1 Index,[PX_LAST]" advise="1">
        <values>
          <value>
            <val>4.3999999999999997E-2</val>
          </value>
        </values>
      </ddeItem>
      <ddeItem name="GJGB10 Index,[PX_CLOSE_5D]" advise="1">
        <values>
          <value>
            <val>1.3240000000000001</val>
          </value>
        </values>
      </ddeItem>
      <ddeItem name="GJGB10 Index,[PX_LAST]" advise="1">
        <values>
          <value>
            <val>1.3640000000000001</val>
          </value>
        </values>
      </ddeItem>
      <ddeItem name="GJGB2 Index,[PX_CLOSE_5D]" advise="1">
        <values>
          <value>
            <val>0.115</val>
          </value>
        </values>
      </ddeItem>
      <ddeItem name="GJGB2 Index,[PX_LAST]" advise="1">
        <values>
          <value>
            <val>0.115</val>
          </value>
        </values>
      </ddeItem>
      <ddeItem name="GJGB30 Index,[PX_CLOSE_5D]" advise="1">
        <values>
          <value>
            <val>2.4430000000000001</val>
          </value>
        </values>
      </ddeItem>
      <ddeItem name="GJGB30 Index,[PX_LAST]" advise="1">
        <values>
          <value>
            <val>2.4430000000000001</val>
          </value>
        </values>
      </ddeItem>
      <ddeItem name="GJGB5 Index,[PX_CLOSE_5D]" advise="1">
        <values>
          <value>
            <val>0.47499999999999998</val>
          </value>
        </values>
      </ddeItem>
      <ddeItem name="GJGB5 Index,[PX_LAST]" advise="1">
        <values>
          <value>
            <val>0.504</val>
          </value>
        </values>
      </ddeItem>
      <ddeItem name="GJTB3MO Index,[PX_LAST]" advise="1">
        <values>
          <value>
            <val>0</val>
          </value>
        </values>
      </ddeItem>
      <ddeItem name="GJTB6MO Index,[PX_CLOSE_5D]" advise="1">
        <values>
          <value>
            <val>1.2999999999999999E-2</val>
          </value>
        </values>
      </ddeItem>
      <ddeItem name="GJTB6MO Index,[PX_LAST]" advise="1">
        <values>
          <value>
            <val>1.6E-2</val>
          </value>
        </values>
      </ddeItem>
      <ddeItem name="HO1 Comdty,[PX_close_5d]" advise="1">
        <values>
          <value>
            <val>62.68</val>
          </value>
        </values>
      </ddeItem>
      <ddeItem name="HO1 Comdty,[PX_SETTLE]" advise="1">
        <values>
          <value>
            <val>52.18</val>
          </value>
        </values>
      </ddeItem>
      <ddeItem name="HU1 Comdty,[PX_close_5d]" advise="1">
        <values>
          <value>
            <val>60.71</val>
          </value>
        </values>
      </ddeItem>
      <ddeItem name="HU1 Comdty,[PX_SETTLE]" advise="1">
        <values>
          <value>
            <val>50.22</val>
          </value>
        </values>
      </ddeItem>
      <ddeItem name="INDU Index,[PX_close_5d]" advise="1">
        <values>
          <value>
            <val>9608</val>
          </value>
        </values>
      </ddeItem>
      <ddeItem name="INDU Index,[PX_last]" advise="1">
        <values>
          <value>
            <val>9866.99</val>
          </value>
        </values>
      </ddeItem>
      <ddeItem name="'JPY Curncy,[CHG_NET_5D]'" advise="1">
        <values>
          <value>
            <val>2.61999512</val>
          </value>
        </values>
      </ddeItem>
      <ddeItem name="'JPY Curncy,[FWD_RT_1MO]'" advise="1">
        <values>
          <value>
            <val>122.715</val>
          </value>
        </values>
      </ddeItem>
      <ddeItem name="LB1 Comdty,[PX_CLOSE_5D]" advise="1">
        <values>
          <value>
            <val>230.1</val>
          </value>
        </values>
      </ddeItem>
      <ddeItem name="LB1 Comdty,[PX_SETTLE]" advise="1">
        <values>
          <value>
            <val>231.2</val>
          </value>
        </values>
      </ddeItem>
      <ddeItem name="LMAHDS03 Comdty,[PX_CLOSE_5D]" advise="1">
        <values>
          <value>
            <val>1308</val>
          </value>
        </values>
      </ddeItem>
      <ddeItem name="LMAHDS03 Comdty,[PX_LAST]" advise="1">
        <values>
          <value>
            <val>1396</val>
          </value>
        </values>
      </ddeItem>
      <ddeItem name="LMNIDS03 Comdty,[PX_CLOSE_5D]" advise="1">
        <values>
          <value>
            <val>4890</val>
          </value>
        </values>
      </ddeItem>
      <ddeItem name="LMNIDS03 Comdty,[PX_LAST]" advise="1">
        <values>
          <value>
            <val>5430</val>
          </value>
        </values>
      </ddeItem>
      <ddeItem name="LMPBDS03 Comdty,[PX_CLOSE_5D]" advise="1">
        <values>
          <value>
            <val>492</val>
          </value>
        </values>
      </ddeItem>
      <ddeItem name="LMPBDS03 Comdty,[PX_LAST]" advise="1">
        <values>
          <value>
            <val>492</val>
          </value>
        </values>
      </ddeItem>
      <ddeItem name="MBSTUSCR Index,[PX_CLOSE_5D]" advise="1">
        <values>
          <value>
            <val>285</val>
          </value>
        </values>
      </ddeItem>
      <ddeItem name="MBSTUSCR Index,[PX_LAST]" advise="1">
        <values>
          <value>
            <val>285</val>
          </value>
        </values>
      </ddeItem>
      <ddeItem name="MBSTUSHR Index,[PX_CLOSE_5D]" advise="1">
        <values>
          <value>
            <val>215</val>
          </value>
        </values>
      </ddeItem>
      <ddeItem name="MBSTUSHR Index,[PX_LAST]" advise="1">
        <values>
          <value>
            <val>215</val>
          </value>
        </values>
      </ddeItem>
      <ddeItem name="'NBP US Equity,[PX_CLOSE_5D]'" advise="1">
        <values>
          <value>
            <val>39.61</val>
          </value>
        </values>
      </ddeItem>
      <ddeItem name="'NBP US Equity,[PX_LAST]'" advise="1">
        <values>
          <value>
            <val>38.25</val>
          </value>
        </values>
      </ddeItem>
      <ddeItem name="ndq Index,[PX_close_5d]" advise="1">
        <values>
          <value>
            <val>1514.96</val>
          </value>
        </values>
      </ddeItem>
      <ddeItem name="ndq Index,[PX_last]" advise="1">
        <values>
          <value>
            <val>1582.14</val>
          </value>
        </values>
      </ddeItem>
      <ddeItem name="NG1 Comdty,[PX_close_5d]" advise="1">
        <values>
          <value>
            <val>2.9249999999999998</val>
          </value>
        </values>
      </ddeItem>
      <ddeItem name="NG1 Comdty,[PX_SETTLE]" advise="1">
        <values>
          <value>
            <val>2.637</val>
          </value>
        </values>
      </ddeItem>
      <ddeItem name="nky Index,[PX_close_5d]" advise="1">
        <values>
          <value>
            <val>10215.709999999999</val>
          </value>
        </values>
      </ddeItem>
      <ddeItem name="nky Index,[PX_last]" advise="1">
        <values>
          <value>
            <val>10649.09</val>
          </value>
        </values>
      </ddeItem>
      <ddeItem name="'NPW US Equity,[PX_CLOSE_5D]'" advise="1">
        <values>
          <value>
            <val>1.17</val>
          </value>
        </values>
      </ddeItem>
      <ddeItem name="'NPW US Equity,[PX_LAST]'" advise="1">
        <values>
          <value>
            <val>1.31</val>
          </value>
        </values>
      </ddeItem>
      <ddeItem name="OW1 Comdty,[PX_Close_5d]" advise="1">
        <values>
          <value>
            <val>36.5</val>
          </value>
        </values>
      </ddeItem>
      <ddeItem name="OW1 Comdty,[PX_SETTLE]" advise="1">
        <values>
          <value>
            <val>31.5</val>
          </value>
        </values>
      </ddeItem>
      <ddeItem name="PL1 Comdty,[PX_CLOSE_5D]" advise="1">
        <values>
          <value>
            <val>422.6</val>
          </value>
        </values>
      </ddeItem>
      <ddeItem name="PL1 Comdty,[PX_SETTLE]" advise="1">
        <values>
          <value>
            <val>427.9</val>
          </value>
        </values>
      </ddeItem>
      <ddeItem name="'PRIME Index,[PX_CLOSE_5D]'" advise="1">
        <values>
          <value>
            <val>5</val>
          </value>
        </values>
      </ddeItem>
      <ddeItem name="'PRIME Index,[PX_LAST]'" advise="1">
        <values>
          <value>
            <val>5</val>
          </value>
        </values>
      </ddeItem>
      <ddeItem name="rty Index,[PX_close_5d]" advise="1">
        <values>
          <value>
            <val>438.1</val>
          </value>
        </values>
      </ddeItem>
      <ddeItem name="rty Index,[PX_last]" advise="1">
        <values>
          <value>
            <val>451.31</val>
          </value>
        </values>
      </ddeItem>
      <ddeItem name="spx Index,[PX_close_5d]" advise="1">
        <values>
          <value>
            <val>1120.31</val>
          </value>
        </values>
      </ddeItem>
      <ddeItem name="spx Index,[PX_last]" advise="1">
        <values>
          <value>
            <val>1138.6500000000001</val>
          </value>
        </values>
      </ddeItem>
      <ddeItem name="StdDocumentName" ole="1" advise="1"/>
      <ddeItem name="TI0003M Index,[PX_CLOSE_5D]" advise="1">
        <values>
          <value>
            <val>8.1540000000000001E-2</val>
          </value>
        </values>
      </ddeItem>
      <ddeItem name="TI0003M Index,[PX_LAST]" advise="1">
        <values>
          <value>
            <val>8.1540000000000001E-2</val>
          </value>
        </values>
      </ddeItem>
      <ddeItem name="TI0006M Index,[PX_CLOSE_5D]" advise="1">
        <values>
          <value>
            <val>9.2310000000000003E-2</val>
          </value>
        </values>
      </ddeItem>
      <ddeItem name="TI0006M Index,[PX_LAST]" advise="1">
        <values>
          <value>
            <val>9.3079999999999996E-2</val>
          </value>
        </values>
      </ddeItem>
      <ddeItem name="TI0012M Index,[PX_CLOSE_5D]" advise="1">
        <values>
          <value>
            <val>9.8460000000000006E-2</val>
          </value>
        </values>
      </ddeItem>
      <ddeItem name="TI0012M Index,[PX_LAST]" advise="1">
        <values>
          <value>
            <val>9.9229999999999999E-2</val>
          </value>
        </values>
      </ddeItem>
      <ddeItem name="tmw Index,[PX_close_5d]" advise="1">
        <values>
          <value>
            <val>10297.209999999999</val>
          </value>
        </values>
      </ddeItem>
      <ddeItem name="tmw Index,[PX_last]" advise="1">
        <values>
          <value>
            <val>10486.67</val>
          </value>
        </values>
      </ddeItem>
      <ddeItem name="ts300 Index,[PX_close_5d]" advise="1">
        <values>
          <value>
            <val>7140.79</val>
          </value>
        </values>
      </ddeItem>
      <ddeItem name="ts300 Index,[PX_last]" advise="1">
        <values>
          <value>
            <val>7315.3</val>
          </value>
        </values>
      </ddeItem>
      <ddeItem name="ukx Index,[PX_close_5d]" advise="1">
        <values>
          <value>
            <val>5244.2</val>
          </value>
        </values>
      </ddeItem>
      <ddeItem name="ukx Index,[PX_last]" advise="1">
        <values>
          <value>
            <val>5291</val>
          </value>
        </values>
      </ddeItem>
      <ddeItem name="'US0003M Index,[PX_CLOSE_5D]'" advise="1">
        <values>
          <value>
            <val>2.0162499999999999</val>
          </value>
        </values>
      </ddeItem>
      <ddeItem name="'US0003M Index,[PX_LAST]'" advise="1">
        <values>
          <value>
            <val>2.1387499999999999</val>
          </value>
        </values>
      </ddeItem>
      <ddeItem name="'US0006M Index,[PX_CLOSE_5D]'" advise="1">
        <values>
          <value>
            <val>1.97</val>
          </value>
        </values>
      </ddeItem>
      <ddeItem name="'US0006M Index,[PX_LAST]'" advise="1">
        <values>
          <value>
            <val>2.17</val>
          </value>
        </values>
      </ddeItem>
      <ddeItem name="'US0012M Index,[PX_CLOSE_5D]'" advise="1">
        <values>
          <value>
            <val>2.12</val>
          </value>
        </values>
      </ddeItem>
      <ddeItem name="'US0012M Index,[PX_LAST]'" advise="1">
        <values>
          <value>
            <val>2.5024999999999999</val>
          </value>
        </values>
      </ddeItem>
      <ddeItem name="'USSW10 Index,[PX_CLOSE_5D]'" advise="1">
        <values>
          <value>
            <val>4.9079999900000004</val>
          </value>
        </values>
      </ddeItem>
      <ddeItem name="'USSW10 Index,[PX_LAST]'" advise="1">
        <values>
          <value>
            <val>5.5159997900000004</val>
          </value>
        </values>
      </ddeItem>
      <ddeItem name="'USSW2 Index,[PX_CLOSE_5D]'" advise="1">
        <values>
          <value>
            <val>2.8380000600000002</val>
          </value>
        </values>
      </ddeItem>
      <ddeItem name="'USSW2 Index,[PX_LAST]'" advise="1">
        <values>
          <value>
            <val>3.47600007</val>
          </value>
        </values>
      </ddeItem>
      <ddeItem name="'USSW30 Index,[PX_CLOSE_5D]'" advise="1">
        <values>
          <value>
            <val>5.4679999400000003</val>
          </value>
        </values>
      </ddeItem>
      <ddeItem name="'USSW30 Index,[PX_LAST]'" advise="1">
        <values>
          <value>
            <val>5.9149999600000003</val>
          </value>
        </values>
      </ddeItem>
      <ddeItem name="'USSW5 Index,[PX_CLOSE_5D]'" advise="1">
        <values>
          <value>
            <val>4.20800018</val>
          </value>
        </values>
      </ddeItem>
      <ddeItem name="'USSW5 Index,[PX_LAST]'" advise="1">
        <values>
          <value>
            <val>4.86299992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definedNames>
      <definedName name="BLP" refersTo="='Main'!$A$23"/>
    </definedNames>
    <sheetDataSet>
      <sheetData sheetId="0">
        <row r="23">
          <cell r="A23" t="b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PFunctions"/>
      <sheetName val="Sheet1"/>
    </sheetNames>
    <definedNames>
      <definedName name="blpsh"/>
    </defined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LP" ddeTopic="H">
    <ddeItems>
      <ddeItem name="ENE Equity,[PX_LAST],ST=20011105 END=20011105 PD=D" advise="1">
        <values cols="2">
          <value t="str">
            <val>11/5/2001</val>
          </value>
          <value>
            <val>11.17</val>
          </value>
        </values>
      </ddeItem>
      <ddeItem name="ENE Equity,[PX_LAST],ST=20011106 END=20011106 PD=D" advise="1">
        <values cols="2">
          <value t="str">
            <val>11/6/2001</val>
          </value>
          <value>
            <val>9.67</val>
          </value>
        </values>
      </ddeItem>
      <ddeItem name="ENE Equity,[PX_LAST],ST=20011107 END=20011107 PD=D" advise="1">
        <values cols="2">
          <value t="str">
            <val>11/7/2001</val>
          </value>
          <value>
            <val>9.0500000000000007</val>
          </value>
        </values>
      </ddeItem>
      <ddeItem name="ENE Equity,[PX_LAST],ST=20011108 END=20011108 PD=D" advise="1">
        <values cols="2">
          <value t="str">
            <val>11/8/2001</val>
          </value>
          <value>
            <val>8.41</val>
          </value>
        </values>
      </ddeItem>
      <ddeItem name="ENE Equity,[PX_LAST],ST=20011109 END=20011109 PD=D" advise="1">
        <values cols="2">
          <value t="str">
            <val>11/9/2001</val>
          </value>
          <value>
            <val>8.6300000000000008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X68"/>
  <sheetViews>
    <sheetView showGridLines="0" tabSelected="1" view="pageBreakPreview" zoomScale="70" zoomScaleNormal="75" workbookViewId="0">
      <selection activeCell="H26" sqref="H26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hidden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hidden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9.28515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v>37204</v>
      </c>
      <c r="E3" s="6">
        <v>37211</v>
      </c>
      <c r="F3" s="6" t="s">
        <v>12</v>
      </c>
      <c r="G3" s="7"/>
      <c r="H3" s="5" t="s">
        <v>151</v>
      </c>
      <c r="I3" s="7"/>
      <c r="J3" s="7"/>
      <c r="K3" s="6">
        <v>37204</v>
      </c>
      <c r="L3" s="6">
        <v>37211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v>9608</v>
      </c>
      <c r="E5" s="32">
        <v>9866.99</v>
      </c>
      <c r="F5" s="18"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v>1.933E-2</v>
      </c>
      <c r="M5" s="22">
        <v>10.5</v>
      </c>
    </row>
    <row r="6" spans="2:23" x14ac:dyDescent="0.2">
      <c r="B6" s="16" t="s">
        <v>1</v>
      </c>
      <c r="C6" s="17" t="s">
        <v>50</v>
      </c>
      <c r="D6" s="32">
        <v>1828.48</v>
      </c>
      <c r="E6" s="32">
        <v>1898.58</v>
      </c>
      <c r="F6" s="18"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v>2.0459999999999999E-2</v>
      </c>
      <c r="M6" s="22">
        <v>23.1</v>
      </c>
      <c r="W6" s="23"/>
    </row>
    <row r="7" spans="2:23" x14ac:dyDescent="0.2">
      <c r="B7" s="16" t="s">
        <v>2</v>
      </c>
      <c r="C7" s="17" t="s">
        <v>51</v>
      </c>
      <c r="D7" s="32">
        <v>1514.96</v>
      </c>
      <c r="E7" s="32">
        <v>1582.14</v>
      </c>
      <c r="F7" s="18"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v>2.3029999999999998E-2</v>
      </c>
      <c r="M7" s="22">
        <v>34.299999999999997</v>
      </c>
    </row>
    <row r="8" spans="2:23" x14ac:dyDescent="0.2">
      <c r="B8" s="16" t="s">
        <v>3</v>
      </c>
      <c r="C8" s="17" t="s">
        <v>52</v>
      </c>
      <c r="D8" s="32">
        <v>1120.31</v>
      </c>
      <c r="E8" s="32">
        <v>1138.6500000000001</v>
      </c>
      <c r="F8" s="18"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v>3.0530000000000002E-2</v>
      </c>
      <c r="M8" s="22">
        <v>61.9</v>
      </c>
    </row>
    <row r="9" spans="2:23" x14ac:dyDescent="0.2">
      <c r="B9" s="16" t="s">
        <v>17</v>
      </c>
      <c r="C9" s="17" t="s">
        <v>53</v>
      </c>
      <c r="D9" s="32">
        <v>438.1</v>
      </c>
      <c r="E9" s="32">
        <v>451.31</v>
      </c>
      <c r="F9" s="18"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v>4.2350000000000006E-2</v>
      </c>
      <c r="M9" s="22">
        <v>68.20000000000006</v>
      </c>
    </row>
    <row r="10" spans="2:23" x14ac:dyDescent="0.2">
      <c r="B10" s="16" t="s">
        <v>33</v>
      </c>
      <c r="C10" s="17" t="s">
        <v>54</v>
      </c>
      <c r="D10" s="32">
        <v>10297.209999999999</v>
      </c>
      <c r="E10" s="32">
        <v>10486.67</v>
      </c>
      <c r="F10" s="18"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v>4.8910000000000002E-2</v>
      </c>
      <c r="M10" s="22">
        <v>58.4</v>
      </c>
    </row>
    <row r="11" spans="2:23" x14ac:dyDescent="0.2">
      <c r="B11" s="16" t="s">
        <v>34</v>
      </c>
      <c r="C11" s="17" t="s">
        <v>55</v>
      </c>
      <c r="D11" s="32">
        <v>7140.79</v>
      </c>
      <c r="E11" s="32">
        <v>7315.3</v>
      </c>
      <c r="F11" s="18"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v>5.3030000000000001E-2</v>
      </c>
      <c r="M11" s="22">
        <v>42.7</v>
      </c>
    </row>
    <row r="12" spans="2:23" x14ac:dyDescent="0.2">
      <c r="B12" s="16" t="s">
        <v>19</v>
      </c>
      <c r="C12" s="17" t="s">
        <v>56</v>
      </c>
      <c r="D12" s="32">
        <v>5244.2</v>
      </c>
      <c r="E12" s="32">
        <v>5291</v>
      </c>
      <c r="F12" s="18"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v>10215.709999999999</v>
      </c>
      <c r="E13" s="32">
        <v>10649.09</v>
      </c>
      <c r="F13" s="18">
        <v>4.2422895716499494E-2</v>
      </c>
      <c r="G13" s="14"/>
      <c r="H13" s="19" t="s">
        <v>5</v>
      </c>
      <c r="I13" s="26"/>
      <c r="J13" s="27" t="s">
        <v>88</v>
      </c>
      <c r="K13" s="21">
        <v>2.01625E-2</v>
      </c>
      <c r="L13" s="21">
        <v>2.13875E-2</v>
      </c>
      <c r="M13" s="22">
        <v>12.25</v>
      </c>
    </row>
    <row r="14" spans="2:23" x14ac:dyDescent="0.2">
      <c r="B14" s="16" t="s">
        <v>21</v>
      </c>
      <c r="C14" s="17" t="s">
        <v>58</v>
      </c>
      <c r="D14" s="32">
        <v>4910.07</v>
      </c>
      <c r="E14" s="32">
        <v>5062.6400000000003</v>
      </c>
      <c r="F14" s="18">
        <v>3.1072876761431226E-2</v>
      </c>
      <c r="G14" s="14"/>
      <c r="H14" s="19" t="s">
        <v>6</v>
      </c>
      <c r="I14" s="26"/>
      <c r="J14" s="27" t="s">
        <v>89</v>
      </c>
      <c r="K14" s="21">
        <v>1.9699999999999999E-2</v>
      </c>
      <c r="L14" s="21">
        <v>2.1700000000000001E-2</v>
      </c>
      <c r="M14" s="22">
        <v>20</v>
      </c>
    </row>
    <row r="15" spans="2:23" x14ac:dyDescent="0.2">
      <c r="B15" s="16" t="s">
        <v>22</v>
      </c>
      <c r="C15" s="17" t="s">
        <v>59</v>
      </c>
      <c r="D15" s="32">
        <v>4514.28</v>
      </c>
      <c r="E15" s="32">
        <v>4587.3</v>
      </c>
      <c r="F15" s="18">
        <v>1.617533693080634E-2</v>
      </c>
      <c r="G15" s="14"/>
      <c r="H15" s="19" t="s">
        <v>7</v>
      </c>
      <c r="I15" s="26"/>
      <c r="J15" s="27" t="s">
        <v>103</v>
      </c>
      <c r="K15" s="21">
        <v>2.12E-2</v>
      </c>
      <c r="L15" s="21">
        <v>2.5024999999999999E-2</v>
      </c>
      <c r="M15" s="22">
        <v>38.25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v>2.8380000600000004E-2</v>
      </c>
      <c r="L16" s="21">
        <v>3.4760000700000002E-2</v>
      </c>
      <c r="M16" s="22">
        <v>63.80000099999998</v>
      </c>
    </row>
    <row r="17" spans="1:24" x14ac:dyDescent="0.2">
      <c r="B17" s="16" t="s">
        <v>29</v>
      </c>
      <c r="C17" s="17" t="s">
        <v>60</v>
      </c>
      <c r="D17" s="32">
        <v>36.5</v>
      </c>
      <c r="E17" s="32">
        <v>31.5</v>
      </c>
      <c r="F17" s="30">
        <v>-0.13698630136986301</v>
      </c>
      <c r="G17" s="14"/>
      <c r="H17" s="19" t="s">
        <v>9</v>
      </c>
      <c r="I17" s="26"/>
      <c r="J17" s="27" t="s">
        <v>100</v>
      </c>
      <c r="K17" s="21">
        <v>4.2080001800000003E-2</v>
      </c>
      <c r="L17" s="21">
        <v>4.8629999200000003E-2</v>
      </c>
      <c r="M17" s="22">
        <v>65.499974000000009</v>
      </c>
    </row>
    <row r="18" spans="1:24" x14ac:dyDescent="0.2">
      <c r="B18" s="16" t="s">
        <v>30</v>
      </c>
      <c r="C18" s="17" t="s">
        <v>61</v>
      </c>
      <c r="D18" s="32">
        <v>22.22</v>
      </c>
      <c r="E18" s="32">
        <v>18.03</v>
      </c>
      <c r="F18" s="30">
        <v>-0.18856885688568847</v>
      </c>
      <c r="G18" s="14"/>
      <c r="H18" s="19" t="s">
        <v>10</v>
      </c>
      <c r="I18" s="17"/>
      <c r="J18" s="27" t="s">
        <v>101</v>
      </c>
      <c r="K18" s="21">
        <v>4.9079999900000004E-2</v>
      </c>
      <c r="L18" s="21">
        <v>5.5159997900000007E-2</v>
      </c>
      <c r="M18" s="22">
        <v>60.799980000000033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v>21.38</v>
      </c>
      <c r="E19" s="32">
        <v>17.75</v>
      </c>
      <c r="F19" s="30">
        <v>-0.16978484565014029</v>
      </c>
      <c r="G19" s="14"/>
      <c r="H19" s="19" t="s">
        <v>11</v>
      </c>
      <c r="I19" s="17"/>
      <c r="J19" s="27" t="s">
        <v>102</v>
      </c>
      <c r="K19" s="21">
        <v>5.4679999400000005E-2</v>
      </c>
      <c r="L19" s="21">
        <v>5.9149999600000003E-2</v>
      </c>
      <c r="M19" s="22">
        <v>44.700001999999976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v>60.71</v>
      </c>
      <c r="E20" s="32">
        <v>50.22</v>
      </c>
      <c r="F20" s="30">
        <v>-0.1727886674353484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v>62.68</v>
      </c>
      <c r="E21" s="32">
        <v>52.18</v>
      </c>
      <c r="F21" s="30"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v>2.9249999999999998</v>
      </c>
      <c r="E22" s="32">
        <v>2.637</v>
      </c>
      <c r="F22" s="30"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>
        <v>0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>
        <v>35</v>
      </c>
      <c r="E23" s="32">
        <v>33.5</v>
      </c>
      <c r="F23" s="30">
        <v>-4.2857142857142858E-2</v>
      </c>
      <c r="G23" s="14"/>
      <c r="H23" s="19" t="s">
        <v>6</v>
      </c>
      <c r="I23" s="17"/>
      <c r="J23" s="21" t="s">
        <v>112</v>
      </c>
      <c r="K23" s="21">
        <v>1.2999999999999999E-4</v>
      </c>
      <c r="L23" s="21">
        <v>1.6000000000000001E-4</v>
      </c>
      <c r="M23" s="22">
        <v>0.3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>
        <v>8.25</v>
      </c>
      <c r="E24" s="32">
        <v>7.88</v>
      </c>
      <c r="F24" s="30">
        <v>-4.484848484848486E-2</v>
      </c>
      <c r="G24" s="14"/>
      <c r="H24" s="19" t="s">
        <v>7</v>
      </c>
      <c r="I24" s="17"/>
      <c r="J24" s="21" t="s">
        <v>114</v>
      </c>
      <c r="K24" s="21">
        <v>4.3999999999999996E-4</v>
      </c>
      <c r="L24" s="21">
        <v>4.3999999999999996E-4</v>
      </c>
      <c r="M24" s="22">
        <v>0</v>
      </c>
      <c r="N24" s="31">
        <v>0.5</v>
      </c>
    </row>
    <row r="25" spans="1:24" x14ac:dyDescent="0.2">
      <c r="B25" s="16" t="s">
        <v>132</v>
      </c>
      <c r="C25" s="72" t="s">
        <v>134</v>
      </c>
      <c r="D25" s="32">
        <v>6.75</v>
      </c>
      <c r="E25" s="32">
        <v>6.13</v>
      </c>
      <c r="F25" s="30">
        <v>-9.1851851851851865E-2</v>
      </c>
      <c r="G25" s="14"/>
      <c r="H25" s="19" t="s">
        <v>8</v>
      </c>
      <c r="I25" s="17"/>
      <c r="J25" s="21" t="s">
        <v>108</v>
      </c>
      <c r="K25" s="21">
        <v>1.15E-3</v>
      </c>
      <c r="L25" s="21">
        <v>1.15E-3</v>
      </c>
      <c r="M25" s="22">
        <v>0</v>
      </c>
      <c r="N25" s="31">
        <v>1</v>
      </c>
      <c r="W25" s="34">
        <v>37200</v>
      </c>
      <c r="X25" s="83">
        <v>11.17</v>
      </c>
    </row>
    <row r="26" spans="1:24" x14ac:dyDescent="0.2">
      <c r="B26" s="16" t="s">
        <v>135</v>
      </c>
      <c r="C26" s="17" t="s">
        <v>66</v>
      </c>
      <c r="D26" s="32">
        <v>206.25</v>
      </c>
      <c r="E26" s="32">
        <v>199</v>
      </c>
      <c r="F26" s="67">
        <v>-3.5151515151515149E-2</v>
      </c>
      <c r="G26" s="14"/>
      <c r="H26" s="19" t="s">
        <v>9</v>
      </c>
      <c r="I26" s="17"/>
      <c r="J26" s="21" t="s">
        <v>109</v>
      </c>
      <c r="K26" s="21">
        <v>4.7499999999999999E-3</v>
      </c>
      <c r="L26" s="21">
        <v>5.0400000000000002E-3</v>
      </c>
      <c r="M26" s="22">
        <v>2.9</v>
      </c>
      <c r="N26" s="31">
        <v>2</v>
      </c>
      <c r="W26" s="34">
        <v>37201</v>
      </c>
      <c r="X26" s="83">
        <v>9.67</v>
      </c>
    </row>
    <row r="27" spans="1:24" x14ac:dyDescent="0.2">
      <c r="B27" s="16" t="s">
        <v>136</v>
      </c>
      <c r="C27" s="17" t="s">
        <v>67</v>
      </c>
      <c r="D27" s="32">
        <v>917</v>
      </c>
      <c r="E27" s="32">
        <v>900</v>
      </c>
      <c r="F27" s="67">
        <v>-1.8538713195201745E-2</v>
      </c>
      <c r="G27" s="14"/>
      <c r="H27" s="19" t="s">
        <v>10</v>
      </c>
      <c r="I27" s="17"/>
      <c r="J27" s="21" t="s">
        <v>110</v>
      </c>
      <c r="K27" s="21">
        <v>1.3240000000000002E-2</v>
      </c>
      <c r="L27" s="21">
        <v>1.3640000000000001E-2</v>
      </c>
      <c r="M27" s="22">
        <v>3.9999999999999933</v>
      </c>
      <c r="N27" s="31">
        <v>5</v>
      </c>
      <c r="W27" s="34">
        <v>37202</v>
      </c>
      <c r="X27" s="83">
        <v>9.0500000000000007</v>
      </c>
    </row>
    <row r="28" spans="1:24" x14ac:dyDescent="0.2">
      <c r="B28" s="16" t="s">
        <v>158</v>
      </c>
      <c r="C28" s="17" t="s">
        <v>156</v>
      </c>
      <c r="D28" s="32">
        <v>6852</v>
      </c>
      <c r="E28" s="32">
        <v>6791</v>
      </c>
      <c r="F28" s="67">
        <v>-8.9025102159953299E-3</v>
      </c>
      <c r="G28" s="14"/>
      <c r="H28" s="19" t="s">
        <v>11</v>
      </c>
      <c r="I28" s="17"/>
      <c r="J28" s="21" t="s">
        <v>111</v>
      </c>
      <c r="K28" s="21">
        <v>2.443E-2</v>
      </c>
      <c r="L28" s="21">
        <v>2.443E-2</v>
      </c>
      <c r="M28" s="22">
        <v>0</v>
      </c>
      <c r="N28" s="31">
        <v>10</v>
      </c>
      <c r="W28" s="34">
        <v>37203</v>
      </c>
      <c r="X28" s="83">
        <v>8.41</v>
      </c>
    </row>
    <row r="29" spans="1:24" x14ac:dyDescent="0.2">
      <c r="B29" s="16" t="s">
        <v>159</v>
      </c>
      <c r="C29" s="17" t="s">
        <v>155</v>
      </c>
      <c r="D29" s="32">
        <v>843</v>
      </c>
      <c r="E29" s="32">
        <v>830</v>
      </c>
      <c r="F29" s="67">
        <v>-1.542111506524318E-2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>
        <v>8.6300000000000008</v>
      </c>
    </row>
    <row r="30" spans="1:24" x14ac:dyDescent="0.2">
      <c r="A30" s="36"/>
      <c r="B30" s="16" t="s">
        <v>160</v>
      </c>
      <c r="C30" s="17" t="s">
        <v>157</v>
      </c>
      <c r="D30" s="32">
        <v>932</v>
      </c>
      <c r="E30" s="32">
        <v>978</v>
      </c>
      <c r="F30" s="67">
        <v>4.9356223175965663E-2</v>
      </c>
      <c r="G30" s="14"/>
      <c r="H30" s="19" t="s">
        <v>5</v>
      </c>
      <c r="I30" s="17"/>
      <c r="J30" s="21" t="s">
        <v>116</v>
      </c>
      <c r="K30" s="21">
        <v>8.1539999999999998E-4</v>
      </c>
      <c r="L30" s="21">
        <v>8.1539999999999998E-4</v>
      </c>
      <c r="M30" s="22">
        <v>0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v>277.7</v>
      </c>
      <c r="E31" s="32">
        <v>274.89999999999998</v>
      </c>
      <c r="F31" s="67">
        <v>-1.0082823190493379E-2</v>
      </c>
      <c r="G31" s="14"/>
      <c r="H31" s="19" t="s">
        <v>6</v>
      </c>
      <c r="I31" s="17"/>
      <c r="J31" s="21" t="s">
        <v>117</v>
      </c>
      <c r="K31" s="21">
        <v>9.2310000000000005E-4</v>
      </c>
      <c r="L31" s="21">
        <v>9.3079999999999997E-4</v>
      </c>
      <c r="M31" s="22">
        <v>7.6999999999999166E-2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v>422.6</v>
      </c>
      <c r="E32" s="32">
        <v>427.9</v>
      </c>
      <c r="F32" s="67">
        <v>1.2541410317084606E-2</v>
      </c>
      <c r="G32" s="14"/>
      <c r="H32" s="19" t="s">
        <v>7</v>
      </c>
      <c r="I32" s="17"/>
      <c r="J32" s="21" t="s">
        <v>118</v>
      </c>
      <c r="K32" s="21">
        <v>9.8459999999999997E-4</v>
      </c>
      <c r="L32" s="21">
        <v>9.923E-4</v>
      </c>
      <c r="M32" s="22">
        <v>7.7000000000000249E-2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>
        <v>1308</v>
      </c>
      <c r="E33" s="32">
        <v>1396</v>
      </c>
      <c r="F33" s="67">
        <v>6.7278287461773695E-2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>
        <v>492</v>
      </c>
      <c r="E34" s="32">
        <v>492</v>
      </c>
      <c r="F34" s="67">
        <v>0</v>
      </c>
      <c r="G34" s="14"/>
      <c r="H34" s="20" t="s">
        <v>38</v>
      </c>
      <c r="I34" s="20"/>
      <c r="J34" s="20" t="s">
        <v>104</v>
      </c>
      <c r="K34" s="21">
        <v>0.05</v>
      </c>
      <c r="L34" s="21">
        <v>0.05</v>
      </c>
      <c r="M34" s="22"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>
        <v>4890</v>
      </c>
      <c r="E35" s="32">
        <v>5430</v>
      </c>
      <c r="F35" s="67">
        <v>0.11042944785276074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v>230.1</v>
      </c>
      <c r="E36" s="32">
        <v>231.2</v>
      </c>
      <c r="F36" s="67"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>
        <v>215</v>
      </c>
      <c r="E37" s="32">
        <v>215</v>
      </c>
      <c r="F37" s="67">
        <v>0</v>
      </c>
      <c r="G37" s="14"/>
      <c r="H37" s="20" t="s">
        <v>44</v>
      </c>
      <c r="I37" s="20"/>
      <c r="J37" s="20" t="s">
        <v>76</v>
      </c>
      <c r="K37" s="32">
        <v>8.6300000000000008</v>
      </c>
      <c r="L37" s="32">
        <v>9</v>
      </c>
      <c r="M37" s="33">
        <v>4.2873696407879393E-2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>
        <v>285</v>
      </c>
      <c r="E38" s="32">
        <v>285</v>
      </c>
      <c r="F38" s="67">
        <v>0</v>
      </c>
      <c r="G38" s="14"/>
      <c r="H38" s="20" t="s">
        <v>45</v>
      </c>
      <c r="I38" s="20"/>
      <c r="J38" s="20" t="s">
        <v>77</v>
      </c>
      <c r="K38" s="32">
        <v>36.61</v>
      </c>
      <c r="L38" s="32">
        <v>32.729999999999997</v>
      </c>
      <c r="M38" s="33">
        <v>-0.10598197213875997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v>1.17</v>
      </c>
      <c r="L39" s="32">
        <v>1.31</v>
      </c>
      <c r="M39" s="33">
        <v>0.11965811965811977</v>
      </c>
    </row>
    <row r="40" spans="1:21" x14ac:dyDescent="0.2">
      <c r="A40" s="36"/>
      <c r="B40" s="16" t="s">
        <v>14</v>
      </c>
      <c r="C40" s="37" t="s">
        <v>90</v>
      </c>
      <c r="D40" s="32">
        <v>0.87383502000000002</v>
      </c>
      <c r="E40" s="32">
        <v>0.88338499999999998</v>
      </c>
      <c r="F40" s="67">
        <v>1.0928813541942915E-2</v>
      </c>
      <c r="G40" s="70"/>
      <c r="H40" s="20" t="s">
        <v>47</v>
      </c>
      <c r="I40" s="20"/>
      <c r="J40" s="20" t="s">
        <v>78</v>
      </c>
      <c r="K40" s="32">
        <v>39.61</v>
      </c>
      <c r="L40" s="32">
        <v>38.25</v>
      </c>
      <c r="M40" s="33">
        <v>-3.433476394849784E-2</v>
      </c>
    </row>
    <row r="41" spans="1:21" x14ac:dyDescent="0.2">
      <c r="A41" s="36"/>
      <c r="B41" s="16" t="s">
        <v>124</v>
      </c>
      <c r="C41" s="37" t="s">
        <v>91</v>
      </c>
      <c r="D41" s="32">
        <v>1.57783509</v>
      </c>
      <c r="E41" s="32">
        <v>1.5905849999999999</v>
      </c>
      <c r="F41" s="67">
        <v>8.0806353470056994E-3</v>
      </c>
      <c r="G41" s="38"/>
      <c r="H41" s="20" t="s">
        <v>152</v>
      </c>
      <c r="I41" s="20"/>
      <c r="J41" s="20" t="s">
        <v>153</v>
      </c>
      <c r="K41" s="32">
        <v>19.440000000000001</v>
      </c>
      <c r="L41" s="32">
        <v>18.5</v>
      </c>
      <c r="M41" s="33">
        <v>-4.8353909465020641E-2</v>
      </c>
    </row>
    <row r="42" spans="1:21" x14ac:dyDescent="0.2">
      <c r="A42" s="36"/>
      <c r="B42" s="16" t="s">
        <v>125</v>
      </c>
      <c r="C42" s="37" t="s">
        <v>92</v>
      </c>
      <c r="D42" s="32">
        <v>125.33499512</v>
      </c>
      <c r="E42" s="32">
        <v>122.715</v>
      </c>
      <c r="F42" s="67"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v>1.39530496</v>
      </c>
      <c r="E43" s="32">
        <v>1.424655</v>
      </c>
      <c r="F43" s="67"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v>2.2376108599999998</v>
      </c>
      <c r="E44" s="32">
        <v>2.2139799999999998</v>
      </c>
      <c r="F44" s="67"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v>1.67744509</v>
      </c>
      <c r="E45" s="32">
        <v>1.658245</v>
      </c>
      <c r="F45" s="67"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v>7.5046891499999999</v>
      </c>
      <c r="E46" s="32">
        <v>7.4254350000000002</v>
      </c>
      <c r="F46" s="67"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>
        <v>0.52894998999999998</v>
      </c>
      <c r="E47" s="65">
        <v>0.52144999999999997</v>
      </c>
      <c r="F47" s="77">
        <v>-1.4179015297835646E-2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v>-23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180</v>
      </c>
      <c r="C56" s="38"/>
      <c r="D56" s="38"/>
      <c r="E56" s="38"/>
      <c r="F56" s="38"/>
      <c r="G56" s="51" t="s">
        <v>18</v>
      </c>
      <c r="H56" s="50"/>
      <c r="I56" s="38"/>
      <c r="J56" s="38"/>
      <c r="K56" s="38"/>
      <c r="L56" s="38"/>
      <c r="M56" s="55"/>
      <c r="N56" s="51" t="s">
        <v>18</v>
      </c>
      <c r="O56" s="38"/>
      <c r="P56" s="38"/>
      <c r="Q56" s="38"/>
      <c r="R56" s="38"/>
      <c r="S56" s="52"/>
    </row>
    <row r="57" spans="2:19" x14ac:dyDescent="0.2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">
        <v>18</v>
      </c>
      <c r="H66" s="50"/>
      <c r="I66" s="38"/>
      <c r="J66" s="38"/>
      <c r="K66" s="38"/>
      <c r="L66" s="38"/>
      <c r="M66" s="55"/>
      <c r="N66" s="51" t="s">
        <v>18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15" priority="1" stopIfTrue="1" operator="greaterThan">
      <formula>0.001</formula>
    </cfRule>
    <cfRule type="cellIs" dxfId="14" priority="2" stopIfTrue="1" operator="lessThan">
      <formula>-0.001</formula>
    </cfRule>
  </conditionalFormatting>
  <conditionalFormatting sqref="F16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conditionalFormatting sqref="F41:F48 F26:F39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M34 M12">
    <cfRule type="cellIs" dxfId="9" priority="7" stopIfTrue="1" operator="greaterThan">
      <formula>0</formula>
    </cfRule>
  </conditionalFormatting>
  <conditionalFormatting sqref="M5:M11 M13:M19 M22:M28 M30:M32">
    <cfRule type="cellIs" dxfId="8" priority="8" stopIfTrue="1" operator="lessThan">
      <formula>0</formula>
    </cfRule>
  </conditionalFormatting>
  <pageMargins left="0" right="0" top="0.5" bottom="0.5" header="0.5" footer="0.25"/>
  <pageSetup scale="58" orientation="landscape" r:id="rId1"/>
  <headerFooter alignWithMargins="0">
    <oddFooter>&amp;L&amp;F&amp;R&amp;D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68"/>
  <sheetViews>
    <sheetView showGridLines="0" zoomScale="85" workbookViewId="0">
      <selection activeCell="U79" sqref="A1:IV65536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9.28515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f ca="1">E3-7</f>
        <v>41879</v>
      </c>
      <c r="E3" s="6">
        <f ca="1">TODAY()</f>
        <v>41886</v>
      </c>
      <c r="F3" s="6" t="s">
        <v>12</v>
      </c>
      <c r="G3" s="7"/>
      <c r="H3" s="5" t="s">
        <v>151</v>
      </c>
      <c r="I3" s="7"/>
      <c r="J3" s="7"/>
      <c r="K3" s="6">
        <f ca="1">D3</f>
        <v>41879</v>
      </c>
      <c r="L3" s="6">
        <f ca="1">E3</f>
        <v>41886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f>[1]!'INDU Index,[PX_close_5d]'</f>
        <v>9608</v>
      </c>
      <c r="E5" s="32">
        <f>[1]!'INDU Index,[PX_last]'</f>
        <v>9866.99</v>
      </c>
      <c r="F5" s="18">
        <f t="shared" ref="F5:F15" si="0">(E5-D5)/D5</f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f>(1/100)*[1]!'''CB03 Govt,&lt;CUSIP&gt;[YLD_YTM_MID]'''</f>
        <v>1.933E-2</v>
      </c>
      <c r="M5" s="22">
        <f>(L5-K5)*10000</f>
        <v>10.499999999999989</v>
      </c>
    </row>
    <row r="6" spans="2:23" x14ac:dyDescent="0.2">
      <c r="B6" s="16" t="s">
        <v>1</v>
      </c>
      <c r="C6" s="17" t="s">
        <v>50</v>
      </c>
      <c r="D6" s="32">
        <f>[1]!'ccmp Index,[PX_close_5d]'</f>
        <v>1828.48</v>
      </c>
      <c r="E6" s="32">
        <f>[1]!'ccmp Index,[PX_last]'</f>
        <v>1898.58</v>
      </c>
      <c r="F6" s="18">
        <f t="shared" si="0"/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f>(1/100)*[1]!'''CB06 Govt,&lt;CUSIP&gt;[YLD_YTM_MID]'''</f>
        <v>2.0459999999999999E-2</v>
      </c>
      <c r="M6" s="22">
        <f t="shared" ref="M6:M11" si="1">(L6-K6)*10000</f>
        <v>23.099999999999994</v>
      </c>
      <c r="W6" s="23"/>
    </row>
    <row r="7" spans="2:23" x14ac:dyDescent="0.2">
      <c r="B7" s="16" t="s">
        <v>2</v>
      </c>
      <c r="C7" s="17" t="s">
        <v>51</v>
      </c>
      <c r="D7" s="32">
        <f>[1]!'ndq Index,[PX_close_5d]'</f>
        <v>1514.96</v>
      </c>
      <c r="E7" s="32">
        <f>[1]!'ndq Index,[PX_last]'</f>
        <v>1582.14</v>
      </c>
      <c r="F7" s="18">
        <f t="shared" si="0"/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f>(1/100)*[1]!'''CB12 Govt,&lt;CUSIP&gt;[YLD_YTM_MID]'''</f>
        <v>2.3029999999999998E-2</v>
      </c>
      <c r="M7" s="22">
        <f t="shared" si="1"/>
        <v>34.29999999999999</v>
      </c>
    </row>
    <row r="8" spans="2:23" x14ac:dyDescent="0.2">
      <c r="B8" s="16" t="s">
        <v>3</v>
      </c>
      <c r="C8" s="17" t="s">
        <v>52</v>
      </c>
      <c r="D8" s="32">
        <f>[1]!'spx Index,[PX_close_5d]'</f>
        <v>1120.31</v>
      </c>
      <c r="E8" s="32">
        <f>[1]!'spx Index,[PX_last]'</f>
        <v>1138.6500000000001</v>
      </c>
      <c r="F8" s="18">
        <f t="shared" si="0"/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f>(1/100)*[1]!'''CT02 Govt,&lt;CUSIP&gt;[YLD_YTM_MID]'''</f>
        <v>3.0530000000000002E-2</v>
      </c>
      <c r="M8" s="22">
        <f t="shared" si="1"/>
        <v>61.900000000000013</v>
      </c>
    </row>
    <row r="9" spans="2:23" x14ac:dyDescent="0.2">
      <c r="B9" s="16" t="s">
        <v>17</v>
      </c>
      <c r="C9" s="17" t="s">
        <v>53</v>
      </c>
      <c r="D9" s="32">
        <f>[1]!'rty Index,[PX_close_5d]'</f>
        <v>438.1</v>
      </c>
      <c r="E9" s="32">
        <f>[1]!'rty Index,[PX_last]'</f>
        <v>451.31</v>
      </c>
      <c r="F9" s="18">
        <f t="shared" si="0"/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f>(1/100)*[1]!'''CT05 Govt,&lt;CUSIP&gt;[YLD_YTM_MID]'''</f>
        <v>4.2350000000000006E-2</v>
      </c>
      <c r="M9" s="22">
        <f t="shared" si="1"/>
        <v>68.20000000000006</v>
      </c>
    </row>
    <row r="10" spans="2:23" x14ac:dyDescent="0.2">
      <c r="B10" s="16" t="s">
        <v>33</v>
      </c>
      <c r="C10" s="17" t="s">
        <v>54</v>
      </c>
      <c r="D10" s="32">
        <f>[1]!'tmw Index,[PX_close_5d]'</f>
        <v>10297.209999999999</v>
      </c>
      <c r="E10" s="32">
        <f>[1]!'tmw Index,[PX_last]'</f>
        <v>10486.67</v>
      </c>
      <c r="F10" s="18">
        <f t="shared" si="0"/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f>(1/100)*[1]!'''CT10 Govt,&lt;CUSIP&gt;[YLD_YTM_MID]'''</f>
        <v>4.8910000000000002E-2</v>
      </c>
      <c r="M10" s="22">
        <f t="shared" si="1"/>
        <v>58.399999999999977</v>
      </c>
    </row>
    <row r="11" spans="2:23" x14ac:dyDescent="0.2">
      <c r="B11" s="16" t="s">
        <v>34</v>
      </c>
      <c r="C11" s="17" t="s">
        <v>55</v>
      </c>
      <c r="D11" s="32">
        <f>[1]!'ts300 Index,[PX_close_5d]'</f>
        <v>7140.79</v>
      </c>
      <c r="E11" s="32">
        <f>[1]!'ts300 Index,[PX_last]'</f>
        <v>7315.3</v>
      </c>
      <c r="F11" s="18">
        <f t="shared" si="0"/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f>(1/100)*[1]!'''CT30 Govt,&lt;CUSIP&gt;[YLD_YTM_MID]'''</f>
        <v>5.3030000000000001E-2</v>
      </c>
      <c r="M11" s="22">
        <f t="shared" si="1"/>
        <v>42.69999999999996</v>
      </c>
    </row>
    <row r="12" spans="2:23" x14ac:dyDescent="0.2">
      <c r="B12" s="16" t="s">
        <v>19</v>
      </c>
      <c r="C12" s="17" t="s">
        <v>56</v>
      </c>
      <c r="D12" s="32">
        <f>[1]!'ukx Index,[PX_close_5d]'</f>
        <v>5244.2</v>
      </c>
      <c r="E12" s="32">
        <f>[1]!'ukx Index,[PX_last]'</f>
        <v>5291</v>
      </c>
      <c r="F12" s="18">
        <f t="shared" si="0"/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f>[1]!'nky Index,[PX_close_5d]'</f>
        <v>10215.709999999999</v>
      </c>
      <c r="E13" s="32">
        <f>[1]!'nky Index,[PX_last]'</f>
        <v>10649.09</v>
      </c>
      <c r="F13" s="18">
        <f t="shared" si="0"/>
        <v>4.2422895716499494E-2</v>
      </c>
      <c r="G13" s="14"/>
      <c r="H13" s="19" t="s">
        <v>5</v>
      </c>
      <c r="I13" s="26"/>
      <c r="J13" s="27" t="s">
        <v>88</v>
      </c>
      <c r="K13" s="21">
        <f>(1/100)*[1]!'''US0003M Index,[PX_CLOSE_5D]'''</f>
        <v>2.01625E-2</v>
      </c>
      <c r="L13" s="21">
        <f>(1/100)*[1]!'''US0003M Index,[PX_LAST]'''</f>
        <v>2.13875E-2</v>
      </c>
      <c r="M13" s="22">
        <f t="shared" ref="M13:M19" si="2">(L13-K13)*10000</f>
        <v>12.250000000000004</v>
      </c>
    </row>
    <row r="14" spans="2:23" x14ac:dyDescent="0.2">
      <c r="B14" s="16" t="s">
        <v>21</v>
      </c>
      <c r="C14" s="17" t="s">
        <v>58</v>
      </c>
      <c r="D14" s="32">
        <f>[1]!'dax Index,[PX_close_5d]'</f>
        <v>4910.07</v>
      </c>
      <c r="E14" s="32">
        <f>[1]!'dax Index,[PX_last]'</f>
        <v>5062.6400000000003</v>
      </c>
      <c r="F14" s="18">
        <f t="shared" si="0"/>
        <v>3.1072876761431226E-2</v>
      </c>
      <c r="G14" s="14"/>
      <c r="H14" s="19" t="s">
        <v>6</v>
      </c>
      <c r="I14" s="26"/>
      <c r="J14" s="27" t="s">
        <v>89</v>
      </c>
      <c r="K14" s="21">
        <f>(1/100)*[1]!'''US0006M Index,[PX_CLOSE_5D]'''</f>
        <v>1.9699999999999999E-2</v>
      </c>
      <c r="L14" s="21">
        <f>(1/100)*[1]!'''US0006M Index,[PX_LAST]'''</f>
        <v>2.1700000000000001E-2</v>
      </c>
      <c r="M14" s="22">
        <f t="shared" si="2"/>
        <v>20.000000000000018</v>
      </c>
    </row>
    <row r="15" spans="2:23" x14ac:dyDescent="0.2">
      <c r="B15" s="16" t="s">
        <v>22</v>
      </c>
      <c r="C15" s="17" t="s">
        <v>59</v>
      </c>
      <c r="D15" s="32">
        <f>[1]!'cac Index,[PX_close_5d]'</f>
        <v>4514.28</v>
      </c>
      <c r="E15" s="32">
        <f>[1]!'cac Index,[PX_last]'</f>
        <v>4587.3</v>
      </c>
      <c r="F15" s="18">
        <f t="shared" si="0"/>
        <v>1.617533693080634E-2</v>
      </c>
      <c r="G15" s="14"/>
      <c r="H15" s="19" t="s">
        <v>7</v>
      </c>
      <c r="I15" s="26"/>
      <c r="J15" s="27" t="s">
        <v>103</v>
      </c>
      <c r="K15" s="21">
        <f>(1/100)*[1]!'''US0012M Index,[PX_CLOSE_5D]'''</f>
        <v>2.12E-2</v>
      </c>
      <c r="L15" s="21">
        <f>(1/100)*[1]!'''US0012M Index,[PX_LAST]'''</f>
        <v>2.5024999999999999E-2</v>
      </c>
      <c r="M15" s="22">
        <f t="shared" si="2"/>
        <v>38.249999999999986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f>(1/100)*[1]!'''USSW2 Index,[PX_CLOSE_5D]'''</f>
        <v>2.8380000600000004E-2</v>
      </c>
      <c r="L16" s="21">
        <f>(1/100)*[1]!'''USSW2 Index,[PX_LAST]'''</f>
        <v>3.4760000700000002E-2</v>
      </c>
      <c r="M16" s="22">
        <f t="shared" si="2"/>
        <v>63.80000099999998</v>
      </c>
    </row>
    <row r="17" spans="1:24" x14ac:dyDescent="0.2">
      <c r="B17" s="16" t="s">
        <v>29</v>
      </c>
      <c r="C17" s="17" t="s">
        <v>60</v>
      </c>
      <c r="D17" s="32">
        <f>[1]!'OW1 Comdty,[PX_Close_5d]'</f>
        <v>36.5</v>
      </c>
      <c r="E17" s="32">
        <f>[1]!'OW1 Comdty,[PX_SETTLE]'</f>
        <v>31.5</v>
      </c>
      <c r="F17" s="30">
        <f t="shared" ref="F17:F25" si="3">(E17-D17)/D17</f>
        <v>-0.13698630136986301</v>
      </c>
      <c r="G17" s="14"/>
      <c r="H17" s="19" t="s">
        <v>9</v>
      </c>
      <c r="I17" s="26"/>
      <c r="J17" s="27" t="s">
        <v>100</v>
      </c>
      <c r="K17" s="21">
        <f>(1/100)*[1]!'''USSW5 Index,[PX_CLOSE_5D]'''</f>
        <v>4.2080001800000003E-2</v>
      </c>
      <c r="L17" s="21">
        <f>(1/100)*[1]!'''USSW5 Index,[PX_LAST]'''</f>
        <v>4.8629999200000003E-2</v>
      </c>
      <c r="M17" s="22">
        <f t="shared" si="2"/>
        <v>65.499974000000009</v>
      </c>
    </row>
    <row r="18" spans="1:24" x14ac:dyDescent="0.2">
      <c r="B18" s="16" t="s">
        <v>30</v>
      </c>
      <c r="C18" s="17" t="s">
        <v>61</v>
      </c>
      <c r="D18" s="32">
        <f>[1]!'CL1 Comdty,[PX_close_5d]'</f>
        <v>22.22</v>
      </c>
      <c r="E18" s="32">
        <f>[1]!'CL1 Comdty,[PX_SETTLE]'</f>
        <v>18.03</v>
      </c>
      <c r="F18" s="30">
        <f t="shared" si="3"/>
        <v>-0.18856885688568847</v>
      </c>
      <c r="G18" s="14"/>
      <c r="H18" s="19" t="s">
        <v>10</v>
      </c>
      <c r="I18" s="17"/>
      <c r="J18" s="27" t="s">
        <v>101</v>
      </c>
      <c r="K18" s="21">
        <f>(1/100)*[1]!'''USSW10 Index,[PX_CLOSE_5D]'''</f>
        <v>4.9079999900000004E-2</v>
      </c>
      <c r="L18" s="21">
        <f>(1/100)*[1]!'''USSW10 Index,[PX_LAST]'''</f>
        <v>5.5159997900000007E-2</v>
      </c>
      <c r="M18" s="22">
        <f t="shared" si="2"/>
        <v>60.799980000000033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f>[1]!'CO1 Comdty,[PX_close_5d]'</f>
        <v>21.38</v>
      </c>
      <c r="E19" s="32">
        <f>[1]!'CO1 Comdty,[PX_SETTLE]'</f>
        <v>17.75</v>
      </c>
      <c r="F19" s="30">
        <f t="shared" si="3"/>
        <v>-0.16978484565014029</v>
      </c>
      <c r="G19" s="14"/>
      <c r="H19" s="19" t="s">
        <v>11</v>
      </c>
      <c r="I19" s="17"/>
      <c r="J19" s="27" t="s">
        <v>102</v>
      </c>
      <c r="K19" s="21">
        <f>(1/100)*[1]!'''USSW30 Index,[PX_CLOSE_5D]'''</f>
        <v>5.4679999400000005E-2</v>
      </c>
      <c r="L19" s="21">
        <f>(1/100)*[1]!'''USSW30 Index,[PX_LAST]'''</f>
        <v>5.9149999600000003E-2</v>
      </c>
      <c r="M19" s="22">
        <f t="shared" si="2"/>
        <v>44.700001999999976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f>[1]!'HU1 Comdty,[PX_close_5d]'</f>
        <v>60.71</v>
      </c>
      <c r="E20" s="32">
        <f>[1]!'HU1 Comdty,[PX_SETTLE]'</f>
        <v>50.22</v>
      </c>
      <c r="F20" s="30">
        <f t="shared" si="3"/>
        <v>-0.1727886674353484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f>[1]!'HO1 Comdty,[PX_close_5d]'</f>
        <v>62.68</v>
      </c>
      <c r="E21" s="32">
        <f>[1]!'HO1 Comdty,[PX_SETTLE]'</f>
        <v>52.18</v>
      </c>
      <c r="F21" s="30">
        <f t="shared" si="3"/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f>[1]!'NG1 Comdty,[PX_close_5d]'</f>
        <v>2.9249999999999998</v>
      </c>
      <c r="E22" s="32">
        <f>[1]!'NG1 Comdty,[PX_SETTLE]'</f>
        <v>2.637</v>
      </c>
      <c r="F22" s="30">
        <f t="shared" si="3"/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 t="e">
        <f ca="1">1/100*[2]!BLP(J22,REF!B2,,,[1]!'GJTB3MO Index,[PX_LAST]')</f>
        <v>#REF!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 t="e">
        <f t="array" aca="1" ref="D23" ca="1">[2]!BLP(C23,REF!$B$3,,,[1]!'COALBGSD Index,[PX_CLOSE_5D]')</f>
        <v>#REF!</v>
      </c>
      <c r="E23" s="32" t="e">
        <f t="array" aca="1" ref="E23" ca="1">[2]!BLP(C23,REF!$B$2,,,[1]!'COALBGSD Index,[PX_LAST]')</f>
        <v>#REF!</v>
      </c>
      <c r="F23" s="30" t="e">
        <f t="shared" ca="1" si="3"/>
        <v>#REF!</v>
      </c>
      <c r="G23" s="14"/>
      <c r="H23" s="19" t="s">
        <v>6</v>
      </c>
      <c r="I23" s="17"/>
      <c r="J23" s="21" t="s">
        <v>112</v>
      </c>
      <c r="K23" s="21" t="e">
        <f t="array" aca="1" ref="K23" ca="1">1/100*[2]!BLP(J23,REF!$B$3,,,[1]!'GJTB6MO Index,[PX_CLOSE_5D]')</f>
        <v>#REF!</v>
      </c>
      <c r="L23" s="21" t="e">
        <f t="array" aca="1" ref="L23" ca="1">1/100*[2]!BLP(J23,REF!$B$2,,,[1]!'GJTB6MO Index,[PX_LAST]')</f>
        <v>#REF!</v>
      </c>
      <c r="M23" s="22" t="e">
        <f t="shared" ref="M23:M32" ca="1" si="4">(L23-K23)*10000</f>
        <v>#REF!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 t="e">
        <f t="array" aca="1" ref="D24" ca="1">[2]!BLP(C24,REF!$B$3,,,[1]!'COALPWDR Index,[PX_CLOSE_5D]')</f>
        <v>#REF!</v>
      </c>
      <c r="E24" s="32" t="e">
        <f ca="1">[2]!BLP(C24,REF!$B$2,,,[1]!'COALPWDR Index,[PX_LAST]')</f>
        <v>#REF!</v>
      </c>
      <c r="F24" s="30" t="e">
        <f t="shared" ca="1" si="3"/>
        <v>#REF!</v>
      </c>
      <c r="G24" s="14"/>
      <c r="H24" s="19" t="s">
        <v>7</v>
      </c>
      <c r="I24" s="17"/>
      <c r="J24" s="21" t="s">
        <v>114</v>
      </c>
      <c r="K24" s="21" t="e">
        <f t="array" aca="1" ref="K24" ca="1">1/100*[2]!BLP(J24,REF!$B$3,,,[1]!'GJGB1 Index,[PX_CLOSE_5D]')</f>
        <v>#REF!</v>
      </c>
      <c r="L24" s="21" t="e">
        <f t="array" aca="1" ref="L24" ca="1">1/100*[2]!BLP(J24,REF!$B$2,,,[1]!'GJGB1 Index,[PX_LAST]')</f>
        <v>#REF!</v>
      </c>
      <c r="M24" s="22" t="e">
        <f t="shared" ca="1" si="4"/>
        <v>#REF!</v>
      </c>
      <c r="N24" s="31">
        <v>0.5</v>
      </c>
    </row>
    <row r="25" spans="1:24" x14ac:dyDescent="0.2">
      <c r="B25" s="16" t="s">
        <v>132</v>
      </c>
      <c r="C25" s="72" t="s">
        <v>134</v>
      </c>
      <c r="D25" s="32" t="e">
        <f t="array" aca="1" ref="D25" ca="1">[2]!BLP(C25,REF!$B$3,,,[1]!'COALPR84 Index,[PX_CLOSE_5D]')</f>
        <v>#REF!</v>
      </c>
      <c r="E25" s="32" t="e">
        <f t="array" aca="1" ref="E25" ca="1">[2]!BLP(C25,REF!$B$2,,,[1]!'COALPR84 Index,[PX_LAST]')</f>
        <v>#REF!</v>
      </c>
      <c r="F25" s="30" t="e">
        <f t="shared" ca="1" si="3"/>
        <v>#REF!</v>
      </c>
      <c r="G25" s="14"/>
      <c r="H25" s="19" t="s">
        <v>8</v>
      </c>
      <c r="I25" s="17"/>
      <c r="J25" s="21" t="s">
        <v>108</v>
      </c>
      <c r="K25" s="21" t="e">
        <f t="array" aca="1" ref="K25" ca="1">1/100*[2]!BLP(J25,REF!$B$3,,,[1]!'GJGB2 Index,[PX_CLOSE_5D]')</f>
        <v>#REF!</v>
      </c>
      <c r="L25" s="21" t="e">
        <f t="array" aca="1" ref="L25" ca="1">1/100*[2]!BLP(J25,REF!$B$2,,,[1]!'GJGB2 Index,[PX_LAST]')</f>
        <v>#REF!</v>
      </c>
      <c r="M25" s="22" t="e">
        <f t="shared" ca="1" si="4"/>
        <v>#REF!</v>
      </c>
      <c r="N25" s="31">
        <v>1</v>
      </c>
      <c r="W25" s="34">
        <f>W26-1</f>
        <v>37200</v>
      </c>
      <c r="X25" s="83" t="e">
        <f t="array" aca="1" ref="X25" ca="1">[3]!blpsh($W$23,REF!$B$2,LNK!W25,,,[4]!'ENE Equity,[PX_LAST],ST=20011105 END=20011105 PD=D')</f>
        <v>#NAME?</v>
      </c>
    </row>
    <row r="26" spans="1:24" x14ac:dyDescent="0.2">
      <c r="B26" s="16" t="s">
        <v>135</v>
      </c>
      <c r="C26" s="17" t="s">
        <v>66</v>
      </c>
      <c r="D26" s="32">
        <f>[1]!'ELEASO21 Index,[PX_CLOSE_5D]'</f>
        <v>206.25</v>
      </c>
      <c r="E26" s="32">
        <f>[1]!'ELEASO21 Index,[PX_LAST]'</f>
        <v>199</v>
      </c>
      <c r="F26" s="67">
        <f t="shared" ref="F26:F38" si="5">(E26-D26)/D26</f>
        <v>-3.5151515151515149E-2</v>
      </c>
      <c r="G26" s="14"/>
      <c r="H26" s="19" t="s">
        <v>9</v>
      </c>
      <c r="I26" s="17"/>
      <c r="J26" s="21" t="s">
        <v>109</v>
      </c>
      <c r="K26" s="21" t="e">
        <f t="array" aca="1" ref="K26" ca="1">1/100*[2]!BLP(J26,REF!$B$3,,,[1]!'GJGB5 Index,[PX_CLOSE_5D]')</f>
        <v>#REF!</v>
      </c>
      <c r="L26" s="21" t="e">
        <f t="array" aca="1" ref="L26" ca="1">1/100*[2]!BLP(J26,REF!$B$2,,,[1]!'GJGB5 Index,[PX_LAST]')</f>
        <v>#REF!</v>
      </c>
      <c r="M26" s="22" t="e">
        <f t="shared" ca="1" si="4"/>
        <v>#REF!</v>
      </c>
      <c r="N26" s="31">
        <v>2</v>
      </c>
      <c r="W26" s="34">
        <f>W27-1</f>
        <v>37201</v>
      </c>
      <c r="X26" s="83" t="e">
        <f t="array" aca="1" ref="X26" ca="1">[3]!blpsh($W$23,REF!$B$2,LNK!W26,,,[4]!'ENE Equity,[PX_LAST],ST=20011106 END=20011106 PD=D')</f>
        <v>#NAME?</v>
      </c>
    </row>
    <row r="27" spans="1:24" x14ac:dyDescent="0.2">
      <c r="B27" s="16" t="s">
        <v>136</v>
      </c>
      <c r="C27" s="17" t="s">
        <v>67</v>
      </c>
      <c r="D27" s="32">
        <f>[1]!'ELEANOX4 Index,[PX_CLOSE_5D]'</f>
        <v>917</v>
      </c>
      <c r="E27" s="32">
        <f>[1]!'ELEANOX4 Index,[PX_LAST]'</f>
        <v>900</v>
      </c>
      <c r="F27" s="67">
        <f t="shared" si="5"/>
        <v>-1.8538713195201745E-2</v>
      </c>
      <c r="G27" s="14"/>
      <c r="H27" s="19" t="s">
        <v>10</v>
      </c>
      <c r="I27" s="17"/>
      <c r="J27" s="21" t="s">
        <v>110</v>
      </c>
      <c r="K27" s="21" t="e">
        <f t="array" aca="1" ref="K27" ca="1">1/100*[2]!BLP(J27,REF!$B$3,,,[1]!'GJGB10 Index,[PX_CLOSE_5D]')</f>
        <v>#REF!</v>
      </c>
      <c r="L27" s="21" t="e">
        <f t="array" aca="1" ref="L27" ca="1">1/100*[2]!BLP(J27,REF!$B$2,,,[1]!'GJGB10 Index,[PX_LAST]')</f>
        <v>#REF!</v>
      </c>
      <c r="M27" s="22" t="e">
        <f t="shared" ca="1" si="4"/>
        <v>#REF!</v>
      </c>
      <c r="N27" s="31">
        <v>5</v>
      </c>
      <c r="W27" s="34">
        <f>W28-1</f>
        <v>37202</v>
      </c>
      <c r="X27" s="83" t="e">
        <f t="array" aca="1" ref="X27" ca="1">[3]!blpsh($W$23,REF!$B$2,LNK!W27,,,[4]!'ENE Equity,[PX_LAST],ST=20011107 END=20011107 PD=D')</f>
        <v>#NAME?</v>
      </c>
    </row>
    <row r="28" spans="1:24" x14ac:dyDescent="0.2">
      <c r="B28" s="16" t="s">
        <v>158</v>
      </c>
      <c r="C28" s="17" t="s">
        <v>156</v>
      </c>
      <c r="D28" s="32" t="e">
        <f t="array" aca="1" ref="D28" ca="1">[2]!BLP(C28,REF!$B$3,,,[1]!'BMIY Index,[PX_CLOSE_5D]')</f>
        <v>#REF!</v>
      </c>
      <c r="E28" s="32" t="e">
        <f ca="1">[2]!BLP(C28,REF!$B$2,,,[1]!'BMIY Index,[PX_LAST]')</f>
        <v>#REF!</v>
      </c>
      <c r="F28" s="67" t="e">
        <f ca="1">(E28-D28)/D28</f>
        <v>#REF!</v>
      </c>
      <c r="G28" s="14"/>
      <c r="H28" s="19" t="s">
        <v>11</v>
      </c>
      <c r="I28" s="17"/>
      <c r="J28" s="21" t="s">
        <v>111</v>
      </c>
      <c r="K28" s="21" t="e">
        <f t="array" aca="1" ref="K28" ca="1">1/100*[2]!BLP(J28,REF!$B$3,,,[1]!'GJGB30 Index,[PX_CLOSE_5D]')</f>
        <v>#REF!</v>
      </c>
      <c r="L28" s="21" t="e">
        <f t="array" aca="1" ref="L28" ca="1">1/100*[2]!BLP(J28,REF!$B$2,,,[1]!'GJGB30 Index,[PX_LAST]')</f>
        <v>#REF!</v>
      </c>
      <c r="M28" s="22" t="e">
        <f t="shared" ca="1" si="4"/>
        <v>#REF!</v>
      </c>
      <c r="N28" s="31">
        <v>10</v>
      </c>
      <c r="W28" s="34">
        <f>W29-1</f>
        <v>37203</v>
      </c>
      <c r="X28" s="83" t="e">
        <f t="array" aca="1" ref="X28" ca="1">[3]!blpsh($W$23,REF!$B$2,LNK!W28,,,[4]!'ENE Equity,[PX_LAST],ST=20011108 END=20011108 PD=D')</f>
        <v>#NAME?</v>
      </c>
    </row>
    <row r="29" spans="1:24" x14ac:dyDescent="0.2">
      <c r="B29" s="16" t="s">
        <v>159</v>
      </c>
      <c r="C29" s="17" t="s">
        <v>155</v>
      </c>
      <c r="D29" s="32" t="e">
        <f ca="1">[2]!BLP(C29,REF!$B$3,,,[1]!'BPIY Index,[PX_CLOSE_5D]')</f>
        <v>#REF!</v>
      </c>
      <c r="E29" s="32" t="e">
        <f ca="1">[2]!BLP(C29,REF!B2,,,[1]!'BPIY Index,[PX_LAST]')</f>
        <v>#REF!</v>
      </c>
      <c r="F29" s="67" t="e">
        <f t="shared" ca="1" si="5"/>
        <v>#REF!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 t="e">
        <f t="array" aca="1" ref="X29" ca="1">[3]!blpsh($W$23,REF!$B$2,LNK!W29,,,[4]!'ENE Equity,[PX_LAST],ST=20011109 END=20011109 PD=D')</f>
        <v>#NAME?</v>
      </c>
    </row>
    <row r="30" spans="1:24" x14ac:dyDescent="0.2">
      <c r="A30" s="36"/>
      <c r="B30" s="16" t="s">
        <v>160</v>
      </c>
      <c r="C30" s="17" t="s">
        <v>157</v>
      </c>
      <c r="D30" s="32" t="e">
        <f ca="1">[2]!BLP(C30,REF!$B$3,,,[1]!'BCIY Index,[PX_CLOSE_5D]')</f>
        <v>#REF!</v>
      </c>
      <c r="E30" s="32" t="e">
        <f ca="1">[2]!BLP(C30,REF!$B$2,,,[1]!'BCIY Index,[PX_LAST]')</f>
        <v>#REF!</v>
      </c>
      <c r="F30" s="67" t="e">
        <f ca="1">(E30-D30)/D30</f>
        <v>#REF!</v>
      </c>
      <c r="G30" s="14"/>
      <c r="H30" s="19" t="s">
        <v>5</v>
      </c>
      <c r="I30" s="17"/>
      <c r="J30" s="21" t="s">
        <v>116</v>
      </c>
      <c r="K30" s="21" t="e">
        <f t="array" aca="1" ref="K30" ca="1">1/100*[2]!BLP(LNK!J30,REF!$B$3,,,[1]!'TI0003M Index,[PX_CLOSE_5D]')</f>
        <v>#REF!</v>
      </c>
      <c r="L30" s="21" t="e">
        <f t="array" aca="1" ref="L30" ca="1">1/100*[2]!BLP(J30,REF!$B$2,,,[1]!'TI0003M Index,[PX_LAST]')</f>
        <v>#REF!</v>
      </c>
      <c r="M30" s="22" t="e">
        <f t="shared" ca="1" si="4"/>
        <v>#REF!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f>[1]!'GC1 Comdty,[PX_CLOSE_5D]'</f>
        <v>277.7</v>
      </c>
      <c r="E31" s="32">
        <f>[1]!'GC1 Comdty,[PX_SETTLE]'</f>
        <v>274.89999999999998</v>
      </c>
      <c r="F31" s="67">
        <f t="shared" si="5"/>
        <v>-1.0082823190493379E-2</v>
      </c>
      <c r="G31" s="14"/>
      <c r="H31" s="19" t="s">
        <v>6</v>
      </c>
      <c r="I31" s="17"/>
      <c r="J31" s="21" t="s">
        <v>117</v>
      </c>
      <c r="K31" s="21" t="e">
        <f t="array" aca="1" ref="K31" ca="1">1/100*[2]!BLP(LNK!J31,REF!$B$3,,,[1]!'TI0006M Index,[PX_CLOSE_5D]')</f>
        <v>#REF!</v>
      </c>
      <c r="L31" s="21" t="e">
        <f t="array" aca="1" ref="L31" ca="1">1/100*[2]!BLP(J31,REF!$B$2,,,[1]!'TI0006M Index,[PX_LAST]')</f>
        <v>#REF!</v>
      </c>
      <c r="M31" s="22" t="e">
        <f t="shared" ca="1" si="4"/>
        <v>#REF!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f>[1]!'PL1 Comdty,[PX_CLOSE_5D]'</f>
        <v>422.6</v>
      </c>
      <c r="E32" s="32">
        <f>[1]!'PL1 Comdty,[PX_SETTLE]'</f>
        <v>427.9</v>
      </c>
      <c r="F32" s="67">
        <f t="shared" si="5"/>
        <v>1.2541410317084606E-2</v>
      </c>
      <c r="G32" s="14"/>
      <c r="H32" s="19" t="s">
        <v>7</v>
      </c>
      <c r="I32" s="17"/>
      <c r="J32" s="21" t="s">
        <v>118</v>
      </c>
      <c r="K32" s="21" t="e">
        <f t="array" aca="1" ref="K32" ca="1">1/100*[2]!BLP(LNK!J32,REF!$B$3,,,[1]!'TI0012M Index,[PX_CLOSE_5D]')</f>
        <v>#REF!</v>
      </c>
      <c r="L32" s="21" t="e">
        <f t="array" aca="1" ref="L32" ca="1">1/100*[2]!BLP(J32,REF!$B$2,,,[1]!'TI0012M Index,[PX_LAST]')</f>
        <v>#REF!</v>
      </c>
      <c r="M32" s="22" t="e">
        <f t="shared" ca="1" si="4"/>
        <v>#REF!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 t="e">
        <f t="array" aca="1" ref="D33" ca="1">[2]!BLP(C33,REF!$B$3,,,[1]!'LMAHDS03 Comdty,[PX_CLOSE_5D]')</f>
        <v>#REF!</v>
      </c>
      <c r="E33" s="32" t="e">
        <f t="array" aca="1" ref="E33" ca="1">[2]!BLP(C33,REF!$B$2,,,[1]!'LMAHDS03 Comdty,[PX_LAST]')</f>
        <v>#REF!</v>
      </c>
      <c r="F33" s="67" t="e">
        <f t="shared" ca="1" si="5"/>
        <v>#REF!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 t="e">
        <f t="array" aca="1" ref="D34" ca="1">[2]!BLP(C34,REF!$B$3,,,[1]!'LMPBDS03 Comdty,[PX_CLOSE_5D]')</f>
        <v>#REF!</v>
      </c>
      <c r="E34" s="32" t="e">
        <f t="array" aca="1" ref="E34" ca="1">[2]!BLP(C34,REF!$B$2,,,[1]!'LMPBDS03 Comdty,[PX_LAST]')</f>
        <v>#REF!</v>
      </c>
      <c r="F34" s="67" t="e">
        <f t="shared" ca="1" si="5"/>
        <v>#REF!</v>
      </c>
      <c r="G34" s="14"/>
      <c r="H34" s="20" t="s">
        <v>38</v>
      </c>
      <c r="I34" s="20"/>
      <c r="J34" s="20" t="s">
        <v>104</v>
      </c>
      <c r="K34" s="21">
        <f>(1/100)*[1]!'''PRIME Index,[PX_CLOSE_5D]'''</f>
        <v>0.05</v>
      </c>
      <c r="L34" s="21">
        <f>(1/100)*[1]!'''PRIME Index,[PX_LAST]'''</f>
        <v>0.05</v>
      </c>
      <c r="M34" s="22">
        <f>(L34-K34)*10000</f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 t="e">
        <f t="array" aca="1" ref="D35" ca="1">[2]!BLP(C35,REF!$B$3,,,[1]!'LMNIDS03 Comdty,[PX_CLOSE_5D]')</f>
        <v>#REF!</v>
      </c>
      <c r="E35" s="32" t="e">
        <f t="array" aca="1" ref="E35" ca="1">[2]!BLP(C35,REF!$B$2,,,[1]!'LMNIDS03 Comdty,[PX_LAST]')</f>
        <v>#REF!</v>
      </c>
      <c r="F35" s="67" t="e">
        <f t="shared" ca="1" si="5"/>
        <v>#REF!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f>[1]!'LB1 Comdty,[PX_CLOSE_5D]'</f>
        <v>230.1</v>
      </c>
      <c r="E36" s="32">
        <f>[1]!'LB1 Comdty,[PX_SETTLE]'</f>
        <v>231.2</v>
      </c>
      <c r="F36" s="67">
        <f t="shared" si="5"/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 t="e">
        <f t="array" aca="1" ref="D37" ca="1">[2]!BLP(C37,REF!$B$3,,,[1]!'MBSTUSHR Index,[PX_CLOSE_5D]')</f>
        <v>#REF!</v>
      </c>
      <c r="E37" s="32" t="e">
        <f t="array" aca="1" ref="E37" ca="1">[2]!BLP(C37,REF!$B$2,,,[1]!'MBSTUSHR Index,[PX_LAST]')</f>
        <v>#REF!</v>
      </c>
      <c r="F37" s="67" t="e">
        <f t="shared" ca="1" si="5"/>
        <v>#REF!</v>
      </c>
      <c r="G37" s="14"/>
      <c r="H37" s="20" t="s">
        <v>44</v>
      </c>
      <c r="I37" s="20"/>
      <c r="J37" s="20" t="s">
        <v>76</v>
      </c>
      <c r="K37" s="32">
        <f>[1]!'''ENE US Equity,[PX_CLOSE_5D]'''</f>
        <v>8.6300000000000008</v>
      </c>
      <c r="L37" s="32">
        <f>[1]!'''ENE US Equity,[PX_LAST]'''</f>
        <v>9</v>
      </c>
      <c r="M37" s="33">
        <f>(L37-K37)/K37</f>
        <v>4.2873696407879393E-2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 t="e">
        <f t="array" aca="1" ref="D38" ca="1">[2]!BLP(C38,REF!$B$3,,,[1]!'MBSTUSCR Index,[PX_CLOSE_5D]')</f>
        <v>#REF!</v>
      </c>
      <c r="E38" s="32" t="e">
        <f t="array" aca="1" ref="E38" ca="1">[2]!BLP(C38,REF!$B$2,,,[1]!'MBSTUSCR Index,[PX_LAST]')</f>
        <v>#REF!</v>
      </c>
      <c r="F38" s="67" t="e">
        <f t="shared" ca="1" si="5"/>
        <v>#REF!</v>
      </c>
      <c r="G38" s="14"/>
      <c r="H38" s="20" t="s">
        <v>45</v>
      </c>
      <c r="I38" s="20"/>
      <c r="J38" s="20" t="s">
        <v>77</v>
      </c>
      <c r="K38" s="32">
        <f>[1]!'''EOG US Equity,[PX_CLOSE_5D]'''</f>
        <v>36.61</v>
      </c>
      <c r="L38" s="32">
        <f>[1]!'''EOG US Equity,[PX_LAST]'''</f>
        <v>32.729999999999997</v>
      </c>
      <c r="M38" s="33">
        <f>(L38-K38)/K38</f>
        <v>-0.10598197213875997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f>[1]!'''NPW US Equity,[PX_CLOSE_5D]'''</f>
        <v>1.17</v>
      </c>
      <c r="L39" s="32">
        <f>[1]!'''NPW US Equity,[PX_LAST]'''</f>
        <v>1.31</v>
      </c>
      <c r="M39" s="33">
        <f>(L39-K39)/K39</f>
        <v>0.11965811965811977</v>
      </c>
    </row>
    <row r="40" spans="1:21" x14ac:dyDescent="0.2">
      <c r="A40" s="36"/>
      <c r="B40" s="16" t="s">
        <v>14</v>
      </c>
      <c r="C40" s="37" t="s">
        <v>90</v>
      </c>
      <c r="D40" s="32">
        <f>E40+[1]!'''EUR Curncy,[CHG_NET_5D]'''</f>
        <v>0.87383502000000002</v>
      </c>
      <c r="E40" s="32">
        <f>[1]!'''EUR Curncy,[FWD_RT_1MO]'''</f>
        <v>0.88338499999999998</v>
      </c>
      <c r="F40" s="67">
        <f t="shared" ref="F40:F47" si="6">(E40-D40)/D40</f>
        <v>1.0928813541942915E-2</v>
      </c>
      <c r="G40" s="70"/>
      <c r="H40" s="20" t="s">
        <v>47</v>
      </c>
      <c r="I40" s="20"/>
      <c r="J40" s="20" t="s">
        <v>78</v>
      </c>
      <c r="K40" s="32">
        <f>[1]!'''NBP US Equity,[PX_CLOSE_5D]'''</f>
        <v>39.61</v>
      </c>
      <c r="L40" s="32">
        <f>[1]!'''NBP US Equity,[PX_LAST]'''</f>
        <v>38.25</v>
      </c>
      <c r="M40" s="33">
        <f>(L40-K40)/K40</f>
        <v>-3.433476394849784E-2</v>
      </c>
    </row>
    <row r="41" spans="1:21" x14ac:dyDescent="0.2">
      <c r="A41" s="36"/>
      <c r="B41" s="16" t="s">
        <v>124</v>
      </c>
      <c r="C41" s="37" t="s">
        <v>91</v>
      </c>
      <c r="D41" s="32">
        <f>E41+[1]!'''CAD Curncy,[CHG_NET_5D]'''</f>
        <v>1.57783509</v>
      </c>
      <c r="E41" s="32">
        <f>[1]!'''CAD Curncy,[FWD_RT_1MO]'''</f>
        <v>1.5905849999999999</v>
      </c>
      <c r="F41" s="67">
        <f t="shared" si="6"/>
        <v>8.0806353470056994E-3</v>
      </c>
      <c r="G41" s="38"/>
      <c r="H41" s="20" t="s">
        <v>152</v>
      </c>
      <c r="I41" s="20"/>
      <c r="J41" s="20" t="s">
        <v>153</v>
      </c>
      <c r="K41" s="32" t="e">
        <f t="array" aca="1" ref="K41" ca="1">[2]!BLP(J41,REF!$B$3,,,[1]!'EOT US Equity,[PX_CLOSE_5D]')</f>
        <v>#REF!</v>
      </c>
      <c r="L41" s="32" t="e">
        <f t="array" aca="1" ref="L41" ca="1">[2]!BLP(J41,REF!$B$2,,,[1]!'EOT US Equity,[PX_LAST]')</f>
        <v>#REF!</v>
      </c>
      <c r="M41" s="33" t="e">
        <f ca="1">(L41-K41)/K41</f>
        <v>#REF!</v>
      </c>
    </row>
    <row r="42" spans="1:21" x14ac:dyDescent="0.2">
      <c r="A42" s="36"/>
      <c r="B42" s="16" t="s">
        <v>125</v>
      </c>
      <c r="C42" s="37" t="s">
        <v>92</v>
      </c>
      <c r="D42" s="32">
        <f>E42+[1]!'''JPY Curncy,[CHG_NET_5D]'''</f>
        <v>125.33499512</v>
      </c>
      <c r="E42" s="32">
        <f>[1]!'''JPY Curncy,[FWD_RT_1MO]'''</f>
        <v>122.715</v>
      </c>
      <c r="F42" s="67">
        <f t="shared" si="6"/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f>E43+[1]!'''GBP Curncy,[CHG_NET_5D]'''</f>
        <v>1.39530496</v>
      </c>
      <c r="E43" s="32">
        <f>[1]!'''GBP Curncy,[FWD_RT_1MO]'''</f>
        <v>1.424655</v>
      </c>
      <c r="F43" s="67">
        <f t="shared" si="6"/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f>E44+[1]!'''DEM Curncy,[CHG_NET_5D]'''</f>
        <v>2.2376108599999998</v>
      </c>
      <c r="E44" s="32">
        <f>[1]!'''DEM Curncy,[FWD_RT_1MO]'''</f>
        <v>2.2139799999999998</v>
      </c>
      <c r="F44" s="67">
        <f t="shared" si="6"/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f>E45+[1]!'''CHF Curncy,[CHG_NET_5D]'''</f>
        <v>1.67744509</v>
      </c>
      <c r="E45" s="32">
        <f>[1]!'''CHF Curncy,[FWD_RT_1MO]'''</f>
        <v>1.658245</v>
      </c>
      <c r="F45" s="67">
        <f t="shared" si="6"/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f>E46+[1]!'''FRF Curncy,[CHG_NET_5D]'''</f>
        <v>7.5046891499999999</v>
      </c>
      <c r="E46" s="32">
        <f>[1]!'''FRF Curncy,[FWD_RT_1MO]'''</f>
        <v>7.4254350000000002</v>
      </c>
      <c r="F46" s="67">
        <f t="shared" si="6"/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f>L46-K46</f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 t="e">
        <f t="array" aca="1" ref="D47" ca="1">E47+[2]!BLP(C47,REF!$B$6,,,[1]!'AUD Curncy,[CHG_NET_5D]')</f>
        <v>#REF!</v>
      </c>
      <c r="E47" s="65" t="e">
        <f t="array" aca="1" ref="E47" ca="1">[2]!BLP(C47,REF!$B$5,,,[1]!'AUD Curncy,[FWD_RT_1MO]')</f>
        <v>#REF!</v>
      </c>
      <c r="F47" s="77" t="e">
        <f t="shared" ca="1" si="6"/>
        <v>#REF!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f>L47-K47</f>
        <v>-23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180</v>
      </c>
      <c r="C56" s="38"/>
      <c r="D56" s="38"/>
      <c r="E56" s="38"/>
      <c r="F56" s="38"/>
      <c r="G56" s="51" t="str">
        <f>G51</f>
        <v>Economic Data</v>
      </c>
      <c r="H56" s="50"/>
      <c r="I56" s="38"/>
      <c r="J56" s="38"/>
      <c r="K56" s="38"/>
      <c r="L56" s="38"/>
      <c r="M56" s="55"/>
      <c r="N56" s="51" t="str">
        <f>G56</f>
        <v>Economic Data</v>
      </c>
      <c r="O56" s="38"/>
      <c r="P56" s="38"/>
      <c r="Q56" s="38"/>
      <c r="R56" s="38"/>
      <c r="S56" s="52"/>
    </row>
    <row r="57" spans="2:19" x14ac:dyDescent="0.2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tr">
        <f>G61</f>
        <v>Economic Data</v>
      </c>
      <c r="H66" s="50"/>
      <c r="I66" s="38"/>
      <c r="J66" s="38"/>
      <c r="K66" s="38"/>
      <c r="L66" s="38"/>
      <c r="M66" s="55"/>
      <c r="N66" s="51" t="str">
        <f>G66</f>
        <v>Economic Data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7" priority="1" stopIfTrue="1" operator="greaterThan">
      <formula>0.001</formula>
    </cfRule>
    <cfRule type="cellIs" dxfId="6" priority="2" stopIfTrue="1" operator="lessThan">
      <formula>-0.001</formula>
    </cfRule>
  </conditionalFormatting>
  <conditionalFormatting sqref="F16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conditionalFormatting sqref="M34 M12">
    <cfRule type="cellIs" dxfId="3" priority="5" stopIfTrue="1" operator="greaterThan">
      <formula>0</formula>
    </cfRule>
  </conditionalFormatting>
  <conditionalFormatting sqref="M5:M11 M13:M19 M22:M28 M30:M32">
    <cfRule type="cellIs" dxfId="2" priority="6" stopIfTrue="1" operator="lessThan">
      <formula>0</formula>
    </cfRule>
  </conditionalFormatting>
  <conditionalFormatting sqref="F41:F48 F26:F39">
    <cfRule type="cellIs" dxfId="1" priority="7" stopIfTrue="1" operator="greaterThan">
      <formula>0</formula>
    </cfRule>
    <cfRule type="cellIs" dxfId="0" priority="8" stopIfTrue="1" operator="lessThan">
      <formula>0</formula>
    </cfRule>
  </conditionalFormatting>
  <pageMargins left="0.75" right="0.75" top="0.75" bottom="1" header="0.5" footer="0.5"/>
  <pageSetup scale="42" orientation="landscape" r:id="rId1"/>
  <headerFooter alignWithMargins="0">
    <oddFooter>&amp;LEGM
Finance &amp; Structuring&amp;R&amp;F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eSaver2">
                <anchor moveWithCells="1" sizeWithCells="1">
                  <from>
                    <xdr:col>18</xdr:col>
                    <xdr:colOff>266700</xdr:colOff>
                    <xdr:row>0</xdr:row>
                    <xdr:rowOff>76200</xdr:rowOff>
                  </from>
                  <to>
                    <xdr:col>20</xdr:col>
                    <xdr:colOff>771525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6"/>
  <sheetViews>
    <sheetView workbookViewId="0">
      <selection activeCell="B3" sqref="B3"/>
    </sheetView>
  </sheetViews>
  <sheetFormatPr defaultRowHeight="12.75" x14ac:dyDescent="0.2"/>
  <sheetData>
    <row r="2" spans="2:4" x14ac:dyDescent="0.2">
      <c r="B2" t="s">
        <v>71</v>
      </c>
      <c r="D2" t="s">
        <v>72</v>
      </c>
    </row>
    <row r="3" spans="2:4" x14ac:dyDescent="0.2">
      <c r="B3" t="s">
        <v>73</v>
      </c>
      <c r="D3" t="s">
        <v>87</v>
      </c>
    </row>
    <row r="4" spans="2:4" x14ac:dyDescent="0.2">
      <c r="B4" t="s">
        <v>74</v>
      </c>
      <c r="D4" t="s">
        <v>98</v>
      </c>
    </row>
    <row r="5" spans="2:4" x14ac:dyDescent="0.2">
      <c r="B5" t="s">
        <v>97</v>
      </c>
    </row>
    <row r="6" spans="2:4" x14ac:dyDescent="0.2">
      <c r="B6" t="s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UNLNK</vt:lpstr>
      <vt:lpstr>LNK</vt:lpstr>
      <vt:lpstr>REF</vt:lpstr>
      <vt:lpstr>LNK!Print_Area</vt:lpstr>
      <vt:lpstr>UNLNK!Print_Area</vt:lpstr>
    </vt:vector>
  </TitlesOfParts>
  <Company>Enron Global Markets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EGM Market Update</dc:title>
  <dc:creator>Ethan Schultz</dc:creator>
  <cp:lastModifiedBy>Felienne</cp:lastModifiedBy>
  <cp:lastPrinted>2001-10-01T14:07:49Z</cp:lastPrinted>
  <dcterms:created xsi:type="dcterms:W3CDTF">2000-03-20T14:40:52Z</dcterms:created>
  <dcterms:modified xsi:type="dcterms:W3CDTF">2014-09-04T14:20:40Z</dcterms:modified>
</cp:coreProperties>
</file>