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1340" windowHeight="6285" firstSheet="1" activeTab="4"/>
  </bookViews>
  <sheets>
    <sheet name="Attachment 1A" sheetId="2" r:id="rId1"/>
    <sheet name="1A Notes" sheetId="12" r:id="rId2"/>
    <sheet name="Attachment 1B" sheetId="4" r:id="rId3"/>
    <sheet name="1B Notes" sheetId="13" r:id="rId4"/>
    <sheet name="Attachment 1C" sheetId="5" r:id="rId5"/>
    <sheet name="1C Notes" sheetId="14" r:id="rId6"/>
    <sheet name="Attachment 2" sheetId="18" r:id="rId7"/>
    <sheet name="Attachment 3" sheetId="11" r:id="rId8"/>
    <sheet name="Attachment 3 Notes" sheetId="15" r:id="rId9"/>
  </sheets>
  <definedNames>
    <definedName name="SliceType">#REF!</definedName>
  </definedNames>
  <calcPr calcId="152511"/>
</workbook>
</file>

<file path=xl/calcChain.xml><?xml version="1.0" encoding="utf-8"?>
<calcChain xmlns="http://schemas.openxmlformats.org/spreadsheetml/2006/main">
  <c r="D13" i="12" l="1"/>
  <c r="D14" i="12"/>
  <c r="H14" i="12"/>
  <c r="D15" i="12"/>
  <c r="L15" i="12"/>
  <c r="D16" i="12"/>
  <c r="D17" i="12"/>
  <c r="D25" i="12"/>
  <c r="D26" i="12"/>
  <c r="L26" i="12"/>
  <c r="D27" i="12"/>
  <c r="H27" i="12"/>
  <c r="D28" i="12"/>
  <c r="H28" i="12"/>
  <c r="D29" i="12"/>
  <c r="H29" i="12"/>
  <c r="D36" i="12"/>
  <c r="D37" i="12"/>
  <c r="D38" i="12"/>
  <c r="D39" i="12"/>
  <c r="F39" i="12"/>
  <c r="D40" i="12"/>
  <c r="D13" i="13"/>
  <c r="H13" i="13"/>
  <c r="J13" i="13"/>
  <c r="L13" i="13"/>
  <c r="D14" i="13"/>
  <c r="H14" i="13"/>
  <c r="D15" i="13"/>
  <c r="H15" i="13"/>
  <c r="D16" i="13"/>
  <c r="D17" i="13"/>
  <c r="J17" i="13"/>
  <c r="D25" i="13"/>
  <c r="H25" i="13"/>
  <c r="J25" i="13"/>
  <c r="D26" i="13"/>
  <c r="D27" i="13"/>
  <c r="L27" i="13"/>
  <c r="D28" i="13"/>
  <c r="H28" i="13"/>
  <c r="J28" i="13"/>
  <c r="D29" i="13"/>
  <c r="H29" i="13"/>
  <c r="D36" i="13"/>
  <c r="H36" i="13"/>
  <c r="D37" i="13"/>
  <c r="D38" i="13"/>
  <c r="D39" i="13"/>
  <c r="H39" i="13"/>
  <c r="D40" i="13"/>
  <c r="D13" i="14"/>
  <c r="L13" i="14"/>
  <c r="D14" i="14"/>
  <c r="H14" i="14"/>
  <c r="J14" i="14"/>
  <c r="D15" i="14"/>
  <c r="H15" i="14"/>
  <c r="D16" i="14"/>
  <c r="H16" i="14"/>
  <c r="D17" i="14"/>
  <c r="J17" i="14"/>
  <c r="D25" i="14"/>
  <c r="J25" i="14"/>
  <c r="D26" i="14"/>
  <c r="H26" i="14"/>
  <c r="J26" i="14"/>
  <c r="D27" i="14"/>
  <c r="L27" i="14"/>
  <c r="D28" i="14"/>
  <c r="L28" i="14"/>
  <c r="D29" i="14"/>
  <c r="J29" i="14"/>
  <c r="L29" i="14"/>
  <c r="D36" i="14"/>
  <c r="H36" i="14"/>
  <c r="D37" i="14"/>
  <c r="D38" i="14"/>
  <c r="D39" i="14"/>
  <c r="D40" i="14"/>
  <c r="H40" i="14"/>
  <c r="I3" i="2"/>
  <c r="K3" i="2"/>
  <c r="K9" i="2" s="1"/>
  <c r="K4" i="2"/>
  <c r="K5" i="2"/>
  <c r="K6" i="2"/>
  <c r="I7" i="2"/>
  <c r="I22" i="2"/>
  <c r="I27" i="2" s="1"/>
  <c r="J22" i="2"/>
  <c r="K22" i="2"/>
  <c r="O22" i="2"/>
  <c r="I23" i="2"/>
  <c r="J23" i="2"/>
  <c r="J14" i="12" s="1"/>
  <c r="K23" i="2"/>
  <c r="L14" i="12" s="1"/>
  <c r="O23" i="2"/>
  <c r="I24" i="2"/>
  <c r="J24" i="2"/>
  <c r="J15" i="12" s="1"/>
  <c r="K24" i="2"/>
  <c r="O24" i="2"/>
  <c r="I25" i="2"/>
  <c r="J25" i="2"/>
  <c r="J16" i="12" s="1"/>
  <c r="K25" i="2"/>
  <c r="L16" i="12" s="1"/>
  <c r="O25" i="2"/>
  <c r="I26" i="2"/>
  <c r="J26" i="2"/>
  <c r="J17" i="12" s="1"/>
  <c r="K26" i="2"/>
  <c r="L17" i="12" s="1"/>
  <c r="B27" i="2"/>
  <c r="C27" i="2"/>
  <c r="D27" i="2"/>
  <c r="E27" i="2"/>
  <c r="G27" i="2"/>
  <c r="I34" i="2"/>
  <c r="H25" i="12" s="1"/>
  <c r="J34" i="2"/>
  <c r="J25" i="12" s="1"/>
  <c r="K34" i="2"/>
  <c r="L34" i="2"/>
  <c r="O34" i="2"/>
  <c r="I35" i="2"/>
  <c r="H26" i="12" s="1"/>
  <c r="J35" i="2"/>
  <c r="J26" i="12" s="1"/>
  <c r="K35" i="2"/>
  <c r="L35" i="2"/>
  <c r="O35" i="2"/>
  <c r="I36" i="2"/>
  <c r="J36" i="2"/>
  <c r="J27" i="12" s="1"/>
  <c r="K36" i="2"/>
  <c r="L27" i="12" s="1"/>
  <c r="L36" i="2"/>
  <c r="O36" i="2"/>
  <c r="I37" i="2"/>
  <c r="J37" i="2"/>
  <c r="J28" i="12" s="1"/>
  <c r="K37" i="2"/>
  <c r="L28" i="12" s="1"/>
  <c r="O37" i="2"/>
  <c r="I38" i="2"/>
  <c r="J38" i="2"/>
  <c r="J29" i="12" s="1"/>
  <c r="K38" i="2"/>
  <c r="L29" i="12" s="1"/>
  <c r="L38" i="2"/>
  <c r="B39" i="2"/>
  <c r="C39" i="2"/>
  <c r="D39" i="2"/>
  <c r="E39" i="2"/>
  <c r="G39" i="2"/>
  <c r="I39" i="2"/>
  <c r="J39" i="2"/>
  <c r="C45" i="2"/>
  <c r="D46" i="2"/>
  <c r="O60" i="2" s="1"/>
  <c r="E46" i="2"/>
  <c r="E47" i="2"/>
  <c r="E48" i="2"/>
  <c r="I59" i="2"/>
  <c r="O59" i="2"/>
  <c r="I60" i="2"/>
  <c r="H37" i="12" s="1"/>
  <c r="H61" i="2"/>
  <c r="F38" i="12" s="1"/>
  <c r="I61" i="2"/>
  <c r="O61" i="2"/>
  <c r="H62" i="2"/>
  <c r="I62" i="2"/>
  <c r="H39" i="12" s="1"/>
  <c r="O62" i="2"/>
  <c r="I63" i="2"/>
  <c r="H40" i="12" s="1"/>
  <c r="B64" i="2"/>
  <c r="C64" i="2"/>
  <c r="G64" i="2"/>
  <c r="G46" i="2" s="1"/>
  <c r="I3" i="4"/>
  <c r="K3" i="4"/>
  <c r="K4" i="4"/>
  <c r="K5" i="4"/>
  <c r="K6" i="4"/>
  <c r="I7" i="4"/>
  <c r="H35" i="4" s="1"/>
  <c r="F26" i="13" s="1"/>
  <c r="K7" i="4"/>
  <c r="K8" i="4" s="1"/>
  <c r="I22" i="4"/>
  <c r="J22" i="4"/>
  <c r="K22" i="4"/>
  <c r="L22" i="4"/>
  <c r="O22" i="4"/>
  <c r="I23" i="4"/>
  <c r="J23" i="4"/>
  <c r="J14" i="13" s="1"/>
  <c r="K23" i="4"/>
  <c r="L14" i="13" s="1"/>
  <c r="L23" i="4"/>
  <c r="O23" i="4"/>
  <c r="I24" i="4"/>
  <c r="J24" i="4"/>
  <c r="J15" i="13" s="1"/>
  <c r="K24" i="4"/>
  <c r="L15" i="13" s="1"/>
  <c r="O24" i="4"/>
  <c r="I25" i="4"/>
  <c r="H16" i="13" s="1"/>
  <c r="J25" i="4"/>
  <c r="J16" i="13" s="1"/>
  <c r="K25" i="4"/>
  <c r="L16" i="13" s="1"/>
  <c r="L25" i="4"/>
  <c r="O25" i="4"/>
  <c r="I26" i="4"/>
  <c r="H17" i="13" s="1"/>
  <c r="J26" i="4"/>
  <c r="K26" i="4"/>
  <c r="L17" i="13" s="1"/>
  <c r="L26" i="4"/>
  <c r="B27" i="4"/>
  <c r="C27" i="4"/>
  <c r="D27" i="4"/>
  <c r="E27" i="4"/>
  <c r="G27" i="4"/>
  <c r="I27" i="4"/>
  <c r="H34" i="4"/>
  <c r="I34" i="4"/>
  <c r="J34" i="4"/>
  <c r="K34" i="4"/>
  <c r="L25" i="13" s="1"/>
  <c r="L34" i="4"/>
  <c r="O34" i="4"/>
  <c r="I35" i="4"/>
  <c r="H26" i="13" s="1"/>
  <c r="J35" i="4"/>
  <c r="J26" i="13" s="1"/>
  <c r="K35" i="4"/>
  <c r="L26" i="13" s="1"/>
  <c r="L35" i="4"/>
  <c r="O35" i="4"/>
  <c r="I36" i="4"/>
  <c r="H27" i="13" s="1"/>
  <c r="J36" i="4"/>
  <c r="J27" i="13" s="1"/>
  <c r="K36" i="4"/>
  <c r="L36" i="4"/>
  <c r="O36" i="4"/>
  <c r="I37" i="4"/>
  <c r="J37" i="4"/>
  <c r="K37" i="4"/>
  <c r="L28" i="13" s="1"/>
  <c r="L37" i="4"/>
  <c r="O37" i="4"/>
  <c r="H38" i="4"/>
  <c r="F29" i="13" s="1"/>
  <c r="I38" i="4"/>
  <c r="J38" i="4"/>
  <c r="J29" i="13" s="1"/>
  <c r="K38" i="4"/>
  <c r="L29" i="13" s="1"/>
  <c r="L38" i="4"/>
  <c r="B39" i="4"/>
  <c r="C39" i="4"/>
  <c r="D39" i="4"/>
  <c r="E39" i="4"/>
  <c r="G39" i="4"/>
  <c r="I39" i="4"/>
  <c r="J39" i="4"/>
  <c r="C45" i="4"/>
  <c r="C49" i="4" s="1"/>
  <c r="E45" i="4"/>
  <c r="D46" i="4"/>
  <c r="E46" i="4"/>
  <c r="G46" i="4"/>
  <c r="E47" i="4"/>
  <c r="E48" i="4"/>
  <c r="I59" i="4"/>
  <c r="I64" i="4" s="1"/>
  <c r="O59" i="4"/>
  <c r="I60" i="4"/>
  <c r="H37" i="13" s="1"/>
  <c r="O60" i="4"/>
  <c r="I61" i="4"/>
  <c r="O61" i="4"/>
  <c r="H62" i="4"/>
  <c r="F39" i="13" s="1"/>
  <c r="I62" i="4"/>
  <c r="O62" i="4"/>
  <c r="I63" i="4"/>
  <c r="H40" i="13" s="1"/>
  <c r="B64" i="4"/>
  <c r="C64" i="4"/>
  <c r="G64" i="4"/>
  <c r="I3" i="5"/>
  <c r="K4" i="5"/>
  <c r="K5" i="5"/>
  <c r="K6" i="5"/>
  <c r="I22" i="5"/>
  <c r="H13" i="14" s="1"/>
  <c r="J22" i="5"/>
  <c r="J13" i="14" s="1"/>
  <c r="K22" i="5"/>
  <c r="L22" i="5"/>
  <c r="O22" i="5"/>
  <c r="I23" i="5"/>
  <c r="J23" i="5"/>
  <c r="K23" i="5"/>
  <c r="L14" i="14" s="1"/>
  <c r="L23" i="5"/>
  <c r="O23" i="5"/>
  <c r="I24" i="5"/>
  <c r="J24" i="5"/>
  <c r="J15" i="14" s="1"/>
  <c r="K24" i="5"/>
  <c r="L15" i="14" s="1"/>
  <c r="L24" i="5"/>
  <c r="O24" i="5"/>
  <c r="I25" i="5"/>
  <c r="J25" i="5"/>
  <c r="J16" i="14" s="1"/>
  <c r="K25" i="5"/>
  <c r="L16" i="14" s="1"/>
  <c r="L25" i="5"/>
  <c r="O25" i="5"/>
  <c r="I26" i="5"/>
  <c r="H17" i="14" s="1"/>
  <c r="J26" i="5"/>
  <c r="K26" i="5"/>
  <c r="L17" i="14" s="1"/>
  <c r="L26" i="5"/>
  <c r="B27" i="5"/>
  <c r="C27" i="5"/>
  <c r="D27" i="5"/>
  <c r="E27" i="5"/>
  <c r="G27" i="5"/>
  <c r="I27" i="5"/>
  <c r="J27" i="5"/>
  <c r="I34" i="5"/>
  <c r="J34" i="5"/>
  <c r="K34" i="5"/>
  <c r="L25" i="14" s="1"/>
  <c r="L34" i="5"/>
  <c r="P36" i="5" s="1"/>
  <c r="O34" i="5"/>
  <c r="I35" i="5"/>
  <c r="J35" i="5"/>
  <c r="K35" i="5"/>
  <c r="L26" i="14" s="1"/>
  <c r="L35" i="5"/>
  <c r="O35" i="5"/>
  <c r="I36" i="5"/>
  <c r="H27" i="14" s="1"/>
  <c r="J36" i="5"/>
  <c r="J27" i="14" s="1"/>
  <c r="K36" i="5"/>
  <c r="O36" i="5"/>
  <c r="I37" i="5"/>
  <c r="H28" i="14" s="1"/>
  <c r="J37" i="5"/>
  <c r="J28" i="14" s="1"/>
  <c r="K37" i="5"/>
  <c r="O37" i="5"/>
  <c r="I38" i="5"/>
  <c r="H29" i="14" s="1"/>
  <c r="J38" i="5"/>
  <c r="K38" i="5"/>
  <c r="L38" i="5"/>
  <c r="B39" i="5"/>
  <c r="C39" i="5"/>
  <c r="D39" i="5"/>
  <c r="E39" i="5"/>
  <c r="G39" i="5"/>
  <c r="J39" i="5"/>
  <c r="K39" i="5"/>
  <c r="C45" i="5"/>
  <c r="E45" i="5"/>
  <c r="D46" i="5"/>
  <c r="E47" i="5"/>
  <c r="E48" i="5"/>
  <c r="C49" i="5"/>
  <c r="I59" i="5"/>
  <c r="O59" i="5"/>
  <c r="I60" i="5"/>
  <c r="O60" i="5"/>
  <c r="I61" i="5"/>
  <c r="H38" i="14" s="1"/>
  <c r="O61" i="5"/>
  <c r="I62" i="5"/>
  <c r="O62" i="5"/>
  <c r="I63" i="5"/>
  <c r="B64" i="5"/>
  <c r="C64" i="5"/>
  <c r="G64" i="5"/>
  <c r="B11" i="11"/>
  <c r="B12" i="11" s="1"/>
  <c r="D12" i="11" s="1"/>
  <c r="D11" i="11"/>
  <c r="D13" i="11" s="1"/>
  <c r="D14" i="11" s="1"/>
  <c r="B13" i="11"/>
  <c r="B25" i="11"/>
  <c r="C25" i="11"/>
  <c r="C28" i="11" s="1"/>
  <c r="D25" i="11"/>
  <c r="C38" i="11"/>
  <c r="D38" i="11"/>
  <c r="E38" i="11"/>
  <c r="F38" i="11"/>
  <c r="G38" i="11"/>
  <c r="H38" i="11"/>
  <c r="J38" i="11"/>
  <c r="B39" i="11"/>
  <c r="E39" i="11" s="1"/>
  <c r="E41" i="11" s="1"/>
  <c r="C39" i="11"/>
  <c r="D39" i="11"/>
  <c r="F39" i="11"/>
  <c r="B40" i="11"/>
  <c r="E40" i="11" s="1"/>
  <c r="G40" i="11" s="1"/>
  <c r="H40" i="11" s="1"/>
  <c r="J40" i="11" s="1"/>
  <c r="C40" i="11"/>
  <c r="D40" i="11"/>
  <c r="F40" i="11"/>
  <c r="I40" i="11"/>
  <c r="B41" i="11"/>
  <c r="D41" i="11"/>
  <c r="H42" i="11"/>
  <c r="J42" i="11"/>
  <c r="B61" i="11"/>
  <c r="C69" i="11"/>
  <c r="D69" i="11"/>
  <c r="E69" i="11"/>
  <c r="G69" i="11" s="1"/>
  <c r="F69" i="11"/>
  <c r="H69" i="11"/>
  <c r="B70" i="11"/>
  <c r="C70" i="11"/>
  <c r="E70" i="11"/>
  <c r="G70" i="11" s="1"/>
  <c r="F70" i="11"/>
  <c r="B71" i="11"/>
  <c r="D71" i="11" s="1"/>
  <c r="C71" i="11"/>
  <c r="F71" i="11"/>
  <c r="H73" i="11"/>
  <c r="J73" i="11" s="1"/>
  <c r="C79" i="11"/>
  <c r="D79" i="11"/>
  <c r="D82" i="11" s="1"/>
  <c r="E79" i="11"/>
  <c r="F79" i="11"/>
  <c r="G79" i="11"/>
  <c r="H79" i="11"/>
  <c r="H82" i="11" s="1"/>
  <c r="H84" i="11" s="1"/>
  <c r="B80" i="11"/>
  <c r="E80" i="11" s="1"/>
  <c r="E82" i="11" s="1"/>
  <c r="C80" i="11"/>
  <c r="D80" i="11"/>
  <c r="F80" i="11"/>
  <c r="G80" i="11"/>
  <c r="H80" i="11"/>
  <c r="J80" i="11"/>
  <c r="B81" i="11"/>
  <c r="E81" i="11" s="1"/>
  <c r="C81" i="11"/>
  <c r="D81" i="11"/>
  <c r="F81" i="11"/>
  <c r="G81" i="11"/>
  <c r="H81" i="11"/>
  <c r="I81" i="11"/>
  <c r="B82" i="11"/>
  <c r="H83" i="11"/>
  <c r="J83" i="11"/>
  <c r="C89" i="11"/>
  <c r="D89" i="11" s="1"/>
  <c r="E89" i="11"/>
  <c r="F89" i="11"/>
  <c r="G89" i="11"/>
  <c r="H89" i="11" s="1"/>
  <c r="B90" i="11"/>
  <c r="C90" i="11"/>
  <c r="F90" i="11"/>
  <c r="B91" i="11"/>
  <c r="I91" i="11" s="1"/>
  <c r="C91" i="11"/>
  <c r="F91" i="11"/>
  <c r="B92" i="11"/>
  <c r="H93" i="11"/>
  <c r="J93" i="11" s="1"/>
  <c r="C98" i="11"/>
  <c r="D98" i="11"/>
  <c r="E98" i="11"/>
  <c r="E101" i="11" s="1"/>
  <c r="F98" i="11"/>
  <c r="G98" i="11"/>
  <c r="H98" i="11" s="1"/>
  <c r="J98" i="11" s="1"/>
  <c r="B99" i="11"/>
  <c r="C99" i="11"/>
  <c r="E99" i="11"/>
  <c r="G99" i="11" s="1"/>
  <c r="F99" i="11"/>
  <c r="B100" i="11"/>
  <c r="C100" i="11"/>
  <c r="E100" i="11"/>
  <c r="F100" i="11"/>
  <c r="G100" i="11"/>
  <c r="H102" i="11"/>
  <c r="J102" i="11"/>
  <c r="J89" i="11" l="1"/>
  <c r="P36" i="4"/>
  <c r="P35" i="5"/>
  <c r="F25" i="13"/>
  <c r="J27" i="2"/>
  <c r="J13" i="12"/>
  <c r="J81" i="11"/>
  <c r="P37" i="4"/>
  <c r="J27" i="4"/>
  <c r="P22" i="4"/>
  <c r="P23" i="4"/>
  <c r="P24" i="4"/>
  <c r="P25" i="4"/>
  <c r="K27" i="4"/>
  <c r="L25" i="2"/>
  <c r="H16" i="12"/>
  <c r="G39" i="11"/>
  <c r="H39" i="11" s="1"/>
  <c r="J39" i="11" s="1"/>
  <c r="J41" i="11" s="1"/>
  <c r="P34" i="4"/>
  <c r="H37" i="14"/>
  <c r="P37" i="5"/>
  <c r="L36" i="5"/>
  <c r="K27" i="5"/>
  <c r="L27" i="5"/>
  <c r="Q22" i="5" s="1"/>
  <c r="K39" i="4"/>
  <c r="H36" i="4"/>
  <c r="F27" i="13" s="1"/>
  <c r="L39" i="4"/>
  <c r="Q36" i="4" s="1"/>
  <c r="K9" i="4"/>
  <c r="K10" i="4" s="1"/>
  <c r="H36" i="12"/>
  <c r="I64" i="2"/>
  <c r="L23" i="2"/>
  <c r="H59" i="2"/>
  <c r="H63" i="2"/>
  <c r="F40" i="12" s="1"/>
  <c r="H34" i="2"/>
  <c r="H35" i="2"/>
  <c r="F26" i="12" s="1"/>
  <c r="H36" i="2"/>
  <c r="F27" i="12" s="1"/>
  <c r="H37" i="2"/>
  <c r="F28" i="12" s="1"/>
  <c r="H38" i="2"/>
  <c r="F29" i="12" s="1"/>
  <c r="H60" i="2"/>
  <c r="F37" i="12" s="1"/>
  <c r="H22" i="2"/>
  <c r="H23" i="2"/>
  <c r="F14" i="12" s="1"/>
  <c r="H24" i="2"/>
  <c r="F15" i="12" s="1"/>
  <c r="H25" i="2"/>
  <c r="F16" i="12" s="1"/>
  <c r="H26" i="2"/>
  <c r="F17" i="12" s="1"/>
  <c r="L24" i="2"/>
  <c r="H15" i="12"/>
  <c r="P22" i="5"/>
  <c r="K7" i="2"/>
  <c r="D90" i="11"/>
  <c r="B72" i="11"/>
  <c r="D70" i="11"/>
  <c r="E46" i="5"/>
  <c r="E51" i="5" s="1"/>
  <c r="G46" i="5"/>
  <c r="P23" i="5"/>
  <c r="Q23" i="5"/>
  <c r="H38" i="13"/>
  <c r="P35" i="4"/>
  <c r="Q35" i="4"/>
  <c r="L24" i="4"/>
  <c r="L27" i="4" s="1"/>
  <c r="K11" i="4"/>
  <c r="L37" i="2"/>
  <c r="L39" i="2" s="1"/>
  <c r="L26" i="2"/>
  <c r="P24" i="5"/>
  <c r="K3" i="5"/>
  <c r="I7" i="5"/>
  <c r="P34" i="2"/>
  <c r="P35" i="2"/>
  <c r="P36" i="2"/>
  <c r="P37" i="2"/>
  <c r="K27" i="2"/>
  <c r="L13" i="12"/>
  <c r="H59" i="4"/>
  <c r="H63" i="4"/>
  <c r="F40" i="13" s="1"/>
  <c r="H22" i="4"/>
  <c r="H23" i="4"/>
  <c r="F14" i="13" s="1"/>
  <c r="H24" i="4"/>
  <c r="F15" i="13" s="1"/>
  <c r="H25" i="4"/>
  <c r="F16" i="13" s="1"/>
  <c r="H26" i="4"/>
  <c r="F17" i="13" s="1"/>
  <c r="H61" i="4"/>
  <c r="F38" i="13" s="1"/>
  <c r="K39" i="2"/>
  <c r="L25" i="12"/>
  <c r="B101" i="11"/>
  <c r="D99" i="11"/>
  <c r="D101" i="11" s="1"/>
  <c r="P25" i="5"/>
  <c r="L22" i="2"/>
  <c r="H13" i="12"/>
  <c r="I71" i="11"/>
  <c r="E49" i="4"/>
  <c r="E51" i="4"/>
  <c r="H38" i="12"/>
  <c r="H39" i="14"/>
  <c r="H25" i="14"/>
  <c r="I39" i="5"/>
  <c r="H60" i="4"/>
  <c r="F37" i="13" s="1"/>
  <c r="I100" i="11"/>
  <c r="D100" i="11"/>
  <c r="H100" i="11" s="1"/>
  <c r="J100" i="11" s="1"/>
  <c r="E71" i="11"/>
  <c r="J79" i="11"/>
  <c r="J82" i="11" s="1"/>
  <c r="J69" i="11"/>
  <c r="I64" i="5"/>
  <c r="L37" i="5"/>
  <c r="P34" i="5"/>
  <c r="H37" i="4"/>
  <c r="F28" i="13" s="1"/>
  <c r="C49" i="2"/>
  <c r="E45" i="2"/>
  <c r="H17" i="12"/>
  <c r="E90" i="11"/>
  <c r="E91" i="11"/>
  <c r="G91" i="11" s="1"/>
  <c r="H91" i="11" s="1"/>
  <c r="J91" i="11" s="1"/>
  <c r="D91" i="11"/>
  <c r="D92" i="11" s="1"/>
  <c r="Q23" i="4" l="1"/>
  <c r="Q25" i="4"/>
  <c r="Q24" i="4"/>
  <c r="Q22" i="4"/>
  <c r="Q36" i="2"/>
  <c r="Q34" i="2"/>
  <c r="Q37" i="2"/>
  <c r="Q35" i="2"/>
  <c r="G71" i="11"/>
  <c r="H71" i="11" s="1"/>
  <c r="J71" i="11" s="1"/>
  <c r="E72" i="11"/>
  <c r="H64" i="4"/>
  <c r="F36" i="13"/>
  <c r="J43" i="11"/>
  <c r="C56" i="11"/>
  <c r="P25" i="2"/>
  <c r="P22" i="2"/>
  <c r="P24" i="2"/>
  <c r="P23" i="2"/>
  <c r="L27" i="2"/>
  <c r="H41" i="11"/>
  <c r="H43" i="11" s="1"/>
  <c r="Q25" i="5"/>
  <c r="H34" i="5"/>
  <c r="H35" i="5"/>
  <c r="F26" i="14" s="1"/>
  <c r="H36" i="5"/>
  <c r="F27" i="14" s="1"/>
  <c r="H37" i="5"/>
  <c r="F28" i="14" s="1"/>
  <c r="H38" i="5"/>
  <c r="F29" i="14" s="1"/>
  <c r="H60" i="5"/>
  <c r="F37" i="14" s="1"/>
  <c r="H61" i="5"/>
  <c r="F38" i="14" s="1"/>
  <c r="H25" i="5"/>
  <c r="F16" i="14" s="1"/>
  <c r="H59" i="5"/>
  <c r="H63" i="5"/>
  <c r="F40" i="14" s="1"/>
  <c r="H23" i="5"/>
  <c r="F14" i="14" s="1"/>
  <c r="H22" i="5"/>
  <c r="H24" i="5"/>
  <c r="F15" i="14" s="1"/>
  <c r="H62" i="5"/>
  <c r="F39" i="14" s="1"/>
  <c r="H26" i="5"/>
  <c r="F17" i="14" s="1"/>
  <c r="H39" i="4"/>
  <c r="E92" i="11"/>
  <c r="G90" i="11"/>
  <c r="H90" i="11" s="1"/>
  <c r="E49" i="5"/>
  <c r="K59" i="4"/>
  <c r="E59" i="4"/>
  <c r="K7" i="5"/>
  <c r="K9" i="5"/>
  <c r="K8" i="2"/>
  <c r="K10" i="2" s="1"/>
  <c r="K11" i="2"/>
  <c r="L39" i="5"/>
  <c r="D72" i="11"/>
  <c r="H70" i="11"/>
  <c r="F13" i="12"/>
  <c r="H27" i="2"/>
  <c r="F36" i="12"/>
  <c r="H64" i="2"/>
  <c r="E53" i="4"/>
  <c r="E50" i="4"/>
  <c r="Q24" i="5"/>
  <c r="Q37" i="4"/>
  <c r="E59" i="5"/>
  <c r="K59" i="5"/>
  <c r="E51" i="2"/>
  <c r="E49" i="2"/>
  <c r="J84" i="11"/>
  <c r="C58" i="11"/>
  <c r="D58" i="11" s="1"/>
  <c r="F13" i="13"/>
  <c r="H27" i="4"/>
  <c r="F25" i="12"/>
  <c r="H39" i="2"/>
  <c r="Q34" i="4"/>
  <c r="H99" i="11"/>
  <c r="E50" i="2" l="1"/>
  <c r="E53" i="2"/>
  <c r="D59" i="4"/>
  <c r="J59" i="4"/>
  <c r="J90" i="11"/>
  <c r="J92" i="11" s="1"/>
  <c r="H92" i="11"/>
  <c r="H94" i="11" s="1"/>
  <c r="F25" i="14"/>
  <c r="H39" i="5"/>
  <c r="K11" i="5"/>
  <c r="K8" i="5"/>
  <c r="K10" i="5" s="1"/>
  <c r="Q36" i="5"/>
  <c r="Q34" i="5"/>
  <c r="Q35" i="5"/>
  <c r="Q37" i="5"/>
  <c r="L36" i="14"/>
  <c r="K60" i="5"/>
  <c r="F36" i="14"/>
  <c r="H64" i="5"/>
  <c r="D56" i="11"/>
  <c r="E60" i="5"/>
  <c r="E61" i="5" s="1"/>
  <c r="E62" i="5" s="1"/>
  <c r="E63" i="5" s="1"/>
  <c r="E64" i="5"/>
  <c r="E60" i="4"/>
  <c r="E61" i="4" s="1"/>
  <c r="E62" i="4" s="1"/>
  <c r="E63" i="4" s="1"/>
  <c r="Q25" i="2"/>
  <c r="Q23" i="2"/>
  <c r="Q22" i="2"/>
  <c r="Q24" i="2"/>
  <c r="J70" i="11"/>
  <c r="J72" i="11" s="1"/>
  <c r="H72" i="11"/>
  <c r="H74" i="11" s="1"/>
  <c r="E52" i="4"/>
  <c r="E50" i="5"/>
  <c r="E53" i="5"/>
  <c r="E59" i="2"/>
  <c r="K59" i="2"/>
  <c r="E52" i="2"/>
  <c r="J99" i="11"/>
  <c r="J101" i="11" s="1"/>
  <c r="H101" i="11"/>
  <c r="H103" i="11" s="1"/>
  <c r="L36" i="13"/>
  <c r="K60" i="4"/>
  <c r="H27" i="5"/>
  <c r="F13" i="14"/>
  <c r="C59" i="11" l="1"/>
  <c r="D59" i="11" s="1"/>
  <c r="J94" i="11"/>
  <c r="J74" i="11"/>
  <c r="C57" i="11"/>
  <c r="D60" i="4"/>
  <c r="D61" i="4" s="1"/>
  <c r="D62" i="4" s="1"/>
  <c r="D63" i="4" s="1"/>
  <c r="D64" i="4"/>
  <c r="J103" i="11"/>
  <c r="C60" i="11"/>
  <c r="D60" i="11" s="1"/>
  <c r="J59" i="5"/>
  <c r="D59" i="5"/>
  <c r="E52" i="5"/>
  <c r="L36" i="12"/>
  <c r="K60" i="2"/>
  <c r="E60" i="2"/>
  <c r="E61" i="2" s="1"/>
  <c r="E62" i="2" s="1"/>
  <c r="E63" i="2" s="1"/>
  <c r="J36" i="13"/>
  <c r="J60" i="4"/>
  <c r="L59" i="4"/>
  <c r="K61" i="4"/>
  <c r="L37" i="13"/>
  <c r="E64" i="4"/>
  <c r="L37" i="14"/>
  <c r="K61" i="5"/>
  <c r="J59" i="2"/>
  <c r="D59" i="2"/>
  <c r="E64" i="2" l="1"/>
  <c r="K62" i="4"/>
  <c r="L38" i="13"/>
  <c r="D60" i="2"/>
  <c r="D61" i="2" s="1"/>
  <c r="D62" i="2" s="1"/>
  <c r="D63" i="2" s="1"/>
  <c r="J36" i="12"/>
  <c r="J60" i="2"/>
  <c r="L59" i="2"/>
  <c r="J37" i="13"/>
  <c r="L60" i="4"/>
  <c r="J61" i="4"/>
  <c r="D60" i="5"/>
  <c r="D61" i="5" s="1"/>
  <c r="D62" i="5" s="1"/>
  <c r="D63" i="5" s="1"/>
  <c r="K61" i="2"/>
  <c r="L37" i="12"/>
  <c r="P62" i="4"/>
  <c r="P59" i="4"/>
  <c r="P61" i="4"/>
  <c r="P60" i="4"/>
  <c r="D57" i="11"/>
  <c r="D61" i="11" s="1"/>
  <c r="D62" i="11" s="1"/>
  <c r="C61" i="11"/>
  <c r="K62" i="5"/>
  <c r="L38" i="14"/>
  <c r="J36" i="14"/>
  <c r="J60" i="5"/>
  <c r="L59" i="5"/>
  <c r="L39" i="14" l="1"/>
  <c r="K63" i="5"/>
  <c r="L40" i="14" s="1"/>
  <c r="L38" i="12"/>
  <c r="K62" i="2"/>
  <c r="D64" i="5"/>
  <c r="P62" i="2"/>
  <c r="P59" i="2"/>
  <c r="P60" i="2"/>
  <c r="P61" i="2"/>
  <c r="J61" i="2"/>
  <c r="J37" i="12"/>
  <c r="L60" i="2"/>
  <c r="P61" i="5"/>
  <c r="P59" i="5"/>
  <c r="P60" i="5"/>
  <c r="P62" i="5"/>
  <c r="J37" i="14"/>
  <c r="J61" i="5"/>
  <c r="L60" i="5"/>
  <c r="J62" i="4"/>
  <c r="J38" i="13"/>
  <c r="L61" i="4"/>
  <c r="K64" i="5"/>
  <c r="D64" i="2"/>
  <c r="L39" i="13"/>
  <c r="K63" i="4"/>
  <c r="L40" i="13" l="1"/>
  <c r="K64" i="4"/>
  <c r="L61" i="5"/>
  <c r="J62" i="5"/>
  <c r="J38" i="14"/>
  <c r="J62" i="2"/>
  <c r="J38" i="12"/>
  <c r="L61" i="2"/>
  <c r="K63" i="2"/>
  <c r="L39" i="12"/>
  <c r="J39" i="13"/>
  <c r="L62" i="4"/>
  <c r="J63" i="4"/>
  <c r="J64" i="4"/>
  <c r="L64" i="4" l="1"/>
  <c r="J63" i="5"/>
  <c r="J39" i="14"/>
  <c r="L62" i="5"/>
  <c r="J63" i="2"/>
  <c r="J39" i="12"/>
  <c r="L62" i="2"/>
  <c r="J40" i="13"/>
  <c r="L63" i="4"/>
  <c r="L40" i="12"/>
  <c r="K64" i="2"/>
  <c r="L64" i="2" l="1"/>
  <c r="J40" i="12"/>
  <c r="L63" i="2"/>
  <c r="Q59" i="4"/>
  <c r="Q62" i="4"/>
  <c r="Q61" i="4"/>
  <c r="Q60" i="4"/>
  <c r="J64" i="2"/>
  <c r="J40" i="14"/>
  <c r="L63" i="5"/>
  <c r="L64" i="5" s="1"/>
  <c r="J64" i="5"/>
  <c r="Q61" i="5" l="1"/>
  <c r="Q59" i="5"/>
  <c r="Q62" i="5"/>
  <c r="Q60" i="5"/>
  <c r="Q62" i="2"/>
  <c r="Q60" i="2"/>
  <c r="Q59" i="2"/>
  <c r="Q61" i="2"/>
</calcChain>
</file>

<file path=xl/sharedStrings.xml><?xml version="1.0" encoding="utf-8"?>
<sst xmlns="http://schemas.openxmlformats.org/spreadsheetml/2006/main" count="1176" uniqueCount="271">
  <si>
    <t>PF</t>
  </si>
  <si>
    <t>DSI</t>
  </si>
  <si>
    <t>IOU</t>
  </si>
  <si>
    <t>Slice</t>
  </si>
  <si>
    <t>Total</t>
  </si>
  <si>
    <t>LB CRAC Rev Basis</t>
  </si>
  <si>
    <t>FB CRAC Rev Basis</t>
  </si>
  <si>
    <t>Avg CRACable Rate</t>
  </si>
  <si>
    <t>With Slice</t>
  </si>
  <si>
    <t>Rem Aug</t>
  </si>
  <si>
    <t>Net Augm</t>
  </si>
  <si>
    <t>LB CRAC</t>
  </si>
  <si>
    <t>FB  CRAC</t>
  </si>
  <si>
    <t>Q (aMW)</t>
  </si>
  <si>
    <t>Cost</t>
  </si>
  <si>
    <t>Rev Basis</t>
  </si>
  <si>
    <t xml:space="preserve">Market </t>
  </si>
  <si>
    <t>Price</t>
  </si>
  <si>
    <t xml:space="preserve">LB Rate </t>
  </si>
  <si>
    <t>Increase</t>
  </si>
  <si>
    <t>Year 1</t>
  </si>
  <si>
    <t>5yr Avg</t>
  </si>
  <si>
    <t>FB/LB</t>
  </si>
  <si>
    <t>Difference</t>
  </si>
  <si>
    <t>BPA Figures with 1500 aMW load loss</t>
  </si>
  <si>
    <t>BPA Figures with no load loss</t>
  </si>
  <si>
    <t>Rates</t>
  </si>
  <si>
    <t>Rate</t>
  </si>
  <si>
    <t>Schedule</t>
  </si>
  <si>
    <t>Year</t>
  </si>
  <si>
    <t>Average</t>
  </si>
  <si>
    <t>See BPA Toolkit File "TK_145_S2000_210Mkt_LR1500_021001"</t>
  </si>
  <si>
    <t>See BPA Toolkit File "TK_145_S2000_210Mkt_LR0_021001"</t>
  </si>
  <si>
    <t>See BPA Toolkit File "TK_145_S2000_315Mkt_LR0_021001"</t>
  </si>
  <si>
    <t>See BPA Toolkit File "TK_145_S2000_315Mkt_LR1500_021001"</t>
  </si>
  <si>
    <t>See BPA Toolkit File "TK_145_S2000_140Mkt_LR0_021001"</t>
  </si>
  <si>
    <t>See BPA Toolkit File "TK_145_S2000_140Mkt_LR1500_021001"</t>
  </si>
  <si>
    <t>Attachment 1A</t>
  </si>
  <si>
    <t>$ Millions</t>
  </si>
  <si>
    <t>$/MWh</t>
  </si>
  <si>
    <t>aMW</t>
  </si>
  <si>
    <t>Augmentation Costs with $70.5/MWh Average Augmentation Price</t>
  </si>
  <si>
    <t>Attachment 1B</t>
  </si>
  <si>
    <t>Augmentation Costs with $91.8/MWh Average Augmentation Price</t>
  </si>
  <si>
    <t>Attachment 1C</t>
  </si>
  <si>
    <t>Augmentation Costs with $123.8/MWh Average Augmentation Price</t>
  </si>
  <si>
    <t>Augmentation Calculation with IP TAC CRAC</t>
  </si>
  <si>
    <t>Sales (aMW)</t>
  </si>
  <si>
    <t>Application of IP TAC CRAC</t>
  </si>
  <si>
    <t>No LB CRAC</t>
  </si>
  <si>
    <t>Rates with LB CRAC</t>
  </si>
  <si>
    <t>LB CRAC Rates ($/MWh)</t>
  </si>
  <si>
    <t>Revenue   ($ millions)</t>
  </si>
  <si>
    <t>FB CRAC Rev Basis = LB CRAC Rev Basis minus Slice Revenues</t>
  </si>
  <si>
    <t>------&gt;</t>
  </si>
  <si>
    <t>SUB's Calculation of Augmentation Costs in Year 1 ($210/MWh 1st year market, 2000aMW Slice, no load reduction scenario) see Toolkit file "TK_145_S2000_210Mkt_LR0_021001.xls"</t>
  </si>
  <si>
    <t>Note: All cost values listed below are in $ millions with the exception of prices which are in $/MWh</t>
  </si>
  <si>
    <t xml:space="preserve">From Data Response DS-BPA:345 </t>
  </si>
  <si>
    <t>As of January 1, 2001, actual system augmentation purchases for the rate period amounted to 1,048 aMW/year at a cost of $280.5 million/year, for and average of $30.55.</t>
  </si>
  <si>
    <t>Breakdown of Augmenation Purchases as of 1/1/2001</t>
  </si>
  <si>
    <t>Purchase</t>
  </si>
  <si>
    <t>Total Cost</t>
  </si>
  <si>
    <t>Purchases as of 8/1/00</t>
  </si>
  <si>
    <t>Weighted Average Price</t>
  </si>
  <si>
    <t>BPA Values in Toolkit file "TK_145_S2000_210Mkt_LR0_021001.xls"</t>
  </si>
  <si>
    <t xml:space="preserve">Augmenation Required </t>
  </si>
  <si>
    <t>(excludes 794 purchased as of August 2000)</t>
  </si>
  <si>
    <t>Difference from avg BPA value</t>
  </si>
  <si>
    <t xml:space="preserve">  2229.5 aMW - 2518 aMW</t>
  </si>
  <si>
    <t>Augmentation breakdown</t>
  </si>
  <si>
    <t>794 purchased at $28.1/MWh including losses</t>
  </si>
  <si>
    <t>254 purchased at $38.21/MWh - may or may not include losses - original losses assumption priced at $28.1/MWh</t>
  </si>
  <si>
    <t>684 (938 - 254 = 684) purchased at Market - original losses assumption priced at $28.1/MWh</t>
  </si>
  <si>
    <t>Remaining annual augmentation amounts purchased at market</t>
  </si>
  <si>
    <t>SUB's Calculation of Net Annual Augmentation Costs (Year 1 of TK_145_S2000_210Mkt_LR0_021001.xls)</t>
  </si>
  <si>
    <t>Augmenation</t>
  </si>
  <si>
    <t>Cost/MWh</t>
  </si>
  <si>
    <t>Gross Cost</t>
  </si>
  <si>
    <t>Losses</t>
  </si>
  <si>
    <t>Losses Cost/Mwh</t>
  </si>
  <si>
    <t>Losses Cost</t>
  </si>
  <si>
    <t>Augmentation Purchased at $38.21</t>
  </si>
  <si>
    <t>Remaining 938 aMW</t>
  </si>
  <si>
    <t>Additional Aug Required</t>
  </si>
  <si>
    <t>Totals</t>
  </si>
  <si>
    <t>BPA's Value</t>
  </si>
  <si>
    <t>Notes:</t>
  </si>
  <si>
    <t>254 aMW already assumed to be purchased at $28.1 in May proposal - Net Cost = (38.21 - 28.1) = 10.11</t>
  </si>
  <si>
    <t>684 aMW already assumed to be purchased at $28.1 in May proposal - Net Cost = (207.5 - 28.1) = 179.43</t>
  </si>
  <si>
    <t>The unit cost for losses for the 254 &amp; 684 aMW amounts are ($207.5 - $28.1/MWh=) $179.4/MWh to account for the assumption that these purchases (938 aMW) would be made at $28.1/MWh in the May Proposal.</t>
  </si>
  <si>
    <t>Losses = 2.8%</t>
  </si>
  <si>
    <t>BPA Values</t>
  </si>
  <si>
    <t>SUB's Calcs</t>
  </si>
  <si>
    <t>% Difference in average costs</t>
  </si>
  <si>
    <t>Cell</t>
  </si>
  <si>
    <t>='[TK_145_S2000_140Mkt_LR0_021001.xls]TK Main'!M23</t>
  </si>
  <si>
    <t>='[TK_145_S2000_140Mkt_LR0_021001.xls]TK Main'!N23</t>
  </si>
  <si>
    <t>='[TK_145_S2000_140Mkt_LR0_021001.xls]TK Main'!O23</t>
  </si>
  <si>
    <t>='[TK_145_S2000_140Mkt_LR0_021001.xls]TK Main'!H24</t>
  </si>
  <si>
    <t>='[TK_145_S2000_140Mkt_LR0_021001.xls]TK Main'!M24</t>
  </si>
  <si>
    <t>='[TK_145_S2000_140Mkt_LR0_021001.xls]TK Main'!N24</t>
  </si>
  <si>
    <t>='[TK_145_S2000_140Mkt_LR0_021001.xls]TK Main'!O24</t>
  </si>
  <si>
    <t>='[TK_145_S2000_140Mkt_LR0_021001.xls]TK Main'!H25</t>
  </si>
  <si>
    <t>='[TK_145_S2000_140Mkt_LR0_021001.xls]TK Main'!M25</t>
  </si>
  <si>
    <t>='[TK_145_S2000_140Mkt_LR0_021001.xls]TK Main'!N25</t>
  </si>
  <si>
    <t>='[TK_145_S2000_140Mkt_LR0_021001.xls]TK Main'!O25</t>
  </si>
  <si>
    <t>='[TK_145_S2000_140Mkt_LR0_021001.xls]TK Main'!H26</t>
  </si>
  <si>
    <t>='[TK_145_S2000_140Mkt_LR0_021001.xls]TK Main'!M26</t>
  </si>
  <si>
    <t>='[TK_145_S2000_140Mkt_LR0_021001.xls]TK Main'!N26</t>
  </si>
  <si>
    <t>='[TK_145_S2000_140Mkt_LR0_021001.xls]TK Main'!O26</t>
  </si>
  <si>
    <t>='[TK_145_S2000_140Mkt_LR0_021001.xls]TK Main'!H27</t>
  </si>
  <si>
    <t>='[TK_145_S2000_140Mkt_LR0_021001.xls]TK Main'!M27</t>
  </si>
  <si>
    <t>='[TK_145_S2000_140Mkt_LR0_021001.xls]TK Main'!N27</t>
  </si>
  <si>
    <t>='[TK_145_S2000_140Mkt_LR0_021001.xls]TK Main'!O27</t>
  </si>
  <si>
    <t>='[TK_145_S2000_140Mkt_LR0_021001.xls]TK Main'!H23</t>
  </si>
  <si>
    <t>Toolkit Cross Reference</t>
  </si>
  <si>
    <t>Cells G22 - K26</t>
  </si>
  <si>
    <t>='[TK_145_S2000_140Mkt_LR0_021001.xls]TK Main'!P24</t>
  </si>
  <si>
    <t>='[TK_145_S2000_140Mkt_LR0_021001.xls]TK Main'!P25</t>
  </si>
  <si>
    <t>='[TK_145_S2000_140Mkt_LR0_021001.xls]TK Main'!P26</t>
  </si>
  <si>
    <t>='[TK_145_S2000_140Mkt_LR0_021001.xls]TK Main'!P27</t>
  </si>
  <si>
    <t>='[TK_145_S2000_140Mkt_LR0_021001.xls]TK Main'!P23</t>
  </si>
  <si>
    <t>='[TK_145_S2000_140Mkt_LR1500_021001.xls]TK Main'!M23</t>
  </si>
  <si>
    <t>='[TK_145_S2000_140Mkt_LR1500_021001.xls]TK Main'!N23</t>
  </si>
  <si>
    <t>='[TK_145_S2000_140Mkt_LR1500_021001.xls]TK Main'!O23</t>
  </si>
  <si>
    <t>='[TK_145_S2000_140Mkt_LR1500_021001.xls]TK Main'!P23</t>
  </si>
  <si>
    <t>='[TK_145_S2000_140Mkt_LR1500_021001.xls]TK Main'!H24</t>
  </si>
  <si>
    <t>='[TK_145_S2000_140Mkt_LR1500_021001.xls]TK Main'!M24</t>
  </si>
  <si>
    <t>='[TK_145_S2000_140Mkt_LR1500_021001.xls]TK Main'!N24</t>
  </si>
  <si>
    <t>='[TK_145_S2000_140Mkt_LR1500_021001.xls]TK Main'!O24</t>
  </si>
  <si>
    <t>='[TK_145_S2000_140Mkt_LR1500_021001.xls]TK Main'!P24</t>
  </si>
  <si>
    <t>='[TK_145_S2000_140Mkt_LR1500_021001.xls]TK Main'!H25</t>
  </si>
  <si>
    <t>='[TK_145_S2000_140Mkt_LR1500_021001.xls]TK Main'!M25</t>
  </si>
  <si>
    <t>='[TK_145_S2000_140Mkt_LR1500_021001.xls]TK Main'!N25</t>
  </si>
  <si>
    <t>='[TK_145_S2000_140Mkt_LR1500_021001.xls]TK Main'!O25</t>
  </si>
  <si>
    <t>='[TK_145_S2000_140Mkt_LR1500_021001.xls]TK Main'!P25</t>
  </si>
  <si>
    <t>='[TK_145_S2000_140Mkt_LR1500_021001.xls]TK Main'!H26</t>
  </si>
  <si>
    <t>='[TK_145_S2000_140Mkt_LR1500_021001.xls]TK Main'!M26</t>
  </si>
  <si>
    <t>='[TK_145_S2000_140Mkt_LR1500_021001.xls]TK Main'!N26</t>
  </si>
  <si>
    <t>='[TK_145_S2000_140Mkt_LR1500_021001.xls]TK Main'!O26</t>
  </si>
  <si>
    <t>='[TK_145_S2000_140Mkt_LR1500_021001.xls]TK Main'!P26</t>
  </si>
  <si>
    <t>='[TK_145_S2000_140Mkt_LR1500_021001.xls]TK Main'!H27</t>
  </si>
  <si>
    <t>='[TK_145_S2000_140Mkt_LR1500_021001.xls]TK Main'!M27</t>
  </si>
  <si>
    <t>='[TK_145_S2000_140Mkt_LR1500_021001.xls]TK Main'!N27</t>
  </si>
  <si>
    <t>='[TK_145_S2000_140Mkt_LR1500_021001.xls]TK Main'!O27</t>
  </si>
  <si>
    <t>='[TK_145_S2000_140Mkt_LR1500_021001.xls]TK Main'!P27</t>
  </si>
  <si>
    <t>='[TK_145_S2000_140Mkt_LR1500_021001.xls]TK Main'!H23</t>
  </si>
  <si>
    <t>Cells G34 - K38</t>
  </si>
  <si>
    <t>Cell I3 - I7</t>
  </si>
  <si>
    <t>IOU Sales of 1000 aMW</t>
  </si>
  <si>
    <t>Slice Sales of 2000 aMW</t>
  </si>
  <si>
    <t>Total Subscription Sales 8327 aMW</t>
  </si>
  <si>
    <t>DSI Sales of 1486 aMW</t>
  </si>
  <si>
    <t>PF Sales = remainder (8327 - 1000 - 1486 - 2000)</t>
  </si>
  <si>
    <t xml:space="preserve">Also see </t>
  </si>
  <si>
    <t>BPA WP-01-BPA-E-58 Table 6-1</t>
  </si>
  <si>
    <t>='[TK_145_S2000_210Mkt_LR0_021001.xls]TK Main'!H23</t>
  </si>
  <si>
    <t>='[TK_145_S2000_210Mkt_LR0_021001.xls]TK Main'!M23</t>
  </si>
  <si>
    <t>='[TK_145_S2000_210Mkt_LR0_021001.xls]TK Main'!N23</t>
  </si>
  <si>
    <t>='[TK_145_S2000_210Mkt_LR0_021001.xls]TK Main'!O23</t>
  </si>
  <si>
    <t>='[TK_145_S2000_210Mkt_LR0_021001.xls]TK Main'!P23</t>
  </si>
  <si>
    <t>='[TK_145_S2000_210Mkt_LR0_021001.xls]TK Main'!H24</t>
  </si>
  <si>
    <t>='[TK_145_S2000_210Mkt_LR0_021001.xls]TK Main'!M24</t>
  </si>
  <si>
    <t>='[TK_145_S2000_210Mkt_LR0_021001.xls]TK Main'!N24</t>
  </si>
  <si>
    <t>='[TK_145_S2000_210Mkt_LR0_021001.xls]TK Main'!O24</t>
  </si>
  <si>
    <t>='[TK_145_S2000_210Mkt_LR0_021001.xls]TK Main'!P24</t>
  </si>
  <si>
    <t>='[TK_145_S2000_210Mkt_LR0_021001.xls]TK Main'!H25</t>
  </si>
  <si>
    <t>='[TK_145_S2000_210Mkt_LR0_021001.xls]TK Main'!M25</t>
  </si>
  <si>
    <t>='[TK_145_S2000_210Mkt_LR0_021001.xls]TK Main'!N25</t>
  </si>
  <si>
    <t>='[TK_145_S2000_210Mkt_LR0_021001.xls]TK Main'!O25</t>
  </si>
  <si>
    <t>='[TK_145_S2000_210Mkt_LR0_021001.xls]TK Main'!P25</t>
  </si>
  <si>
    <t>='[TK_145_S2000_210Mkt_LR0_021001.xls]TK Main'!H26</t>
  </si>
  <si>
    <t>='[TK_145_S2000_210Mkt_LR0_021001.xls]TK Main'!M26</t>
  </si>
  <si>
    <t>='[TK_145_S2000_210Mkt_LR0_021001.xls]TK Main'!N26</t>
  </si>
  <si>
    <t>='[TK_145_S2000_210Mkt_LR0_021001.xls]TK Main'!O26</t>
  </si>
  <si>
    <t>='[TK_145_S2000_210Mkt_LR0_021001.xls]TK Main'!P26</t>
  </si>
  <si>
    <t>='[TK_145_S2000_210Mkt_LR0_021001.xls]TK Main'!H27</t>
  </si>
  <si>
    <t>='[TK_145_S2000_210Mkt_LR0_021001.xls]TK Main'!M27</t>
  </si>
  <si>
    <t>='[TK_145_S2000_210Mkt_LR0_021001.xls]TK Main'!N27</t>
  </si>
  <si>
    <t>='[TK_145_S2000_210Mkt_LR0_021001.xls]TK Main'!O27</t>
  </si>
  <si>
    <t>='[TK_145_S2000_210Mkt_LR0_021001.xls]TK Main'!P27</t>
  </si>
  <si>
    <t>='[TK_145_S2000_210Mkt_LR1500_021001.xls]TK Main'!H23</t>
  </si>
  <si>
    <t>='[TK_145_S2000_210Mkt_LR1500_021001.xls]TK Main'!M23</t>
  </si>
  <si>
    <t>='[TK_145_S2000_210Mkt_LR1500_021001.xls]TK Main'!N23</t>
  </si>
  <si>
    <t>='[TK_145_S2000_210Mkt_LR1500_021001.xls]TK Main'!O23</t>
  </si>
  <si>
    <t>='[TK_145_S2000_210Mkt_LR1500_021001.xls]TK Main'!P23</t>
  </si>
  <si>
    <t>='[TK_145_S2000_210Mkt_LR1500_021001.xls]TK Main'!H24</t>
  </si>
  <si>
    <t>='[TK_145_S2000_210Mkt_LR1500_021001.xls]TK Main'!M24</t>
  </si>
  <si>
    <t>='[TK_145_S2000_210Mkt_LR1500_021001.xls]TK Main'!N24</t>
  </si>
  <si>
    <t>='[TK_145_S2000_210Mkt_LR1500_021001.xls]TK Main'!O24</t>
  </si>
  <si>
    <t>='[TK_145_S2000_210Mkt_LR1500_021001.xls]TK Main'!P24</t>
  </si>
  <si>
    <t>='[TK_145_S2000_210Mkt_LR1500_021001.xls]TK Main'!H25</t>
  </si>
  <si>
    <t>='[TK_145_S2000_210Mkt_LR1500_021001.xls]TK Main'!M25</t>
  </si>
  <si>
    <t>='[TK_145_S2000_210Mkt_LR1500_021001.xls]TK Main'!N25</t>
  </si>
  <si>
    <t>='[TK_145_S2000_210Mkt_LR1500_021001.xls]TK Main'!O25</t>
  </si>
  <si>
    <t>='[TK_145_S2000_210Mkt_LR1500_021001.xls]TK Main'!P25</t>
  </si>
  <si>
    <t>='[TK_145_S2000_210Mkt_LR1500_021001.xls]TK Main'!H26</t>
  </si>
  <si>
    <t>='[TK_145_S2000_210Mkt_LR1500_021001.xls]TK Main'!M26</t>
  </si>
  <si>
    <t>='[TK_145_S2000_210Mkt_LR1500_021001.xls]TK Main'!N26</t>
  </si>
  <si>
    <t>='[TK_145_S2000_210Mkt_LR1500_021001.xls]TK Main'!O26</t>
  </si>
  <si>
    <t>='[TK_145_S2000_210Mkt_LR1500_021001.xls]TK Main'!P26</t>
  </si>
  <si>
    <t>='[TK_145_S2000_210Mkt_LR1500_021001.xls]TK Main'!H27</t>
  </si>
  <si>
    <t>='[TK_145_S2000_210Mkt_LR1500_021001.xls]TK Main'!M27</t>
  </si>
  <si>
    <t>='[TK_145_S2000_210Mkt_LR1500_021001.xls]TK Main'!N27</t>
  </si>
  <si>
    <t>='[TK_145_S2000_210Mkt_LR1500_021001.xls]TK Main'!O27</t>
  </si>
  <si>
    <t>='[TK_145_S2000_210Mkt_LR1500_021001.xls]TK Main'!P27</t>
  </si>
  <si>
    <t>='[TK_145_S2000_315Mkt_LR0_021001.xls]TK Main'!H23</t>
  </si>
  <si>
    <t>='[TK_145_S2000_315Mkt_LR0_021001.xls]TK Main'!M23</t>
  </si>
  <si>
    <t>='[TK_145_S2000_315Mkt_LR0_021001.xls]TK Main'!N23</t>
  </si>
  <si>
    <t>='[TK_145_S2000_315Mkt_LR0_021001.xls]TK Main'!O23</t>
  </si>
  <si>
    <t>='[TK_145_S2000_315Mkt_LR0_021001.xls]TK Main'!P23</t>
  </si>
  <si>
    <t>='[TK_145_S2000_315Mkt_LR0_021001.xls]TK Main'!H24</t>
  </si>
  <si>
    <t>='[TK_145_S2000_315Mkt_LR0_021001.xls]TK Main'!M24</t>
  </si>
  <si>
    <t>='[TK_145_S2000_315Mkt_LR0_021001.xls]TK Main'!N24</t>
  </si>
  <si>
    <t>='[TK_145_S2000_315Mkt_LR0_021001.xls]TK Main'!O24</t>
  </si>
  <si>
    <t>='[TK_145_S2000_315Mkt_LR0_021001.xls]TK Main'!P24</t>
  </si>
  <si>
    <t>='[TK_145_S2000_315Mkt_LR0_021001.xls]TK Main'!H25</t>
  </si>
  <si>
    <t>='[TK_145_S2000_315Mkt_LR0_021001.xls]TK Main'!M25</t>
  </si>
  <si>
    <t>='[TK_145_S2000_315Mkt_LR0_021001.xls]TK Main'!N25</t>
  </si>
  <si>
    <t>='[TK_145_S2000_315Mkt_LR0_021001.xls]TK Main'!O25</t>
  </si>
  <si>
    <t>='[TK_145_S2000_315Mkt_LR0_021001.xls]TK Main'!P25</t>
  </si>
  <si>
    <t>='[TK_145_S2000_315Mkt_LR0_021001.xls]TK Main'!H26</t>
  </si>
  <si>
    <t>='[TK_145_S2000_315Mkt_LR0_021001.xls]TK Main'!M26</t>
  </si>
  <si>
    <t>='[TK_145_S2000_315Mkt_LR0_021001.xls]TK Main'!N26</t>
  </si>
  <si>
    <t>='[TK_145_S2000_315Mkt_LR0_021001.xls]TK Main'!O26</t>
  </si>
  <si>
    <t>='[TK_145_S2000_315Mkt_LR0_021001.xls]TK Main'!P26</t>
  </si>
  <si>
    <t>='[TK_145_S2000_315Mkt_LR0_021001.xls]TK Main'!H27</t>
  </si>
  <si>
    <t>='[TK_145_S2000_315Mkt_LR0_021001.xls]TK Main'!M27</t>
  </si>
  <si>
    <t>='[TK_145_S2000_315Mkt_LR0_021001.xls]TK Main'!N27</t>
  </si>
  <si>
    <t>='[TK_145_S2000_315Mkt_LR0_021001.xls]TK Main'!O27</t>
  </si>
  <si>
    <t>='[TK_145_S2000_315Mkt_LR0_021001.xls]TK Main'!P27</t>
  </si>
  <si>
    <t>='[TK_145_S2000_315Mkt_LR1500_021001.xls]TK Main'!H23</t>
  </si>
  <si>
    <t>='[TK_145_S2000_315Mkt_LR1500_021001.xls]TK Main'!M23</t>
  </si>
  <si>
    <t>='[TK_145_S2000_315Mkt_LR1500_021001.xls]TK Main'!N23</t>
  </si>
  <si>
    <t>='[TK_145_S2000_315Mkt_LR1500_021001.xls]TK Main'!O23</t>
  </si>
  <si>
    <t>='[TK_145_S2000_315Mkt_LR1500_021001.xls]TK Main'!P23</t>
  </si>
  <si>
    <t>='[TK_145_S2000_315Mkt_LR1500_021001.xls]TK Main'!H24</t>
  </si>
  <si>
    <t>='[TK_145_S2000_315Mkt_LR1500_021001.xls]TK Main'!M24</t>
  </si>
  <si>
    <t>='[TK_145_S2000_315Mkt_LR1500_021001.xls]TK Main'!N24</t>
  </si>
  <si>
    <t>='[TK_145_S2000_315Mkt_LR1500_021001.xls]TK Main'!O24</t>
  </si>
  <si>
    <t>='[TK_145_S2000_315Mkt_LR1500_021001.xls]TK Main'!P24</t>
  </si>
  <si>
    <t>='[TK_145_S2000_315Mkt_LR1500_021001.xls]TK Main'!H25</t>
  </si>
  <si>
    <t>='[TK_145_S2000_315Mkt_LR1500_021001.xls]TK Main'!M25</t>
  </si>
  <si>
    <t>='[TK_145_S2000_315Mkt_LR1500_021001.xls]TK Main'!N25</t>
  </si>
  <si>
    <t>='[TK_145_S2000_315Mkt_LR1500_021001.xls]TK Main'!O25</t>
  </si>
  <si>
    <t>='[TK_145_S2000_315Mkt_LR1500_021001.xls]TK Main'!P25</t>
  </si>
  <si>
    <t>='[TK_145_S2000_315Mkt_LR1500_021001.xls]TK Main'!H26</t>
  </si>
  <si>
    <t>='[TK_145_S2000_315Mkt_LR1500_021001.xls]TK Main'!M26</t>
  </si>
  <si>
    <t>='[TK_145_S2000_315Mkt_LR1500_021001.xls]TK Main'!N26</t>
  </si>
  <si>
    <t>='[TK_145_S2000_315Mkt_LR1500_021001.xls]TK Main'!O26</t>
  </si>
  <si>
    <t>='[TK_145_S2000_315Mkt_LR1500_021001.xls]TK Main'!P26</t>
  </si>
  <si>
    <t>='[TK_145_S2000_315Mkt_LR1500_021001.xls]TK Main'!H27</t>
  </si>
  <si>
    <t>='[TK_145_S2000_315Mkt_LR1500_021001.xls]TK Main'!M27</t>
  </si>
  <si>
    <t>='[TK_145_S2000_315Mkt_LR1500_021001.xls]TK Main'!N27</t>
  </si>
  <si>
    <t>='[TK_145_S2000_315Mkt_LR1500_021001.xls]TK Main'!O27</t>
  </si>
  <si>
    <t>='[TK_145_S2000_315Mkt_LR1500_021001.xls]TK Main'!P27</t>
  </si>
  <si>
    <t>Additional Purchases as of 1/1/01*</t>
  </si>
  <si>
    <t>* Price for additional market pruchases was determined using "goalseek" to arrive at a weighted avg price of $30.55/MWh</t>
  </si>
  <si>
    <t>The values in this table are found in</t>
  </si>
  <si>
    <t>Please see sheet "1B Notes" for further details on cell references</t>
  </si>
  <si>
    <t>BPA WP-01-BPA-E-58 Table 4-1 (row 7) for purchases as of 8/1/00</t>
  </si>
  <si>
    <t>See "IOU04.xls" which is attached as a separate file to Data Response BPA-SP:009</t>
  </si>
  <si>
    <t>Revenues @ $19.26 &amp; $23/MWh</t>
  </si>
  <si>
    <t>Net Cost</t>
  </si>
  <si>
    <t>SUB's Calculation of Net Annual Augmentation Costs (Year 2 of TK_145_S2000_210Mkt_LR0_021001.xls)</t>
  </si>
  <si>
    <t>SUB's Calculation of Net Annual Augmentation Costs (Year 3 of TK_145_S2000_210Mkt_LR0_021001.xls)</t>
  </si>
  <si>
    <t>SUB's Calculation of Net Annual Augmentation Costs (Year 4 of TK_145_S2000_210Mkt_LR0_021001.xls)</t>
  </si>
  <si>
    <t>SUB's Calculation of Net Annual Augmentation Costs (Year 5 of TK_145_S2000_210Mkt_LR0_021001.xls)</t>
  </si>
  <si>
    <t>Revenues for the (254 + 684=) 938 aMW were already accounted for in the May proposal</t>
  </si>
  <si>
    <t>46 aMW of the additional augmentation is assumed to have revenues of $23/MWh, the balance has revenues of $19.26/MWh</t>
  </si>
  <si>
    <t>Revenues for the additional augmentation above 938 were not accounted for in the May proposal to determine BPA's net costs of augmentation.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</si>
</sst>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6" formatCode="_(&quot;$&quot;* #,##0_);_(&quot;$&quot;* \(#,##0\);_(&quot;$&quot;* &quot;-&quot;??_);_(@_)"/>
    <numFmt numFmtId="168" formatCode="_(&quot;$&quot;* #,##0.0000_);_(&quot;$&quot;* \(#,##0.0000\);_(&quot;$&quot;* &quot;-&quot;??_);_(@_)"/>
    <numFmt numFmtId="169" formatCode="#,##0.0"/>
    <numFmt numFmtId="170" formatCode="0.0"/>
    <numFmt numFmtId="173" formatCode="0.0%"/>
    <numFmt numFmtId="174" formatCode="_(* #,##0.0_);_(* \(#,##0.0\);_(* &quot;-&quot;??_);_(@_)"/>
    <numFmt numFmtId="17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Protection="1">
      <protection locked="0"/>
    </xf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6" fontId="0" fillId="0" borderId="0" xfId="2" applyNumberFormat="1" applyFont="1"/>
    <xf numFmtId="168" fontId="0" fillId="0" borderId="0" xfId="2" applyNumberFormat="1" applyFont="1"/>
    <xf numFmtId="0" fontId="0" fillId="2" borderId="1" xfId="0" applyFill="1" applyBorder="1" applyAlignment="1" applyProtection="1">
      <alignment horizontal="right"/>
      <protection locked="0"/>
    </xf>
    <xf numFmtId="0" fontId="0" fillId="2" borderId="2" xfId="0" applyFill="1" applyBorder="1" applyAlignment="1" applyProtection="1">
      <alignment horizontal="right"/>
      <protection locked="0"/>
    </xf>
    <xf numFmtId="169" fontId="0" fillId="3" borderId="2" xfId="0" applyNumberFormat="1" applyFill="1" applyBorder="1" applyProtection="1">
      <protection locked="0"/>
    </xf>
    <xf numFmtId="169" fontId="0" fillId="3" borderId="3" xfId="0" applyNumberFormat="1" applyFill="1" applyBorder="1" applyProtection="1">
      <protection locked="0"/>
    </xf>
    <xf numFmtId="169" fontId="0" fillId="3" borderId="4" xfId="0" applyNumberFormat="1" applyFill="1" applyBorder="1" applyProtection="1">
      <protection locked="0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Protection="1">
      <protection locked="0"/>
    </xf>
    <xf numFmtId="170" fontId="0" fillId="3" borderId="6" xfId="0" applyNumberFormat="1" applyFill="1" applyBorder="1" applyProtection="1">
      <protection locked="0"/>
    </xf>
    <xf numFmtId="170" fontId="0" fillId="3" borderId="4" xfId="0" applyNumberFormat="1" applyFill="1" applyBorder="1" applyProtection="1">
      <protection locked="0"/>
    </xf>
    <xf numFmtId="43" fontId="0" fillId="0" borderId="0" xfId="2" applyNumberFormat="1" applyFont="1"/>
    <xf numFmtId="44" fontId="0" fillId="0" borderId="0" xfId="2" applyNumberFormat="1" applyFont="1"/>
    <xf numFmtId="43" fontId="0" fillId="0" borderId="0" xfId="0" applyNumberFormat="1"/>
    <xf numFmtId="170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5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9" fontId="0" fillId="3" borderId="6" xfId="3" applyFont="1" applyFill="1" applyBorder="1" applyProtection="1">
      <protection locked="0"/>
    </xf>
    <xf numFmtId="9" fontId="0" fillId="3" borderId="4" xfId="3" applyFont="1" applyFill="1" applyBorder="1" applyProtection="1">
      <protection locked="0"/>
    </xf>
    <xf numFmtId="9" fontId="0" fillId="3" borderId="6" xfId="3" applyNumberFormat="1" applyFont="1" applyFill="1" applyBorder="1" applyProtection="1">
      <protection locked="0"/>
    </xf>
    <xf numFmtId="173" fontId="0" fillId="0" borderId="0" xfId="3" applyNumberFormat="1" applyFont="1"/>
    <xf numFmtId="174" fontId="0" fillId="0" borderId="0" xfId="1" applyNumberFormat="1" applyFont="1"/>
    <xf numFmtId="166" fontId="0" fillId="0" borderId="2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2" fillId="0" borderId="0" xfId="0" applyFont="1"/>
    <xf numFmtId="169" fontId="0" fillId="0" borderId="0" xfId="0" applyNumberFormat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/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4" fontId="0" fillId="3" borderId="7" xfId="2" applyFont="1" applyFill="1" applyBorder="1"/>
    <xf numFmtId="44" fontId="0" fillId="3" borderId="2" xfId="2" applyFont="1" applyFill="1" applyBorder="1"/>
    <xf numFmtId="0" fontId="0" fillId="3" borderId="4" xfId="0" applyFill="1" applyBorder="1" applyProtection="1">
      <protection locked="0"/>
    </xf>
    <xf numFmtId="44" fontId="0" fillId="3" borderId="10" xfId="2" applyFont="1" applyFill="1" applyBorder="1"/>
    <xf numFmtId="44" fontId="0" fillId="3" borderId="3" xfId="2" applyFont="1" applyFill="1" applyBorder="1"/>
    <xf numFmtId="166" fontId="2" fillId="0" borderId="0" xfId="2" applyNumberFormat="1" applyFont="1"/>
    <xf numFmtId="0" fontId="0" fillId="2" borderId="6" xfId="0" applyFill="1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169" fontId="0" fillId="0" borderId="12" xfId="0" applyNumberFormat="1" applyBorder="1"/>
    <xf numFmtId="169" fontId="0" fillId="0" borderId="13" xfId="0" applyNumberFormat="1" applyBorder="1"/>
    <xf numFmtId="43" fontId="0" fillId="0" borderId="12" xfId="0" applyNumberFormat="1" applyBorder="1"/>
    <xf numFmtId="43" fontId="0" fillId="0" borderId="11" xfId="0" applyNumberFormat="1" applyBorder="1"/>
    <xf numFmtId="174" fontId="0" fillId="0" borderId="12" xfId="1" applyNumberFormat="1" applyFont="1" applyBorder="1"/>
    <xf numFmtId="9" fontId="0" fillId="0" borderId="13" xfId="0" applyNumberFormat="1" applyBorder="1"/>
    <xf numFmtId="43" fontId="0" fillId="0" borderId="0" xfId="0" applyNumberFormat="1" applyBorder="1"/>
    <xf numFmtId="174" fontId="0" fillId="0" borderId="0" xfId="1" applyNumberFormat="1" applyFont="1" applyBorder="1"/>
    <xf numFmtId="9" fontId="0" fillId="0" borderId="0" xfId="0" applyNumberFormat="1" applyBorder="1"/>
    <xf numFmtId="0" fontId="0" fillId="3" borderId="2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44" fontId="0" fillId="3" borderId="7" xfId="2" applyFont="1" applyFill="1" applyBorder="1" applyAlignment="1">
      <alignment horizontal="center"/>
    </xf>
    <xf numFmtId="44" fontId="0" fillId="3" borderId="2" xfId="2" applyFont="1" applyFill="1" applyBorder="1" applyAlignment="1">
      <alignment horizontal="center"/>
    </xf>
    <xf numFmtId="166" fontId="5" fillId="0" borderId="0" xfId="2" applyNumberFormat="1" applyFont="1" applyAlignment="1">
      <alignment horizontal="center"/>
    </xf>
    <xf numFmtId="166" fontId="3" fillId="0" borderId="0" xfId="2" applyNumberFormat="1" applyFont="1" applyAlignment="1">
      <alignment horizontal="left"/>
    </xf>
    <xf numFmtId="174" fontId="0" fillId="0" borderId="11" xfId="0" applyNumberFormat="1" applyBorder="1"/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7" xfId="0" applyBorder="1" applyProtection="1">
      <protection locked="0"/>
    </xf>
    <xf numFmtId="1" fontId="0" fillId="0" borderId="0" xfId="0" applyNumberFormat="1" applyBorder="1"/>
    <xf numFmtId="2" fontId="0" fillId="0" borderId="0" xfId="0" applyNumberFormat="1" applyBorder="1"/>
    <xf numFmtId="0" fontId="0" fillId="0" borderId="10" xfId="0" applyBorder="1" applyProtection="1">
      <protection locked="0"/>
    </xf>
    <xf numFmtId="0" fontId="0" fillId="0" borderId="14" xfId="0" applyBorder="1"/>
    <xf numFmtId="0" fontId="4" fillId="0" borderId="1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10" xfId="0" applyBorder="1" applyAlignment="1">
      <alignment horizontal="center"/>
    </xf>
    <xf numFmtId="3" fontId="0" fillId="3" borderId="6" xfId="0" applyNumberFormat="1" applyFill="1" applyBorder="1" applyAlignment="1" applyProtection="1">
      <alignment horizontal="center"/>
      <protection locked="0"/>
    </xf>
    <xf numFmtId="3" fontId="0" fillId="3" borderId="4" xfId="0" applyNumberFormat="1" applyFill="1" applyBorder="1" applyAlignment="1" applyProtection="1">
      <alignment horizontal="center"/>
      <protection locked="0"/>
    </xf>
    <xf numFmtId="169" fontId="0" fillId="3" borderId="6" xfId="0" applyNumberFormat="1" applyFill="1" applyBorder="1" applyProtection="1">
      <protection locked="0"/>
    </xf>
    <xf numFmtId="0" fontId="0" fillId="0" borderId="1" xfId="0" applyBorder="1"/>
    <xf numFmtId="0" fontId="0" fillId="0" borderId="7" xfId="0" applyBorder="1" applyAlignment="1">
      <alignment horizontal="center" wrapText="1"/>
    </xf>
    <xf numFmtId="44" fontId="0" fillId="0" borderId="0" xfId="2" applyFont="1" applyBorder="1"/>
    <xf numFmtId="0" fontId="0" fillId="0" borderId="10" xfId="0" applyBorder="1"/>
    <xf numFmtId="44" fontId="0" fillId="0" borderId="3" xfId="2" applyFont="1" applyBorder="1"/>
    <xf numFmtId="0" fontId="2" fillId="0" borderId="0" xfId="0" applyFont="1" applyBorder="1"/>
    <xf numFmtId="169" fontId="2" fillId="3" borderId="2" xfId="0" applyNumberFormat="1" applyFont="1" applyFill="1" applyBorder="1" applyProtection="1">
      <protection locked="0"/>
    </xf>
    <xf numFmtId="170" fontId="2" fillId="0" borderId="0" xfId="0" applyNumberFormat="1" applyFont="1"/>
    <xf numFmtId="0" fontId="0" fillId="0" borderId="0" xfId="0" quotePrefix="1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75" fontId="0" fillId="0" borderId="6" xfId="1" applyNumberFormat="1" applyFont="1" applyBorder="1"/>
    <xf numFmtId="2" fontId="0" fillId="0" borderId="6" xfId="0" applyNumberFormat="1" applyBorder="1"/>
    <xf numFmtId="44" fontId="0" fillId="0" borderId="6" xfId="0" applyNumberFormat="1" applyBorder="1"/>
    <xf numFmtId="44" fontId="0" fillId="0" borderId="6" xfId="2" applyFont="1" applyBorder="1"/>
    <xf numFmtId="0" fontId="0" fillId="0" borderId="4" xfId="0" applyBorder="1" applyAlignment="1">
      <alignment horizontal="center" wrapText="1"/>
    </xf>
    <xf numFmtId="175" fontId="0" fillId="0" borderId="4" xfId="1" applyNumberFormat="1" applyFont="1" applyBorder="1"/>
    <xf numFmtId="2" fontId="0" fillId="0" borderId="4" xfId="0" applyNumberFormat="1" applyBorder="1"/>
    <xf numFmtId="44" fontId="0" fillId="0" borderId="4" xfId="0" applyNumberFormat="1" applyBorder="1"/>
    <xf numFmtId="44" fontId="0" fillId="0" borderId="4" xfId="2" applyFont="1" applyBorder="1"/>
    <xf numFmtId="0" fontId="0" fillId="0" borderId="4" xfId="0" applyBorder="1" applyAlignment="1">
      <alignment horizontal="center"/>
    </xf>
    <xf numFmtId="174" fontId="2" fillId="0" borderId="4" xfId="1" applyNumberFormat="1" applyFont="1" applyBorder="1"/>
    <xf numFmtId="174" fontId="0" fillId="0" borderId="4" xfId="1" applyNumberFormat="1" applyFont="1" applyBorder="1"/>
    <xf numFmtId="44" fontId="2" fillId="0" borderId="4" xfId="0" applyNumberFormat="1" applyFont="1" applyBorder="1"/>
    <xf numFmtId="44" fontId="2" fillId="0" borderId="0" xfId="2" applyFont="1"/>
    <xf numFmtId="44" fontId="2" fillId="0" borderId="15" xfId="0" applyNumberFormat="1" applyFont="1" applyBorder="1"/>
    <xf numFmtId="44" fontId="2" fillId="0" borderId="0" xfId="0" applyNumberFormat="1" applyFont="1" applyBorder="1"/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9" fontId="0" fillId="0" borderId="0" xfId="3" applyNumberFormat="1" applyFont="1"/>
    <xf numFmtId="0" fontId="6" fillId="0" borderId="0" xfId="0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166" fontId="5" fillId="0" borderId="0" xfId="2" applyNumberFormat="1" applyFont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R64"/>
  <sheetViews>
    <sheetView workbookViewId="0"/>
  </sheetViews>
  <sheetFormatPr defaultRowHeight="12.75" x14ac:dyDescent="0.2"/>
  <cols>
    <col min="5" max="5" width="9.7109375" bestFit="1" customWidth="1"/>
    <col min="15" max="15" width="11.85546875" customWidth="1"/>
  </cols>
  <sheetData>
    <row r="2" spans="1:18" x14ac:dyDescent="0.2">
      <c r="B2" s="12"/>
      <c r="C2" s="12"/>
      <c r="D2" s="12"/>
      <c r="E2" s="12"/>
      <c r="F2" s="12"/>
      <c r="H2" s="117" t="s">
        <v>8</v>
      </c>
      <c r="I2" s="117"/>
      <c r="J2" s="117"/>
      <c r="K2" s="117"/>
      <c r="L2" s="22"/>
      <c r="M2" s="22"/>
      <c r="N2" s="22"/>
      <c r="O2" s="22"/>
      <c r="P2" s="22"/>
      <c r="Q2" s="22"/>
      <c r="R2" s="22"/>
    </row>
    <row r="3" spans="1:18" x14ac:dyDescent="0.2">
      <c r="B3" s="5"/>
      <c r="C3" s="5"/>
      <c r="D3" s="5"/>
      <c r="E3" s="5"/>
      <c r="F3" s="5"/>
      <c r="H3" s="1" t="s">
        <v>0</v>
      </c>
      <c r="I3">
        <f>4343+1611-46-67-2000</f>
        <v>3841</v>
      </c>
      <c r="J3">
        <v>21.83</v>
      </c>
      <c r="K3" s="5">
        <f>I3*J3*8760/1000000</f>
        <v>734.51750279999999</v>
      </c>
      <c r="L3" s="5"/>
      <c r="M3" s="5"/>
      <c r="N3" s="5"/>
      <c r="O3" s="5"/>
      <c r="P3" s="5"/>
      <c r="Q3" s="5"/>
      <c r="R3" s="5"/>
    </row>
    <row r="4" spans="1:18" x14ac:dyDescent="0.2">
      <c r="B4" s="5"/>
      <c r="C4" s="5"/>
      <c r="D4" s="5"/>
      <c r="E4" s="19"/>
      <c r="F4" s="5"/>
      <c r="H4" s="1" t="s">
        <v>1</v>
      </c>
      <c r="I4" s="2">
        <v>1486</v>
      </c>
      <c r="J4">
        <v>23</v>
      </c>
      <c r="K4" s="5">
        <f>I4*J4*8760/1000000</f>
        <v>299.39927999999998</v>
      </c>
      <c r="L4" s="5"/>
      <c r="M4" s="5"/>
      <c r="N4" s="5"/>
      <c r="O4" s="5"/>
      <c r="P4" s="5"/>
      <c r="Q4" s="5"/>
      <c r="R4" s="5"/>
    </row>
    <row r="5" spans="1:18" x14ac:dyDescent="0.2">
      <c r="B5" s="5"/>
      <c r="C5" s="5"/>
      <c r="D5" s="5"/>
      <c r="E5" s="5"/>
      <c r="F5" s="5"/>
      <c r="H5" s="1" t="s">
        <v>2</v>
      </c>
      <c r="I5">
        <v>1000</v>
      </c>
      <c r="J5">
        <v>19.260000000000002</v>
      </c>
      <c r="K5" s="5">
        <f>I5*J5*8760/1000000</f>
        <v>168.7176</v>
      </c>
      <c r="L5" s="5"/>
      <c r="M5" s="5"/>
      <c r="N5" s="5"/>
      <c r="O5" s="5"/>
      <c r="P5" s="5"/>
      <c r="Q5" s="5"/>
      <c r="R5" s="5"/>
    </row>
    <row r="6" spans="1:18" x14ac:dyDescent="0.2">
      <c r="B6" s="5"/>
      <c r="C6" s="5"/>
      <c r="D6" s="5"/>
      <c r="E6" s="5"/>
      <c r="F6" s="5"/>
      <c r="H6" s="1" t="s">
        <v>3</v>
      </c>
      <c r="I6">
        <v>2000</v>
      </c>
      <c r="J6">
        <v>27</v>
      </c>
      <c r="K6" s="5">
        <f>I6*J6*8760/1000000</f>
        <v>473.04</v>
      </c>
      <c r="L6" s="5"/>
      <c r="M6" s="5"/>
      <c r="N6" s="5"/>
      <c r="O6" s="5"/>
      <c r="P6" s="5"/>
      <c r="Q6" s="5"/>
      <c r="R6" s="5"/>
    </row>
    <row r="7" spans="1:18" x14ac:dyDescent="0.2">
      <c r="B7" s="5"/>
      <c r="C7" s="5"/>
      <c r="D7" s="5"/>
      <c r="E7" s="18"/>
      <c r="F7" s="5"/>
      <c r="H7" s="1" t="s">
        <v>4</v>
      </c>
      <c r="I7">
        <f>SUM(I3:I6)</f>
        <v>8327</v>
      </c>
      <c r="K7" s="5">
        <f>SUM(K3:K6)</f>
        <v>1675.6743827999999</v>
      </c>
      <c r="L7" s="5"/>
      <c r="M7" s="5"/>
      <c r="N7" s="5"/>
      <c r="O7" s="5"/>
      <c r="P7" s="5"/>
      <c r="Q7" s="5"/>
      <c r="R7" s="5"/>
    </row>
    <row r="8" spans="1:18" x14ac:dyDescent="0.2">
      <c r="B8" s="5"/>
      <c r="C8" s="5"/>
      <c r="D8" s="5"/>
      <c r="E8" s="5"/>
      <c r="F8" s="5"/>
      <c r="H8" s="1"/>
      <c r="I8" s="3"/>
      <c r="J8" s="4" t="s">
        <v>5</v>
      </c>
      <c r="K8" s="5">
        <f>K7</f>
        <v>1675.6743827999999</v>
      </c>
      <c r="L8" s="5"/>
      <c r="M8" s="5"/>
      <c r="N8" s="5"/>
      <c r="O8" s="5"/>
      <c r="P8" s="5"/>
      <c r="Q8" s="5"/>
      <c r="R8" s="5"/>
    </row>
    <row r="9" spans="1:18" x14ac:dyDescent="0.2">
      <c r="B9" s="5"/>
      <c r="C9" s="5"/>
      <c r="D9" s="5"/>
      <c r="E9" s="5"/>
      <c r="F9" s="5"/>
      <c r="J9" s="4" t="s">
        <v>6</v>
      </c>
      <c r="K9" s="5">
        <f>SUM(K3:K5)</f>
        <v>1202.6343827999999</v>
      </c>
      <c r="L9" s="5"/>
      <c r="M9" s="5"/>
      <c r="N9" s="5"/>
      <c r="O9" s="5"/>
      <c r="P9" s="5"/>
      <c r="Q9" s="5"/>
      <c r="R9" s="5"/>
    </row>
    <row r="10" spans="1:18" x14ac:dyDescent="0.2">
      <c r="B10" s="5"/>
      <c r="I10" t="s">
        <v>22</v>
      </c>
      <c r="K10" s="29">
        <f>K9/K8</f>
        <v>0.71770171767526525</v>
      </c>
    </row>
    <row r="11" spans="1:18" x14ac:dyDescent="0.2">
      <c r="B11" s="5"/>
      <c r="C11" s="6"/>
      <c r="D11" s="5"/>
      <c r="E11" s="6"/>
      <c r="F11" s="6"/>
      <c r="I11" t="s">
        <v>7</v>
      </c>
      <c r="K11" s="6">
        <f>K7/I7/0.876</f>
        <v>0.22971902245706735</v>
      </c>
      <c r="L11" s="6"/>
      <c r="M11" s="6"/>
      <c r="N11" s="6"/>
      <c r="O11" s="6"/>
      <c r="P11" s="6"/>
      <c r="Q11" s="6"/>
    </row>
    <row r="12" spans="1:18" x14ac:dyDescent="0.2">
      <c r="B12" s="5"/>
    </row>
    <row r="13" spans="1:18" ht="20.25" x14ac:dyDescent="0.3">
      <c r="A13" s="118" t="s">
        <v>37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</row>
    <row r="14" spans="1:18" ht="20.25" x14ac:dyDescent="0.3">
      <c r="A14" s="118" t="s">
        <v>41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</row>
    <row r="15" spans="1:18" ht="20.25" x14ac:dyDescent="0.3">
      <c r="A15" s="68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</row>
    <row r="16" spans="1:18" x14ac:dyDescent="0.2">
      <c r="B16" s="5"/>
    </row>
    <row r="17" spans="1:17" x14ac:dyDescent="0.2">
      <c r="B17" s="51" t="s">
        <v>25</v>
      </c>
    </row>
    <row r="18" spans="1:17" x14ac:dyDescent="0.2">
      <c r="B18" s="37" t="s">
        <v>35</v>
      </c>
      <c r="G18" s="21"/>
    </row>
    <row r="19" spans="1:17" x14ac:dyDescent="0.2">
      <c r="A19" s="24"/>
      <c r="B19" s="24" t="s">
        <v>9</v>
      </c>
      <c r="C19" s="7" t="s">
        <v>10</v>
      </c>
      <c r="D19" s="7" t="s">
        <v>11</v>
      </c>
      <c r="E19" s="7" t="s">
        <v>12</v>
      </c>
      <c r="G19" s="13" t="s">
        <v>16</v>
      </c>
      <c r="H19" s="7" t="s">
        <v>9</v>
      </c>
      <c r="I19" s="7" t="s">
        <v>10</v>
      </c>
      <c r="J19" s="7" t="s">
        <v>11</v>
      </c>
      <c r="K19" s="7" t="s">
        <v>12</v>
      </c>
      <c r="L19" s="24" t="s">
        <v>18</v>
      </c>
      <c r="N19" s="13" t="s">
        <v>27</v>
      </c>
      <c r="O19" s="42" t="s">
        <v>26</v>
      </c>
      <c r="P19" s="119" t="s">
        <v>50</v>
      </c>
      <c r="Q19" s="120"/>
    </row>
    <row r="20" spans="1:17" x14ac:dyDescent="0.2">
      <c r="A20" s="52" t="s">
        <v>29</v>
      </c>
      <c r="B20" s="25" t="s">
        <v>13</v>
      </c>
      <c r="C20" s="8" t="s">
        <v>14</v>
      </c>
      <c r="D20" s="8" t="s">
        <v>15</v>
      </c>
      <c r="E20" s="8" t="s">
        <v>15</v>
      </c>
      <c r="G20" s="14" t="s">
        <v>17</v>
      </c>
      <c r="H20" s="8" t="s">
        <v>13</v>
      </c>
      <c r="I20" s="8" t="s">
        <v>14</v>
      </c>
      <c r="J20" s="8" t="s">
        <v>15</v>
      </c>
      <c r="K20" s="8" t="s">
        <v>15</v>
      </c>
      <c r="L20" s="25" t="s">
        <v>19</v>
      </c>
      <c r="N20" s="14" t="s">
        <v>28</v>
      </c>
      <c r="O20" s="44" t="s">
        <v>49</v>
      </c>
      <c r="P20" s="44" t="s">
        <v>20</v>
      </c>
      <c r="Q20" s="45" t="s">
        <v>21</v>
      </c>
    </row>
    <row r="21" spans="1:17" x14ac:dyDescent="0.2">
      <c r="A21" s="15"/>
      <c r="B21" s="64" t="s">
        <v>40</v>
      </c>
      <c r="C21" s="63" t="s">
        <v>38</v>
      </c>
      <c r="D21" s="63" t="s">
        <v>38</v>
      </c>
      <c r="E21" s="63" t="s">
        <v>38</v>
      </c>
      <c r="F21" s="12"/>
      <c r="G21" s="64" t="s">
        <v>39</v>
      </c>
      <c r="H21" s="63" t="s">
        <v>40</v>
      </c>
      <c r="I21" s="63" t="s">
        <v>38</v>
      </c>
      <c r="J21" s="63" t="s">
        <v>38</v>
      </c>
      <c r="K21" s="63" t="s">
        <v>38</v>
      </c>
      <c r="L21" s="15"/>
      <c r="N21" s="64"/>
      <c r="O21" s="65" t="s">
        <v>39</v>
      </c>
      <c r="P21" s="65" t="s">
        <v>39</v>
      </c>
      <c r="Q21" s="66" t="s">
        <v>39</v>
      </c>
    </row>
    <row r="22" spans="1:17" x14ac:dyDescent="0.2">
      <c r="A22" s="82">
        <v>1</v>
      </c>
      <c r="B22" s="84">
        <v>2549.6575308641973</v>
      </c>
      <c r="C22" s="9">
        <v>2634.5363977575335</v>
      </c>
      <c r="D22" s="9">
        <v>1639.3022846399999</v>
      </c>
      <c r="E22" s="9">
        <v>1166.26228464</v>
      </c>
      <c r="G22" s="16">
        <v>138.35236194758585</v>
      </c>
      <c r="H22" s="9">
        <f>MAX(0,$B22+(I$7-8327))</f>
        <v>2549.6575308641973</v>
      </c>
      <c r="I22" s="9">
        <f t="shared" ref="I22:K26" si="0">C22</f>
        <v>2634.5363977575335</v>
      </c>
      <c r="J22" s="9">
        <f t="shared" si="0"/>
        <v>1639.3022846399999</v>
      </c>
      <c r="K22" s="9">
        <f t="shared" si="0"/>
        <v>1166.26228464</v>
      </c>
      <c r="L22" s="28">
        <f>I22/J22</f>
        <v>1.6071083548426168</v>
      </c>
      <c r="N22" s="15" t="s">
        <v>0</v>
      </c>
      <c r="O22" s="46">
        <f>J3</f>
        <v>21.83</v>
      </c>
      <c r="P22" s="46">
        <f>ROUND(O22*(1+L$22),2)</f>
        <v>56.91</v>
      </c>
      <c r="Q22" s="47">
        <f>ROUND(O22*(1+L$27),2)</f>
        <v>35.58</v>
      </c>
    </row>
    <row r="23" spans="1:17" x14ac:dyDescent="0.2">
      <c r="A23" s="82">
        <v>2</v>
      </c>
      <c r="B23" s="84">
        <v>2287.3465062331256</v>
      </c>
      <c r="C23" s="9">
        <v>1093.5637737880784</v>
      </c>
      <c r="D23" s="9">
        <v>1648.4813630400001</v>
      </c>
      <c r="E23" s="9">
        <v>1175.4413630399999</v>
      </c>
      <c r="G23" s="16">
        <v>74.91582365051589</v>
      </c>
      <c r="H23" s="9">
        <f>MAX(0,$B23+(I$7-8327))</f>
        <v>2287.3465062331256</v>
      </c>
      <c r="I23" s="9">
        <f t="shared" si="0"/>
        <v>1093.5637737880784</v>
      </c>
      <c r="J23" s="9">
        <f t="shared" si="0"/>
        <v>1648.4813630400001</v>
      </c>
      <c r="K23" s="9">
        <f t="shared" si="0"/>
        <v>1175.4413630399999</v>
      </c>
      <c r="L23" s="26">
        <f>I23/J23</f>
        <v>0.66337648596245802</v>
      </c>
      <c r="N23" s="15" t="s">
        <v>1</v>
      </c>
      <c r="O23" s="46">
        <f>J4</f>
        <v>23</v>
      </c>
      <c r="P23" s="46">
        <f>ROUND(O23*(1+L$22),2)</f>
        <v>59.96</v>
      </c>
      <c r="Q23" s="47">
        <f>ROUND(O23*(1+L$27),2)</f>
        <v>37.49</v>
      </c>
    </row>
    <row r="24" spans="1:17" x14ac:dyDescent="0.2">
      <c r="A24" s="82">
        <v>3</v>
      </c>
      <c r="B24" s="84">
        <v>2159.8687517146777</v>
      </c>
      <c r="C24" s="9">
        <v>461.402277226965</v>
      </c>
      <c r="D24" s="9">
        <v>1656.32182584</v>
      </c>
      <c r="E24" s="9">
        <v>1183.28182584</v>
      </c>
      <c r="G24" s="16">
        <v>44.317271549854695</v>
      </c>
      <c r="H24" s="9">
        <f>MAX(0,$B24+(I$7-8327))</f>
        <v>2159.8687517146777</v>
      </c>
      <c r="I24" s="9">
        <f t="shared" si="0"/>
        <v>461.402277226965</v>
      </c>
      <c r="J24" s="9">
        <f t="shared" si="0"/>
        <v>1656.32182584</v>
      </c>
      <c r="K24" s="9">
        <f t="shared" si="0"/>
        <v>1183.28182584</v>
      </c>
      <c r="L24" s="26">
        <f>I24/J24</f>
        <v>0.27857042636805551</v>
      </c>
      <c r="N24" s="15" t="s">
        <v>2</v>
      </c>
      <c r="O24" s="46">
        <f>J5</f>
        <v>19.260000000000002</v>
      </c>
      <c r="P24" s="46">
        <f>ROUND(O24*(1+L$22),2)</f>
        <v>50.21</v>
      </c>
      <c r="Q24" s="47">
        <f>ROUND(O24*(1+L$27),2)</f>
        <v>31.39</v>
      </c>
    </row>
    <row r="25" spans="1:17" x14ac:dyDescent="0.2">
      <c r="A25" s="82">
        <v>4</v>
      </c>
      <c r="B25" s="84">
        <v>2001.018560385889</v>
      </c>
      <c r="C25" s="9">
        <v>485.34698146847575</v>
      </c>
      <c r="D25" s="9">
        <v>1667.7956738400001</v>
      </c>
      <c r="E25" s="9">
        <v>1194.7556738399999</v>
      </c>
      <c r="G25" s="16">
        <v>47.253332074197957</v>
      </c>
      <c r="H25" s="9">
        <f>MAX(0,$B25+(I$7-8327))</f>
        <v>2001.018560385889</v>
      </c>
      <c r="I25" s="9">
        <f t="shared" si="0"/>
        <v>485.34698146847575</v>
      </c>
      <c r="J25" s="9">
        <f t="shared" si="0"/>
        <v>1667.7956738400001</v>
      </c>
      <c r="K25" s="9">
        <f t="shared" si="0"/>
        <v>1194.7556738399999</v>
      </c>
      <c r="L25" s="26">
        <f>I25/J25</f>
        <v>0.291011056738739</v>
      </c>
      <c r="N25" s="48" t="s">
        <v>3</v>
      </c>
      <c r="O25" s="49">
        <f>J6</f>
        <v>27</v>
      </c>
      <c r="P25" s="49">
        <f>ROUND(O25*(1+L$22),2)</f>
        <v>70.39</v>
      </c>
      <c r="Q25" s="50">
        <f>ROUND(O25*(1+L$27),2)</f>
        <v>44.01</v>
      </c>
    </row>
    <row r="26" spans="1:17" x14ac:dyDescent="0.2">
      <c r="A26" s="83">
        <v>5</v>
      </c>
      <c r="B26" s="11">
        <v>2149.7580034459493</v>
      </c>
      <c r="C26" s="10">
        <v>519.29828963509351</v>
      </c>
      <c r="D26" s="10">
        <v>1677.5484446400001</v>
      </c>
      <c r="E26" s="10">
        <v>1204.5084446399999</v>
      </c>
      <c r="G26" s="17">
        <v>47.637304122106308</v>
      </c>
      <c r="H26" s="11">
        <f>MAX(0,$B26+(I$7-8327))</f>
        <v>2149.7580034459493</v>
      </c>
      <c r="I26" s="10">
        <f t="shared" si="0"/>
        <v>519.29828963509351</v>
      </c>
      <c r="J26" s="11">
        <f t="shared" si="0"/>
        <v>1677.5484446400001</v>
      </c>
      <c r="K26" s="10">
        <f t="shared" si="0"/>
        <v>1204.5084446399999</v>
      </c>
      <c r="L26" s="27">
        <f>I26/J26</f>
        <v>0.30955784990551155</v>
      </c>
    </row>
    <row r="27" spans="1:17" x14ac:dyDescent="0.2">
      <c r="A27" s="81" t="s">
        <v>30</v>
      </c>
      <c r="B27" s="54">
        <f>AVERAGE(B22:B26)</f>
        <v>2229.5298705287678</v>
      </c>
      <c r="C27" s="54">
        <f>AVERAGE(C22:C26)</f>
        <v>1038.8295439752292</v>
      </c>
      <c r="D27" s="54">
        <f>AVERAGE(D22:D26)</f>
        <v>1657.8899184000002</v>
      </c>
      <c r="E27" s="55">
        <f>AVERAGE(E22:E26)</f>
        <v>1184.8499183999998</v>
      </c>
      <c r="G27" s="57">
        <f t="shared" ref="G27:L27" si="1">AVERAGE(G22:G26)</f>
        <v>70.495218668852132</v>
      </c>
      <c r="H27" s="58">
        <f t="shared" si="1"/>
        <v>2229.5298705287678</v>
      </c>
      <c r="I27" s="56">
        <f t="shared" si="1"/>
        <v>1038.8295439752292</v>
      </c>
      <c r="J27" s="56">
        <f t="shared" si="1"/>
        <v>1657.8899184000002</v>
      </c>
      <c r="K27" s="56">
        <f t="shared" si="1"/>
        <v>1184.8499183999998</v>
      </c>
      <c r="L27" s="59">
        <f t="shared" si="1"/>
        <v>0.62992483476347627</v>
      </c>
    </row>
    <row r="28" spans="1:17" x14ac:dyDescent="0.2">
      <c r="B28" s="38"/>
      <c r="C28" s="38"/>
      <c r="D28" s="38"/>
      <c r="E28" s="38"/>
      <c r="G28" s="20"/>
      <c r="H28" s="30"/>
      <c r="I28" s="20"/>
      <c r="J28" s="20"/>
      <c r="K28" s="20"/>
      <c r="L28" s="23"/>
    </row>
    <row r="29" spans="1:17" x14ac:dyDescent="0.2">
      <c r="B29" s="37" t="s">
        <v>24</v>
      </c>
    </row>
    <row r="30" spans="1:17" x14ac:dyDescent="0.2">
      <c r="B30" s="37" t="s">
        <v>36</v>
      </c>
      <c r="D30" s="38"/>
    </row>
    <row r="31" spans="1:17" x14ac:dyDescent="0.2">
      <c r="A31" s="24"/>
      <c r="B31" s="24" t="s">
        <v>9</v>
      </c>
      <c r="C31" s="7" t="s">
        <v>10</v>
      </c>
      <c r="D31" s="7" t="s">
        <v>11</v>
      </c>
      <c r="E31" s="7" t="s">
        <v>12</v>
      </c>
      <c r="G31" s="13" t="s">
        <v>16</v>
      </c>
      <c r="H31" s="7" t="s">
        <v>9</v>
      </c>
      <c r="I31" s="7" t="s">
        <v>10</v>
      </c>
      <c r="J31" s="7" t="s">
        <v>11</v>
      </c>
      <c r="K31" s="7" t="s">
        <v>12</v>
      </c>
      <c r="L31" s="24" t="s">
        <v>18</v>
      </c>
      <c r="N31" s="13" t="s">
        <v>27</v>
      </c>
      <c r="O31" s="42" t="s">
        <v>26</v>
      </c>
      <c r="P31" s="119" t="s">
        <v>50</v>
      </c>
      <c r="Q31" s="120"/>
    </row>
    <row r="32" spans="1:17" x14ac:dyDescent="0.2">
      <c r="A32" s="52" t="s">
        <v>29</v>
      </c>
      <c r="B32" s="25" t="s">
        <v>13</v>
      </c>
      <c r="C32" s="8" t="s">
        <v>14</v>
      </c>
      <c r="D32" s="8" t="s">
        <v>15</v>
      </c>
      <c r="E32" s="8" t="s">
        <v>15</v>
      </c>
      <c r="G32" s="14" t="s">
        <v>17</v>
      </c>
      <c r="H32" s="8" t="s">
        <v>13</v>
      </c>
      <c r="I32" s="8" t="s">
        <v>14</v>
      </c>
      <c r="J32" s="8" t="s">
        <v>15</v>
      </c>
      <c r="K32" s="8" t="s">
        <v>15</v>
      </c>
      <c r="L32" s="25" t="s">
        <v>19</v>
      </c>
      <c r="N32" s="14" t="s">
        <v>28</v>
      </c>
      <c r="O32" s="44" t="s">
        <v>49</v>
      </c>
      <c r="P32" s="44" t="s">
        <v>20</v>
      </c>
      <c r="Q32" s="45" t="s">
        <v>21</v>
      </c>
    </row>
    <row r="33" spans="1:17" x14ac:dyDescent="0.2">
      <c r="A33" s="15"/>
      <c r="B33" s="63" t="s">
        <v>40</v>
      </c>
      <c r="C33" s="63" t="s">
        <v>38</v>
      </c>
      <c r="D33" s="63" t="s">
        <v>38</v>
      </c>
      <c r="E33" s="63" t="s">
        <v>38</v>
      </c>
      <c r="F33" s="12"/>
      <c r="G33" s="64" t="s">
        <v>39</v>
      </c>
      <c r="H33" s="63" t="s">
        <v>40</v>
      </c>
      <c r="I33" s="63" t="s">
        <v>38</v>
      </c>
      <c r="J33" s="63" t="s">
        <v>38</v>
      </c>
      <c r="K33" s="63" t="s">
        <v>38</v>
      </c>
      <c r="L33" s="15"/>
      <c r="N33" s="64"/>
      <c r="O33" s="65" t="s">
        <v>39</v>
      </c>
      <c r="P33" s="65" t="s">
        <v>39</v>
      </c>
      <c r="Q33" s="66" t="s">
        <v>39</v>
      </c>
    </row>
    <row r="34" spans="1:17" x14ac:dyDescent="0.2">
      <c r="A34" s="82">
        <v>1</v>
      </c>
      <c r="B34" s="9">
        <v>1014.3637658220908</v>
      </c>
      <c r="C34" s="9">
        <v>1037.1507340286282</v>
      </c>
      <c r="D34" s="9">
        <v>1258.40637696</v>
      </c>
      <c r="E34" s="9">
        <v>1258.40637696</v>
      </c>
      <c r="G34" s="16">
        <v>138.35236194758585</v>
      </c>
      <c r="H34" s="9">
        <f>MAX(0,$B34+(I$7-8327))</f>
        <v>1014.3637658220908</v>
      </c>
      <c r="I34" s="9">
        <f t="shared" ref="I34:K38" si="2">C34</f>
        <v>1037.1507340286282</v>
      </c>
      <c r="J34" s="9">
        <f t="shared" si="2"/>
        <v>1258.40637696</v>
      </c>
      <c r="K34" s="9">
        <f t="shared" si="2"/>
        <v>1258.40637696</v>
      </c>
      <c r="L34" s="28">
        <f>I34/J34</f>
        <v>0.82417790708763661</v>
      </c>
      <c r="N34" s="15" t="s">
        <v>0</v>
      </c>
      <c r="O34" s="46">
        <f>J3</f>
        <v>21.83</v>
      </c>
      <c r="P34" s="46">
        <f>ROUND(O34*(1+L$34),2)</f>
        <v>39.82</v>
      </c>
      <c r="Q34" s="47">
        <f>ROUND(O34*(1+L$39),2)</f>
        <v>28.24</v>
      </c>
    </row>
    <row r="35" spans="1:17" x14ac:dyDescent="0.2">
      <c r="A35" s="82">
        <v>2</v>
      </c>
      <c r="B35" s="9">
        <v>800.73162353755981</v>
      </c>
      <c r="C35" s="9">
        <v>378.41147896464139</v>
      </c>
      <c r="D35" s="9">
        <v>1278.4856109599998</v>
      </c>
      <c r="E35" s="9">
        <v>1278.4856109599998</v>
      </c>
      <c r="G35" s="16">
        <v>74.91582365051589</v>
      </c>
      <c r="H35" s="9">
        <f>MAX(0,$B35+(I$7-8327))</f>
        <v>800.73162353755981</v>
      </c>
      <c r="I35" s="9">
        <f t="shared" si="2"/>
        <v>378.41147896464139</v>
      </c>
      <c r="J35" s="9">
        <f t="shared" si="2"/>
        <v>1278.4856109599998</v>
      </c>
      <c r="K35" s="9">
        <f t="shared" si="2"/>
        <v>1278.4856109599998</v>
      </c>
      <c r="L35" s="26">
        <f>I35/J35</f>
        <v>0.29598415165619008</v>
      </c>
      <c r="N35" s="15" t="s">
        <v>1</v>
      </c>
      <c r="O35" s="46">
        <f>J4</f>
        <v>23</v>
      </c>
      <c r="P35" s="46">
        <f>ROUND(O35*(1+L$34),2)</f>
        <v>41.96</v>
      </c>
      <c r="Q35" s="47">
        <f>ROUND(O35*(1+L$39),2)</f>
        <v>29.76</v>
      </c>
    </row>
    <row r="36" spans="1:17" x14ac:dyDescent="0.2">
      <c r="A36" s="82">
        <v>3</v>
      </c>
      <c r="B36" s="9">
        <v>714.02540557111013</v>
      </c>
      <c r="C36" s="9">
        <v>146.25008138508616</v>
      </c>
      <c r="D36" s="9">
        <v>1297.2262293599999</v>
      </c>
      <c r="E36" s="9">
        <v>1297.2262293599999</v>
      </c>
      <c r="G36" s="16">
        <v>44.317271549854695</v>
      </c>
      <c r="H36" s="9">
        <f>MAX(0,$B36+(I$7-8327))</f>
        <v>714.02540557111013</v>
      </c>
      <c r="I36" s="9">
        <f t="shared" si="2"/>
        <v>146.25008138508616</v>
      </c>
      <c r="J36" s="9">
        <f t="shared" si="2"/>
        <v>1297.2262293599999</v>
      </c>
      <c r="K36" s="9">
        <f t="shared" si="2"/>
        <v>1297.2262293599999</v>
      </c>
      <c r="L36" s="26">
        <f>I36/J36</f>
        <v>0.11274061383822015</v>
      </c>
      <c r="N36" s="15" t="s">
        <v>2</v>
      </c>
      <c r="O36" s="46">
        <f>J5</f>
        <v>19.260000000000002</v>
      </c>
      <c r="P36" s="46">
        <f>ROUND(O36*(1+L$34),2)</f>
        <v>35.130000000000003</v>
      </c>
      <c r="Q36" s="47">
        <f>ROUND(O36*(1+L$39),2)</f>
        <v>24.92</v>
      </c>
    </row>
    <row r="37" spans="1:17" x14ac:dyDescent="0.2">
      <c r="A37" s="82">
        <v>4</v>
      </c>
      <c r="B37" s="9">
        <v>600.34365726685519</v>
      </c>
      <c r="C37" s="9">
        <v>130.87405737906067</v>
      </c>
      <c r="D37" s="9">
        <v>1316.92300176</v>
      </c>
      <c r="E37" s="9">
        <v>1316.92300176</v>
      </c>
      <c r="G37" s="16">
        <v>47.253332074197957</v>
      </c>
      <c r="H37" s="9">
        <f>MAX(0,$B37+(I$7-8327))</f>
        <v>600.34365726685519</v>
      </c>
      <c r="I37" s="9">
        <f t="shared" si="2"/>
        <v>130.87405737906067</v>
      </c>
      <c r="J37" s="9">
        <f t="shared" si="2"/>
        <v>1316.92300176</v>
      </c>
      <c r="K37" s="9">
        <f t="shared" si="2"/>
        <v>1316.92300176</v>
      </c>
      <c r="L37" s="26">
        <f>I37/J37</f>
        <v>9.9378670737889918E-2</v>
      </c>
      <c r="N37" s="48" t="s">
        <v>3</v>
      </c>
      <c r="O37" s="49">
        <f>J6</f>
        <v>27</v>
      </c>
      <c r="P37" s="49">
        <f>ROUND(O37*(1+L$34),2)</f>
        <v>49.25</v>
      </c>
      <c r="Q37" s="50">
        <f>ROUND(O37*(1+L$39),2)</f>
        <v>34.93</v>
      </c>
    </row>
    <row r="38" spans="1:17" x14ac:dyDescent="0.2">
      <c r="A38" s="83">
        <v>5</v>
      </c>
      <c r="B38" s="10">
        <v>773.30639564609555</v>
      </c>
      <c r="C38" s="10">
        <v>181.75856055407723</v>
      </c>
      <c r="D38" s="10">
        <v>1332.0302349599997</v>
      </c>
      <c r="E38" s="10">
        <v>1332.0302349599997</v>
      </c>
      <c r="G38" s="17">
        <v>47.637304122106308</v>
      </c>
      <c r="H38" s="11">
        <f>MAX(0,$B38+(I$7-8327))</f>
        <v>773.30639564609555</v>
      </c>
      <c r="I38" s="10">
        <f t="shared" si="2"/>
        <v>181.75856055407723</v>
      </c>
      <c r="J38" s="11">
        <f t="shared" si="2"/>
        <v>1332.0302349599997</v>
      </c>
      <c r="K38" s="10">
        <f t="shared" si="2"/>
        <v>1332.0302349599997</v>
      </c>
      <c r="L38" s="27">
        <f>I38/J38</f>
        <v>0.13645227847214397</v>
      </c>
    </row>
    <row r="39" spans="1:17" x14ac:dyDescent="0.2">
      <c r="A39" s="53" t="s">
        <v>30</v>
      </c>
      <c r="B39" s="54">
        <f>AVERAGE(B34:B38)</f>
        <v>780.55416956874228</v>
      </c>
      <c r="C39" s="54">
        <f>AVERAGE(C34:C38)</f>
        <v>374.88898246229871</v>
      </c>
      <c r="D39" s="54">
        <f>AVERAGE(D34:D38)</f>
        <v>1296.6142907999999</v>
      </c>
      <c r="E39" s="55">
        <f>AVERAGE(E34:E38)</f>
        <v>1296.6142907999999</v>
      </c>
      <c r="G39" s="57">
        <f t="shared" ref="G39:L39" si="3">AVERAGE(G34:G38)</f>
        <v>70.495218668852132</v>
      </c>
      <c r="H39" s="58">
        <f t="shared" si="3"/>
        <v>780.55416956874228</v>
      </c>
      <c r="I39" s="56">
        <f t="shared" si="3"/>
        <v>374.88898246229871</v>
      </c>
      <c r="J39" s="56">
        <f t="shared" si="3"/>
        <v>1296.6142907999999</v>
      </c>
      <c r="K39" s="56">
        <f t="shared" si="3"/>
        <v>1296.6142907999999</v>
      </c>
      <c r="L39" s="59">
        <f t="shared" si="3"/>
        <v>0.29374672435841614</v>
      </c>
    </row>
    <row r="40" spans="1:17" x14ac:dyDescent="0.2">
      <c r="C40" s="38"/>
      <c r="F40" s="3"/>
    </row>
    <row r="41" spans="1:17" x14ac:dyDescent="0.2">
      <c r="B41" s="37" t="s">
        <v>46</v>
      </c>
      <c r="C41" s="38"/>
      <c r="F41" s="3"/>
    </row>
    <row r="42" spans="1:17" x14ac:dyDescent="0.2">
      <c r="B42" s="37" t="s">
        <v>35</v>
      </c>
      <c r="C42" s="38"/>
      <c r="F42" s="3"/>
    </row>
    <row r="43" spans="1:17" x14ac:dyDescent="0.2">
      <c r="B43" s="37" t="s">
        <v>48</v>
      </c>
      <c r="F43" s="3"/>
    </row>
    <row r="44" spans="1:17" ht="42" customHeight="1" x14ac:dyDescent="0.2">
      <c r="B44" s="39"/>
      <c r="C44" s="70" t="s">
        <v>47</v>
      </c>
      <c r="D44" s="78" t="s">
        <v>51</v>
      </c>
      <c r="E44" s="77" t="s">
        <v>52</v>
      </c>
      <c r="F44" s="3"/>
    </row>
    <row r="45" spans="1:17" x14ac:dyDescent="0.2">
      <c r="B45" s="72" t="s">
        <v>0</v>
      </c>
      <c r="C45" s="40">
        <f>4343+1611-46-67-2000</f>
        <v>3841</v>
      </c>
      <c r="D45" s="40">
        <v>21.83</v>
      </c>
      <c r="E45" s="31">
        <f>C45*D45*8760/1000000</f>
        <v>734.51750279999999</v>
      </c>
      <c r="F45" s="3"/>
    </row>
    <row r="46" spans="1:17" x14ac:dyDescent="0.2">
      <c r="B46" s="72" t="s">
        <v>1</v>
      </c>
      <c r="C46" s="73">
        <v>1486</v>
      </c>
      <c r="D46" s="74">
        <f>(AVERAGE(G22:G26)*496+990*20.68)/C46</f>
        <v>37.307421574529378</v>
      </c>
      <c r="E46" s="31">
        <f>C46*D46*8760/1000000</f>
        <v>485.6441373074158</v>
      </c>
      <c r="F46" s="80" t="s">
        <v>54</v>
      </c>
      <c r="G46" t="str">
        <f>"DSI LB CRAC Rate of $"&amp;TEXT(D46,"00.00")&amp;"/MWh = (496 aMW x $"&amp;TEXT(G64,"00.0")&amp;" + 990 aMW x $20.68)/1486 aMW"</f>
        <v>DSI LB CRAC Rate of $37.31/MWh = (496 aMW x $70.5 + 990 aMW x $20.68)/1486 aMW</v>
      </c>
    </row>
    <row r="47" spans="1:17" x14ac:dyDescent="0.2">
      <c r="B47" s="72" t="s">
        <v>2</v>
      </c>
      <c r="C47" s="40">
        <v>1000</v>
      </c>
      <c r="D47" s="40">
        <v>19.260000000000002</v>
      </c>
      <c r="E47" s="31">
        <f>C47*D47*8760/1000000</f>
        <v>168.7176</v>
      </c>
      <c r="F47" s="3"/>
    </row>
    <row r="48" spans="1:17" x14ac:dyDescent="0.2">
      <c r="B48" s="72" t="s">
        <v>3</v>
      </c>
      <c r="C48" s="40">
        <v>2000</v>
      </c>
      <c r="D48" s="40">
        <v>27</v>
      </c>
      <c r="E48" s="31">
        <f>C48*D48*8760/1000000</f>
        <v>473.04</v>
      </c>
      <c r="F48" s="3"/>
    </row>
    <row r="49" spans="1:17" x14ac:dyDescent="0.2">
      <c r="B49" s="75" t="s">
        <v>4</v>
      </c>
      <c r="C49" s="76">
        <f>SUM(C45:C48)</f>
        <v>8327</v>
      </c>
      <c r="D49" s="76"/>
      <c r="E49" s="32">
        <f>SUM(E45:E48)</f>
        <v>1861.9192401074156</v>
      </c>
      <c r="F49" s="3"/>
    </row>
    <row r="50" spans="1:17" x14ac:dyDescent="0.2">
      <c r="B50" s="1"/>
      <c r="C50" s="3"/>
      <c r="D50" s="4" t="s">
        <v>5</v>
      </c>
      <c r="E50" s="5">
        <f>E49</f>
        <v>1861.9192401074156</v>
      </c>
      <c r="F50" s="3"/>
    </row>
    <row r="51" spans="1:17" x14ac:dyDescent="0.2">
      <c r="D51" s="4" t="s">
        <v>6</v>
      </c>
      <c r="E51" s="5">
        <f>SUM(E45:E47)</f>
        <v>1388.8792401074156</v>
      </c>
      <c r="F51" s="80" t="s">
        <v>54</v>
      </c>
      <c r="G51" t="s">
        <v>53</v>
      </c>
    </row>
    <row r="52" spans="1:17" x14ac:dyDescent="0.2">
      <c r="D52" t="s">
        <v>22</v>
      </c>
      <c r="E52" s="29">
        <f>E51/E50</f>
        <v>0.74593957148608125</v>
      </c>
      <c r="F52" s="3"/>
    </row>
    <row r="53" spans="1:17" x14ac:dyDescent="0.2">
      <c r="C53" t="s">
        <v>7</v>
      </c>
      <c r="E53" s="19">
        <f>E49/C49/0.00876</f>
        <v>25.525142123183695</v>
      </c>
      <c r="F53" s="3"/>
    </row>
    <row r="54" spans="1:17" x14ac:dyDescent="0.2">
      <c r="B54" s="37"/>
      <c r="C54" s="38"/>
      <c r="F54" s="3"/>
    </row>
    <row r="55" spans="1:17" x14ac:dyDescent="0.2">
      <c r="B55" s="37"/>
      <c r="C55" s="38"/>
      <c r="F55" s="3"/>
    </row>
    <row r="56" spans="1:17" x14ac:dyDescent="0.2">
      <c r="A56" s="24"/>
      <c r="B56" s="24" t="s">
        <v>9</v>
      </c>
      <c r="C56" s="7" t="s">
        <v>10</v>
      </c>
      <c r="D56" s="7" t="s">
        <v>11</v>
      </c>
      <c r="E56" s="7" t="s">
        <v>12</v>
      </c>
      <c r="F56" s="3"/>
      <c r="G56" s="13" t="s">
        <v>16</v>
      </c>
      <c r="H56" s="7" t="s">
        <v>9</v>
      </c>
      <c r="I56" s="7" t="s">
        <v>10</v>
      </c>
      <c r="J56" s="7" t="s">
        <v>11</v>
      </c>
      <c r="K56" s="7" t="s">
        <v>12</v>
      </c>
      <c r="L56" s="24" t="s">
        <v>18</v>
      </c>
      <c r="N56" s="13" t="s">
        <v>27</v>
      </c>
      <c r="O56" s="42" t="s">
        <v>26</v>
      </c>
      <c r="P56" s="119" t="s">
        <v>50</v>
      </c>
      <c r="Q56" s="120"/>
    </row>
    <row r="57" spans="1:17" x14ac:dyDescent="0.2">
      <c r="A57" s="52" t="s">
        <v>29</v>
      </c>
      <c r="B57" s="25" t="s">
        <v>13</v>
      </c>
      <c r="C57" s="8" t="s">
        <v>14</v>
      </c>
      <c r="D57" s="8" t="s">
        <v>15</v>
      </c>
      <c r="E57" s="8" t="s">
        <v>15</v>
      </c>
      <c r="F57" s="3"/>
      <c r="G57" s="14" t="s">
        <v>17</v>
      </c>
      <c r="H57" s="8" t="s">
        <v>13</v>
      </c>
      <c r="I57" s="8" t="s">
        <v>14</v>
      </c>
      <c r="J57" s="8" t="s">
        <v>15</v>
      </c>
      <c r="K57" s="8" t="s">
        <v>15</v>
      </c>
      <c r="L57" s="25" t="s">
        <v>19</v>
      </c>
      <c r="N57" s="14" t="s">
        <v>28</v>
      </c>
      <c r="O57" s="44" t="s">
        <v>49</v>
      </c>
      <c r="P57" s="44" t="s">
        <v>20</v>
      </c>
      <c r="Q57" s="45" t="s">
        <v>21</v>
      </c>
    </row>
    <row r="58" spans="1:17" x14ac:dyDescent="0.2">
      <c r="A58" s="15"/>
      <c r="B58" s="63" t="s">
        <v>40</v>
      </c>
      <c r="C58" s="63" t="s">
        <v>38</v>
      </c>
      <c r="D58" s="63" t="s">
        <v>38</v>
      </c>
      <c r="E58" s="63" t="s">
        <v>38</v>
      </c>
      <c r="F58" s="3"/>
      <c r="G58" s="64" t="s">
        <v>39</v>
      </c>
      <c r="H58" s="63" t="s">
        <v>40</v>
      </c>
      <c r="I58" s="63" t="s">
        <v>38</v>
      </c>
      <c r="J58" s="63" t="s">
        <v>38</v>
      </c>
      <c r="K58" s="63" t="s">
        <v>38</v>
      </c>
      <c r="L58" s="15"/>
      <c r="N58" s="64"/>
      <c r="O58" s="65" t="s">
        <v>39</v>
      </c>
      <c r="P58" s="65" t="s">
        <v>39</v>
      </c>
      <c r="Q58" s="66" t="s">
        <v>39</v>
      </c>
    </row>
    <row r="59" spans="1:17" x14ac:dyDescent="0.2">
      <c r="A59" s="82">
        <v>1</v>
      </c>
      <c r="B59" s="9">
        <v>2549.6575308641973</v>
      </c>
      <c r="C59" s="9">
        <v>2634.5363977575335</v>
      </c>
      <c r="D59" s="9">
        <f>E50</f>
        <v>1861.9192401074156</v>
      </c>
      <c r="E59" s="9">
        <f>E51</f>
        <v>1388.8792401074156</v>
      </c>
      <c r="G59" s="16">
        <v>138.35236194758585</v>
      </c>
      <c r="H59" s="9">
        <f>MAX(0,$B59+(I$7-8327))</f>
        <v>2549.6575308641973</v>
      </c>
      <c r="I59" s="9">
        <f>C59</f>
        <v>2634.5363977575335</v>
      </c>
      <c r="J59" s="9">
        <f>E50</f>
        <v>1861.9192401074156</v>
      </c>
      <c r="K59" s="9">
        <f>E51</f>
        <v>1388.8792401074156</v>
      </c>
      <c r="L59" s="28">
        <f>I59/J59</f>
        <v>1.4149573950401548</v>
      </c>
      <c r="N59" s="15" t="s">
        <v>0</v>
      </c>
      <c r="O59" s="46">
        <f>J3</f>
        <v>21.83</v>
      </c>
      <c r="P59" s="46">
        <f>ROUND(O59*(1+L$59),2)</f>
        <v>52.72</v>
      </c>
      <c r="Q59" s="47">
        <f>ROUND(O59*(1+L$64),2)</f>
        <v>34.01</v>
      </c>
    </row>
    <row r="60" spans="1:17" x14ac:dyDescent="0.2">
      <c r="A60" s="82">
        <v>2</v>
      </c>
      <c r="B60" s="9">
        <v>2287.3465062331256</v>
      </c>
      <c r="C60" s="9">
        <v>1093.5637737880784</v>
      </c>
      <c r="D60" s="9">
        <f t="shared" ref="D60:E63" si="4">D59</f>
        <v>1861.9192401074156</v>
      </c>
      <c r="E60" s="9">
        <f t="shared" si="4"/>
        <v>1388.8792401074156</v>
      </c>
      <c r="G60" s="16">
        <v>74.91582365051589</v>
      </c>
      <c r="H60" s="9">
        <f>MAX(0,$B60+(I$7-8327))</f>
        <v>2287.3465062331256</v>
      </c>
      <c r="I60" s="9">
        <f>C60</f>
        <v>1093.5637737880784</v>
      </c>
      <c r="J60" s="9">
        <f t="shared" ref="J60:K63" si="5">J59</f>
        <v>1861.9192401074156</v>
      </c>
      <c r="K60" s="9">
        <f t="shared" si="5"/>
        <v>1388.8792401074156</v>
      </c>
      <c r="L60" s="26">
        <f>I60/J60</f>
        <v>0.58733147508857031</v>
      </c>
      <c r="N60" s="15" t="s">
        <v>1</v>
      </c>
      <c r="O60" s="46">
        <f>D46</f>
        <v>37.307421574529378</v>
      </c>
      <c r="P60" s="46">
        <f>ROUND(O60*(1+L$59),2)</f>
        <v>90.1</v>
      </c>
      <c r="Q60" s="47">
        <f>ROUND(O60*(1+L$64),2)</f>
        <v>58.12</v>
      </c>
    </row>
    <row r="61" spans="1:17" x14ac:dyDescent="0.2">
      <c r="A61" s="82">
        <v>3</v>
      </c>
      <c r="B61" s="9">
        <v>2159.8687517146777</v>
      </c>
      <c r="C61" s="9">
        <v>461.402277226965</v>
      </c>
      <c r="D61" s="9">
        <f t="shared" si="4"/>
        <v>1861.9192401074156</v>
      </c>
      <c r="E61" s="9">
        <f t="shared" si="4"/>
        <v>1388.8792401074156</v>
      </c>
      <c r="G61" s="16">
        <v>44.317271549854695</v>
      </c>
      <c r="H61" s="9">
        <f>MAX(0,$B61+(I$7-8327))</f>
        <v>2159.8687517146777</v>
      </c>
      <c r="I61" s="9">
        <f>C61</f>
        <v>461.402277226965</v>
      </c>
      <c r="J61" s="9">
        <f t="shared" si="5"/>
        <v>1861.9192401074156</v>
      </c>
      <c r="K61" s="9">
        <f t="shared" si="5"/>
        <v>1388.8792401074156</v>
      </c>
      <c r="L61" s="26">
        <f>I61/J61</f>
        <v>0.24781003777604571</v>
      </c>
      <c r="N61" s="15" t="s">
        <v>2</v>
      </c>
      <c r="O61" s="46">
        <f>J5</f>
        <v>19.260000000000002</v>
      </c>
      <c r="P61" s="46">
        <f>ROUND(O61*(1+L$59),2)</f>
        <v>46.51</v>
      </c>
      <c r="Q61" s="47">
        <f>ROUND(O61*(1+L$64),2)</f>
        <v>30.01</v>
      </c>
    </row>
    <row r="62" spans="1:17" x14ac:dyDescent="0.2">
      <c r="A62" s="82">
        <v>4</v>
      </c>
      <c r="B62" s="9">
        <v>2001.018560385889</v>
      </c>
      <c r="C62" s="9">
        <v>485.34698146847575</v>
      </c>
      <c r="D62" s="9">
        <f t="shared" si="4"/>
        <v>1861.9192401074156</v>
      </c>
      <c r="E62" s="9">
        <f t="shared" si="4"/>
        <v>1388.8792401074156</v>
      </c>
      <c r="G62" s="16">
        <v>47.253332074197957</v>
      </c>
      <c r="H62" s="9">
        <f>MAX(0,$B62+(I$7-8327))</f>
        <v>2001.018560385889</v>
      </c>
      <c r="I62" s="9">
        <f>C62</f>
        <v>485.34698146847575</v>
      </c>
      <c r="J62" s="9">
        <f t="shared" si="5"/>
        <v>1861.9192401074156</v>
      </c>
      <c r="K62" s="9">
        <f t="shared" si="5"/>
        <v>1388.8792401074156</v>
      </c>
      <c r="L62" s="26">
        <f>I62/J62</f>
        <v>0.26067026486093764</v>
      </c>
      <c r="N62" s="48" t="s">
        <v>3</v>
      </c>
      <c r="O62" s="49">
        <f>J6</f>
        <v>27</v>
      </c>
      <c r="P62" s="49">
        <f>ROUND(O62*(1+L$59),2)</f>
        <v>65.2</v>
      </c>
      <c r="Q62" s="50">
        <f>ROUND(O62*(1+L$64),2)</f>
        <v>42.06</v>
      </c>
    </row>
    <row r="63" spans="1:17" x14ac:dyDescent="0.2">
      <c r="A63" s="83">
        <v>5</v>
      </c>
      <c r="B63" s="10">
        <v>2149.7580034459493</v>
      </c>
      <c r="C63" s="10">
        <v>519.29828963509351</v>
      </c>
      <c r="D63" s="10">
        <f t="shared" si="4"/>
        <v>1861.9192401074156</v>
      </c>
      <c r="E63" s="10">
        <f t="shared" si="4"/>
        <v>1388.8792401074156</v>
      </c>
      <c r="G63" s="17">
        <v>47.637304122106308</v>
      </c>
      <c r="H63" s="11">
        <f>MAX(0,$B63+(I$7-8327))</f>
        <v>2149.7580034459493</v>
      </c>
      <c r="I63" s="10">
        <f>C63</f>
        <v>519.29828963509351</v>
      </c>
      <c r="J63" s="9">
        <f t="shared" si="5"/>
        <v>1861.9192401074156</v>
      </c>
      <c r="K63" s="9">
        <f t="shared" si="5"/>
        <v>1388.8792401074156</v>
      </c>
      <c r="L63" s="27">
        <f>I63/J63</f>
        <v>0.27890484100971791</v>
      </c>
    </row>
    <row r="64" spans="1:17" x14ac:dyDescent="0.2">
      <c r="A64" s="53" t="s">
        <v>30</v>
      </c>
      <c r="B64" s="54">
        <f>AVERAGE(B59:B63)</f>
        <v>2229.5298705287678</v>
      </c>
      <c r="C64" s="54">
        <f>AVERAGE(C59:C63)</f>
        <v>1038.8295439752292</v>
      </c>
      <c r="D64" s="54">
        <f>AVERAGE(D59:D63)</f>
        <v>1861.9192401074156</v>
      </c>
      <c r="E64" s="55">
        <f>AVERAGE(E59:E63)</f>
        <v>1388.8792401074156</v>
      </c>
      <c r="G64" s="57">
        <f t="shared" ref="G64:L64" si="6">AVERAGE(G59:G63)</f>
        <v>70.495218668852132</v>
      </c>
      <c r="H64" s="58">
        <f t="shared" si="6"/>
        <v>2229.5298705287678</v>
      </c>
      <c r="I64" s="56">
        <f t="shared" si="6"/>
        <v>1038.8295439752292</v>
      </c>
      <c r="J64" s="56">
        <f t="shared" si="6"/>
        <v>1861.9192401074156</v>
      </c>
      <c r="K64" s="56">
        <f t="shared" si="6"/>
        <v>1388.8792401074156</v>
      </c>
      <c r="L64" s="59">
        <f t="shared" si="6"/>
        <v>0.55793480275508534</v>
      </c>
    </row>
  </sheetData>
  <mergeCells count="6">
    <mergeCell ref="H2:K2"/>
    <mergeCell ref="A13:Q13"/>
    <mergeCell ref="A14:Q14"/>
    <mergeCell ref="P56:Q56"/>
    <mergeCell ref="P31:Q31"/>
    <mergeCell ref="P19:Q19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1:M56"/>
  <sheetViews>
    <sheetView workbookViewId="0"/>
  </sheetViews>
  <sheetFormatPr defaultRowHeight="12.75" x14ac:dyDescent="0.2"/>
  <cols>
    <col min="5" max="5" width="51.42578125" bestFit="1" customWidth="1"/>
    <col min="6" max="6" width="20.85546875" customWidth="1"/>
    <col min="7" max="7" width="48.7109375" bestFit="1" customWidth="1"/>
    <col min="8" max="8" width="13.7109375" customWidth="1"/>
    <col min="9" max="9" width="51.42578125" bestFit="1" customWidth="1"/>
    <col min="10" max="10" width="12" bestFit="1" customWidth="1"/>
    <col min="11" max="11" width="51.5703125" bestFit="1" customWidth="1"/>
    <col min="12" max="12" width="12" bestFit="1" customWidth="1"/>
    <col min="13" max="13" width="51.42578125" bestFit="1" customWidth="1"/>
  </cols>
  <sheetData>
    <row r="1" spans="4:13" x14ac:dyDescent="0.2">
      <c r="D1" t="s">
        <v>148</v>
      </c>
    </row>
    <row r="2" spans="4:13" x14ac:dyDescent="0.2">
      <c r="D2" t="s">
        <v>151</v>
      </c>
    </row>
    <row r="3" spans="4:13" x14ac:dyDescent="0.2">
      <c r="D3" t="s">
        <v>149</v>
      </c>
    </row>
    <row r="4" spans="4:13" x14ac:dyDescent="0.2">
      <c r="D4" t="s">
        <v>152</v>
      </c>
    </row>
    <row r="5" spans="4:13" x14ac:dyDescent="0.2">
      <c r="D5" t="s">
        <v>150</v>
      </c>
    </row>
    <row r="6" spans="4:13" x14ac:dyDescent="0.2">
      <c r="D6" t="s">
        <v>153</v>
      </c>
    </row>
    <row r="7" spans="4:13" x14ac:dyDescent="0.2">
      <c r="D7" t="s">
        <v>154</v>
      </c>
      <c r="E7" t="s">
        <v>155</v>
      </c>
    </row>
    <row r="9" spans="4:13" x14ac:dyDescent="0.2">
      <c r="D9" t="s">
        <v>116</v>
      </c>
    </row>
    <row r="10" spans="4:13" x14ac:dyDescent="0.2">
      <c r="D10" t="s">
        <v>94</v>
      </c>
      <c r="E10" t="s">
        <v>115</v>
      </c>
      <c r="F10" t="s">
        <v>94</v>
      </c>
      <c r="G10" t="s">
        <v>115</v>
      </c>
      <c r="H10" t="s">
        <v>94</v>
      </c>
      <c r="I10" t="s">
        <v>115</v>
      </c>
      <c r="J10" t="s">
        <v>94</v>
      </c>
      <c r="K10" t="s">
        <v>115</v>
      </c>
      <c r="L10" t="s">
        <v>94</v>
      </c>
      <c r="M10" t="s">
        <v>115</v>
      </c>
    </row>
    <row r="11" spans="4:13" x14ac:dyDescent="0.2">
      <c r="D11" s="13" t="s">
        <v>16</v>
      </c>
      <c r="E11" s="13" t="s">
        <v>16</v>
      </c>
      <c r="F11" s="7" t="s">
        <v>9</v>
      </c>
      <c r="G11" s="7" t="s">
        <v>9</v>
      </c>
      <c r="H11" s="7" t="s">
        <v>10</v>
      </c>
      <c r="I11" s="7" t="s">
        <v>10</v>
      </c>
      <c r="J11" s="7" t="s">
        <v>11</v>
      </c>
      <c r="K11" s="7" t="s">
        <v>11</v>
      </c>
      <c r="L11" s="7" t="s">
        <v>12</v>
      </c>
      <c r="M11" s="7" t="s">
        <v>12</v>
      </c>
    </row>
    <row r="12" spans="4:13" x14ac:dyDescent="0.2">
      <c r="D12" s="14" t="s">
        <v>17</v>
      </c>
      <c r="E12" s="14" t="s">
        <v>17</v>
      </c>
      <c r="F12" s="8" t="s">
        <v>13</v>
      </c>
      <c r="G12" s="8" t="s">
        <v>13</v>
      </c>
      <c r="H12" s="8" t="s">
        <v>14</v>
      </c>
      <c r="I12" s="8" t="s">
        <v>14</v>
      </c>
      <c r="J12" s="8" t="s">
        <v>15</v>
      </c>
      <c r="K12" s="8" t="s">
        <v>15</v>
      </c>
      <c r="L12" s="8" t="s">
        <v>15</v>
      </c>
      <c r="M12" s="8" t="s">
        <v>15</v>
      </c>
    </row>
    <row r="13" spans="4:13" x14ac:dyDescent="0.2">
      <c r="D13">
        <f>'Attachment 1A'!G22</f>
        <v>138.35236194758585</v>
      </c>
      <c r="E13" s="93" t="s">
        <v>114</v>
      </c>
      <c r="F13">
        <f>'Attachment 1A'!H22</f>
        <v>2549.6575308641973</v>
      </c>
      <c r="G13" s="93" t="s">
        <v>95</v>
      </c>
      <c r="H13">
        <f>'Attachment 1A'!I22</f>
        <v>2634.5363977575335</v>
      </c>
      <c r="I13" s="93" t="s">
        <v>96</v>
      </c>
      <c r="J13">
        <f>'Attachment 1A'!J22</f>
        <v>1639.3022846399999</v>
      </c>
      <c r="K13" s="93" t="s">
        <v>97</v>
      </c>
      <c r="L13">
        <f>'Attachment 1A'!K22</f>
        <v>1166.26228464</v>
      </c>
      <c r="M13" s="93" t="s">
        <v>121</v>
      </c>
    </row>
    <row r="14" spans="4:13" x14ac:dyDescent="0.2">
      <c r="D14">
        <f>'Attachment 1A'!G23</f>
        <v>74.91582365051589</v>
      </c>
      <c r="E14" s="93" t="s">
        <v>98</v>
      </c>
      <c r="F14">
        <f>'Attachment 1A'!H23</f>
        <v>2287.3465062331256</v>
      </c>
      <c r="G14" s="93" t="s">
        <v>99</v>
      </c>
      <c r="H14">
        <f>'Attachment 1A'!I23</f>
        <v>1093.5637737880784</v>
      </c>
      <c r="I14" s="93" t="s">
        <v>100</v>
      </c>
      <c r="J14">
        <f>'Attachment 1A'!J23</f>
        <v>1648.4813630400001</v>
      </c>
      <c r="K14" s="93" t="s">
        <v>101</v>
      </c>
      <c r="L14">
        <f>'Attachment 1A'!K23</f>
        <v>1175.4413630399999</v>
      </c>
      <c r="M14" s="93" t="s">
        <v>117</v>
      </c>
    </row>
    <row r="15" spans="4:13" x14ac:dyDescent="0.2">
      <c r="D15">
        <f>'Attachment 1A'!G24</f>
        <v>44.317271549854695</v>
      </c>
      <c r="E15" s="93" t="s">
        <v>102</v>
      </c>
      <c r="F15">
        <f>'Attachment 1A'!H24</f>
        <v>2159.8687517146777</v>
      </c>
      <c r="G15" s="93" t="s">
        <v>103</v>
      </c>
      <c r="H15">
        <f>'Attachment 1A'!I24</f>
        <v>461.402277226965</v>
      </c>
      <c r="I15" s="93" t="s">
        <v>104</v>
      </c>
      <c r="J15">
        <f>'Attachment 1A'!J24</f>
        <v>1656.32182584</v>
      </c>
      <c r="K15" s="93" t="s">
        <v>105</v>
      </c>
      <c r="L15">
        <f>'Attachment 1A'!K24</f>
        <v>1183.28182584</v>
      </c>
      <c r="M15" s="93" t="s">
        <v>118</v>
      </c>
    </row>
    <row r="16" spans="4:13" x14ac:dyDescent="0.2">
      <c r="D16">
        <f>'Attachment 1A'!G25</f>
        <v>47.253332074197957</v>
      </c>
      <c r="E16" s="93" t="s">
        <v>106</v>
      </c>
      <c r="F16">
        <f>'Attachment 1A'!H25</f>
        <v>2001.018560385889</v>
      </c>
      <c r="G16" s="93" t="s">
        <v>107</v>
      </c>
      <c r="H16">
        <f>'Attachment 1A'!I25</f>
        <v>485.34698146847575</v>
      </c>
      <c r="I16" s="93" t="s">
        <v>108</v>
      </c>
      <c r="J16">
        <f>'Attachment 1A'!J25</f>
        <v>1667.7956738400001</v>
      </c>
      <c r="K16" s="93" t="s">
        <v>109</v>
      </c>
      <c r="L16">
        <f>'Attachment 1A'!K25</f>
        <v>1194.7556738399999</v>
      </c>
      <c r="M16" s="93" t="s">
        <v>119</v>
      </c>
    </row>
    <row r="17" spans="4:13" x14ac:dyDescent="0.2">
      <c r="D17">
        <f>'Attachment 1A'!G26</f>
        <v>47.637304122106308</v>
      </c>
      <c r="E17" s="93" t="s">
        <v>110</v>
      </c>
      <c r="F17">
        <f>'Attachment 1A'!H26</f>
        <v>2149.7580034459493</v>
      </c>
      <c r="G17" s="93" t="s">
        <v>111</v>
      </c>
      <c r="H17">
        <f>'Attachment 1A'!I26</f>
        <v>519.29828963509351</v>
      </c>
      <c r="I17" s="93" t="s">
        <v>112</v>
      </c>
      <c r="J17">
        <f>'Attachment 1A'!J26</f>
        <v>1677.5484446400001</v>
      </c>
      <c r="K17" s="93" t="s">
        <v>113</v>
      </c>
      <c r="L17">
        <f>'Attachment 1A'!K26</f>
        <v>1204.5084446399999</v>
      </c>
      <c r="M17" s="93" t="s">
        <v>120</v>
      </c>
    </row>
    <row r="21" spans="4:13" x14ac:dyDescent="0.2">
      <c r="D21" t="s">
        <v>147</v>
      </c>
    </row>
    <row r="22" spans="4:13" x14ac:dyDescent="0.2">
      <c r="D22" t="s">
        <v>94</v>
      </c>
      <c r="E22" t="s">
        <v>115</v>
      </c>
      <c r="F22" t="s">
        <v>94</v>
      </c>
      <c r="G22" t="s">
        <v>115</v>
      </c>
      <c r="H22" t="s">
        <v>94</v>
      </c>
      <c r="I22" t="s">
        <v>115</v>
      </c>
      <c r="J22" t="s">
        <v>94</v>
      </c>
      <c r="K22" t="s">
        <v>115</v>
      </c>
      <c r="L22" t="s">
        <v>94</v>
      </c>
      <c r="M22" t="s">
        <v>115</v>
      </c>
    </row>
    <row r="23" spans="4:13" x14ac:dyDescent="0.2">
      <c r="D23" s="13" t="s">
        <v>16</v>
      </c>
      <c r="E23" s="13" t="s">
        <v>16</v>
      </c>
      <c r="F23" s="7" t="s">
        <v>9</v>
      </c>
      <c r="G23" s="7" t="s">
        <v>9</v>
      </c>
      <c r="H23" s="7" t="s">
        <v>10</v>
      </c>
      <c r="I23" s="7" t="s">
        <v>10</v>
      </c>
      <c r="J23" s="7" t="s">
        <v>11</v>
      </c>
      <c r="K23" s="7" t="s">
        <v>11</v>
      </c>
      <c r="L23" s="7" t="s">
        <v>12</v>
      </c>
      <c r="M23" s="7" t="s">
        <v>12</v>
      </c>
    </row>
    <row r="24" spans="4:13" x14ac:dyDescent="0.2">
      <c r="D24" s="14" t="s">
        <v>17</v>
      </c>
      <c r="E24" s="14" t="s">
        <v>17</v>
      </c>
      <c r="F24" s="8" t="s">
        <v>13</v>
      </c>
      <c r="G24" s="8" t="s">
        <v>13</v>
      </c>
      <c r="H24" s="8" t="s">
        <v>14</v>
      </c>
      <c r="I24" s="8" t="s">
        <v>14</v>
      </c>
      <c r="J24" s="8" t="s">
        <v>15</v>
      </c>
      <c r="K24" s="8" t="s">
        <v>15</v>
      </c>
      <c r="L24" s="8" t="s">
        <v>15</v>
      </c>
      <c r="M24" s="8" t="s">
        <v>15</v>
      </c>
    </row>
    <row r="25" spans="4:13" x14ac:dyDescent="0.2">
      <c r="D25">
        <f>'Attachment 1A'!G34</f>
        <v>138.35236194758585</v>
      </c>
      <c r="E25" s="93" t="s">
        <v>146</v>
      </c>
      <c r="F25">
        <f>'Attachment 1A'!H34</f>
        <v>1014.3637658220908</v>
      </c>
      <c r="G25" s="93" t="s">
        <v>122</v>
      </c>
      <c r="H25">
        <f>'Attachment 1A'!I34</f>
        <v>1037.1507340286282</v>
      </c>
      <c r="I25" s="93" t="s">
        <v>123</v>
      </c>
      <c r="J25">
        <f>'Attachment 1A'!J34</f>
        <v>1258.40637696</v>
      </c>
      <c r="K25" s="93" t="s">
        <v>124</v>
      </c>
      <c r="L25">
        <f>'Attachment 1A'!K34</f>
        <v>1258.40637696</v>
      </c>
      <c r="M25" s="93" t="s">
        <v>125</v>
      </c>
    </row>
    <row r="26" spans="4:13" x14ac:dyDescent="0.2">
      <c r="D26">
        <f>'Attachment 1A'!G35</f>
        <v>74.91582365051589</v>
      </c>
      <c r="E26" s="93" t="s">
        <v>126</v>
      </c>
      <c r="F26">
        <f>'Attachment 1A'!H35</f>
        <v>800.73162353755981</v>
      </c>
      <c r="G26" s="93" t="s">
        <v>127</v>
      </c>
      <c r="H26">
        <f>'Attachment 1A'!I35</f>
        <v>378.41147896464139</v>
      </c>
      <c r="I26" s="93" t="s">
        <v>128</v>
      </c>
      <c r="J26">
        <f>'Attachment 1A'!J35</f>
        <v>1278.4856109599998</v>
      </c>
      <c r="K26" s="93" t="s">
        <v>129</v>
      </c>
      <c r="L26">
        <f>'Attachment 1A'!K35</f>
        <v>1278.4856109599998</v>
      </c>
      <c r="M26" s="93" t="s">
        <v>130</v>
      </c>
    </row>
    <row r="27" spans="4:13" x14ac:dyDescent="0.2">
      <c r="D27">
        <f>'Attachment 1A'!G36</f>
        <v>44.317271549854695</v>
      </c>
      <c r="E27" s="93" t="s">
        <v>131</v>
      </c>
      <c r="F27">
        <f>'Attachment 1A'!H36</f>
        <v>714.02540557111013</v>
      </c>
      <c r="G27" s="93" t="s">
        <v>132</v>
      </c>
      <c r="H27">
        <f>'Attachment 1A'!I36</f>
        <v>146.25008138508616</v>
      </c>
      <c r="I27" s="93" t="s">
        <v>133</v>
      </c>
      <c r="J27">
        <f>'Attachment 1A'!J36</f>
        <v>1297.2262293599999</v>
      </c>
      <c r="K27" s="93" t="s">
        <v>134</v>
      </c>
      <c r="L27">
        <f>'Attachment 1A'!K36</f>
        <v>1297.2262293599999</v>
      </c>
      <c r="M27" s="93" t="s">
        <v>135</v>
      </c>
    </row>
    <row r="28" spans="4:13" x14ac:dyDescent="0.2">
      <c r="D28">
        <f>'Attachment 1A'!G37</f>
        <v>47.253332074197957</v>
      </c>
      <c r="E28" s="93" t="s">
        <v>136</v>
      </c>
      <c r="F28">
        <f>'Attachment 1A'!H37</f>
        <v>600.34365726685519</v>
      </c>
      <c r="G28" s="93" t="s">
        <v>137</v>
      </c>
      <c r="H28">
        <f>'Attachment 1A'!I37</f>
        <v>130.87405737906067</v>
      </c>
      <c r="I28" s="93" t="s">
        <v>138</v>
      </c>
      <c r="J28">
        <f>'Attachment 1A'!J37</f>
        <v>1316.92300176</v>
      </c>
      <c r="K28" s="93" t="s">
        <v>139</v>
      </c>
      <c r="L28">
        <f>'Attachment 1A'!K37</f>
        <v>1316.92300176</v>
      </c>
      <c r="M28" s="93" t="s">
        <v>140</v>
      </c>
    </row>
    <row r="29" spans="4:13" x14ac:dyDescent="0.2">
      <c r="D29">
        <f>'Attachment 1A'!G38</f>
        <v>47.637304122106308</v>
      </c>
      <c r="E29" s="93" t="s">
        <v>141</v>
      </c>
      <c r="F29">
        <f>'Attachment 1A'!H38</f>
        <v>773.30639564609555</v>
      </c>
      <c r="G29" s="93" t="s">
        <v>142</v>
      </c>
      <c r="H29">
        <f>'Attachment 1A'!I38</f>
        <v>181.75856055407723</v>
      </c>
      <c r="I29" s="93" t="s">
        <v>143</v>
      </c>
      <c r="J29">
        <f>'Attachment 1A'!J38</f>
        <v>1332.0302349599997</v>
      </c>
      <c r="K29" s="93" t="s">
        <v>144</v>
      </c>
      <c r="L29">
        <f>'Attachment 1A'!K38</f>
        <v>1332.0302349599997</v>
      </c>
      <c r="M29" s="93" t="s">
        <v>145</v>
      </c>
    </row>
    <row r="30" spans="4:13" x14ac:dyDescent="0.2">
      <c r="E30" s="93"/>
      <c r="G30" s="93"/>
      <c r="I30" s="93"/>
      <c r="K30" s="93"/>
      <c r="M30" s="93"/>
    </row>
    <row r="31" spans="4:13" x14ac:dyDescent="0.2">
      <c r="E31" s="93"/>
      <c r="G31" s="93"/>
      <c r="I31" s="93"/>
      <c r="K31" s="93"/>
      <c r="M31" s="93"/>
    </row>
    <row r="32" spans="4:13" x14ac:dyDescent="0.2">
      <c r="D32" t="s">
        <v>147</v>
      </c>
    </row>
    <row r="33" spans="4:13" x14ac:dyDescent="0.2">
      <c r="D33" t="s">
        <v>94</v>
      </c>
      <c r="E33" t="s">
        <v>115</v>
      </c>
      <c r="F33" t="s">
        <v>94</v>
      </c>
      <c r="G33" t="s">
        <v>115</v>
      </c>
      <c r="H33" t="s">
        <v>94</v>
      </c>
      <c r="I33" t="s">
        <v>115</v>
      </c>
      <c r="J33" t="s">
        <v>94</v>
      </c>
      <c r="K33" t="s">
        <v>115</v>
      </c>
      <c r="L33" t="s">
        <v>94</v>
      </c>
      <c r="M33" t="s">
        <v>115</v>
      </c>
    </row>
    <row r="34" spans="4:13" x14ac:dyDescent="0.2">
      <c r="D34" s="13" t="s">
        <v>16</v>
      </c>
      <c r="E34" s="13" t="s">
        <v>16</v>
      </c>
      <c r="F34" s="7" t="s">
        <v>9</v>
      </c>
      <c r="G34" s="7" t="s">
        <v>9</v>
      </c>
      <c r="H34" s="7" t="s">
        <v>10</v>
      </c>
      <c r="I34" s="7" t="s">
        <v>10</v>
      </c>
      <c r="J34" s="7" t="s">
        <v>11</v>
      </c>
      <c r="K34" s="7" t="s">
        <v>11</v>
      </c>
      <c r="L34" s="7" t="s">
        <v>12</v>
      </c>
      <c r="M34" s="7" t="s">
        <v>12</v>
      </c>
    </row>
    <row r="35" spans="4:13" x14ac:dyDescent="0.2">
      <c r="D35" s="14" t="s">
        <v>17</v>
      </c>
      <c r="E35" s="14" t="s">
        <v>17</v>
      </c>
      <c r="F35" s="8" t="s">
        <v>13</v>
      </c>
      <c r="G35" s="8" t="s">
        <v>13</v>
      </c>
      <c r="H35" s="8" t="s">
        <v>14</v>
      </c>
      <c r="I35" s="8" t="s">
        <v>14</v>
      </c>
      <c r="J35" s="8" t="s">
        <v>15</v>
      </c>
      <c r="K35" s="8" t="s">
        <v>15</v>
      </c>
      <c r="L35" s="8" t="s">
        <v>15</v>
      </c>
      <c r="M35" s="8" t="s">
        <v>15</v>
      </c>
    </row>
    <row r="36" spans="4:13" x14ac:dyDescent="0.2">
      <c r="D36">
        <f>'Attachment 1A'!G59</f>
        <v>138.35236194758585</v>
      </c>
      <c r="E36" s="93" t="s">
        <v>146</v>
      </c>
      <c r="F36">
        <f>'Attachment 1A'!H59</f>
        <v>2549.6575308641973</v>
      </c>
      <c r="G36" s="93" t="s">
        <v>122</v>
      </c>
      <c r="H36">
        <f>'Attachment 1A'!I59</f>
        <v>2634.5363977575335</v>
      </c>
      <c r="I36" s="93" t="s">
        <v>123</v>
      </c>
      <c r="J36">
        <f>'Attachment 1A'!J59</f>
        <v>1861.9192401074156</v>
      </c>
      <c r="K36" s="93" t="s">
        <v>124</v>
      </c>
      <c r="L36">
        <f>'Attachment 1A'!K59</f>
        <v>1388.8792401074156</v>
      </c>
      <c r="M36" s="93" t="s">
        <v>125</v>
      </c>
    </row>
    <row r="37" spans="4:13" x14ac:dyDescent="0.2">
      <c r="D37">
        <f>'Attachment 1A'!G60</f>
        <v>74.91582365051589</v>
      </c>
      <c r="E37" s="93" t="s">
        <v>126</v>
      </c>
      <c r="F37">
        <f>'Attachment 1A'!H60</f>
        <v>2287.3465062331256</v>
      </c>
      <c r="G37" s="93" t="s">
        <v>127</v>
      </c>
      <c r="H37">
        <f>'Attachment 1A'!I60</f>
        <v>1093.5637737880784</v>
      </c>
      <c r="I37" s="93" t="s">
        <v>128</v>
      </c>
      <c r="J37">
        <f>'Attachment 1A'!J60</f>
        <v>1861.9192401074156</v>
      </c>
      <c r="K37" s="93" t="s">
        <v>129</v>
      </c>
      <c r="L37">
        <f>'Attachment 1A'!K60</f>
        <v>1388.8792401074156</v>
      </c>
      <c r="M37" s="93" t="s">
        <v>130</v>
      </c>
    </row>
    <row r="38" spans="4:13" x14ac:dyDescent="0.2">
      <c r="D38">
        <f>'Attachment 1A'!G61</f>
        <v>44.317271549854695</v>
      </c>
      <c r="E38" s="93" t="s">
        <v>131</v>
      </c>
      <c r="F38">
        <f>'Attachment 1A'!H61</f>
        <v>2159.8687517146777</v>
      </c>
      <c r="G38" s="93" t="s">
        <v>132</v>
      </c>
      <c r="H38">
        <f>'Attachment 1A'!I61</f>
        <v>461.402277226965</v>
      </c>
      <c r="I38" s="93" t="s">
        <v>133</v>
      </c>
      <c r="J38">
        <f>'Attachment 1A'!J61</f>
        <v>1861.9192401074156</v>
      </c>
      <c r="K38" s="93" t="s">
        <v>134</v>
      </c>
      <c r="L38">
        <f>'Attachment 1A'!K61</f>
        <v>1388.8792401074156</v>
      </c>
      <c r="M38" s="93" t="s">
        <v>135</v>
      </c>
    </row>
    <row r="39" spans="4:13" x14ac:dyDescent="0.2">
      <c r="D39">
        <f>'Attachment 1A'!G62</f>
        <v>47.253332074197957</v>
      </c>
      <c r="E39" s="93" t="s">
        <v>136</v>
      </c>
      <c r="F39">
        <f>'Attachment 1A'!H62</f>
        <v>2001.018560385889</v>
      </c>
      <c r="G39" s="93" t="s">
        <v>137</v>
      </c>
      <c r="H39">
        <f>'Attachment 1A'!I62</f>
        <v>485.34698146847575</v>
      </c>
      <c r="I39" s="93" t="s">
        <v>138</v>
      </c>
      <c r="J39">
        <f>'Attachment 1A'!J62</f>
        <v>1861.9192401074156</v>
      </c>
      <c r="K39" s="93" t="s">
        <v>139</v>
      </c>
      <c r="L39">
        <f>'Attachment 1A'!K62</f>
        <v>1388.8792401074156</v>
      </c>
      <c r="M39" s="93" t="s">
        <v>140</v>
      </c>
    </row>
    <row r="40" spans="4:13" x14ac:dyDescent="0.2">
      <c r="D40">
        <f>'Attachment 1A'!G63</f>
        <v>47.637304122106308</v>
      </c>
      <c r="E40" s="93" t="s">
        <v>141</v>
      </c>
      <c r="F40">
        <f>'Attachment 1A'!H63</f>
        <v>2149.7580034459493</v>
      </c>
      <c r="G40" s="93" t="s">
        <v>142</v>
      </c>
      <c r="H40">
        <f>'Attachment 1A'!I63</f>
        <v>519.29828963509351</v>
      </c>
      <c r="I40" s="93" t="s">
        <v>143</v>
      </c>
      <c r="J40">
        <f>'Attachment 1A'!J63</f>
        <v>1861.9192401074156</v>
      </c>
      <c r="K40" s="93" t="s">
        <v>144</v>
      </c>
      <c r="L40">
        <f>'Attachment 1A'!K63</f>
        <v>1388.8792401074156</v>
      </c>
      <c r="M40" s="93" t="s">
        <v>145</v>
      </c>
    </row>
    <row r="55" spans="5:13" x14ac:dyDescent="0.2">
      <c r="E55" s="93"/>
      <c r="G55" s="93"/>
      <c r="I55" s="93"/>
      <c r="K55" s="93"/>
      <c r="M55" s="93"/>
    </row>
    <row r="56" spans="5:13" x14ac:dyDescent="0.2">
      <c r="E56" s="93"/>
      <c r="G56" s="93"/>
      <c r="I56" s="93"/>
      <c r="K56" s="93"/>
      <c r="M56" s="9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Q64"/>
  <sheetViews>
    <sheetView topLeftCell="A12" workbookViewId="0">
      <selection activeCell="A12" sqref="A12"/>
    </sheetView>
  </sheetViews>
  <sheetFormatPr defaultRowHeight="12.75" x14ac:dyDescent="0.2"/>
  <cols>
    <col min="5" max="5" width="9.7109375" bestFit="1" customWidth="1"/>
    <col min="15" max="15" width="11.85546875" customWidth="1"/>
    <col min="30" max="31" width="9.28515625" bestFit="1" customWidth="1"/>
  </cols>
  <sheetData>
    <row r="2" spans="1:17" x14ac:dyDescent="0.2">
      <c r="B2" s="12"/>
      <c r="C2" s="12"/>
      <c r="D2" s="12"/>
      <c r="E2" s="12"/>
      <c r="F2" s="12"/>
      <c r="H2" s="117" t="s">
        <v>8</v>
      </c>
      <c r="I2" s="117"/>
      <c r="J2" s="117"/>
      <c r="K2" s="117"/>
      <c r="L2" s="22"/>
      <c r="M2" s="22"/>
      <c r="N2" s="22"/>
      <c r="O2" s="22"/>
      <c r="P2" s="22"/>
      <c r="Q2" s="22"/>
    </row>
    <row r="3" spans="1:17" x14ac:dyDescent="0.2">
      <c r="B3" s="5"/>
      <c r="C3" s="5"/>
      <c r="D3" s="5"/>
      <c r="E3" s="5"/>
      <c r="F3" s="5"/>
      <c r="H3" s="1" t="s">
        <v>0</v>
      </c>
      <c r="I3">
        <f>4343+1611-46-67-2000</f>
        <v>3841</v>
      </c>
      <c r="J3">
        <v>21.83</v>
      </c>
      <c r="K3" s="5">
        <f>I3*J3*8760/1000000</f>
        <v>734.51750279999999</v>
      </c>
      <c r="L3" s="5"/>
      <c r="M3" s="5"/>
      <c r="N3" s="5"/>
      <c r="O3" s="5"/>
      <c r="P3" s="5"/>
      <c r="Q3" s="5"/>
    </row>
    <row r="4" spans="1:17" x14ac:dyDescent="0.2">
      <c r="B4" s="5"/>
      <c r="C4" s="5"/>
      <c r="D4" s="5"/>
      <c r="E4" s="19"/>
      <c r="F4" s="5"/>
      <c r="H4" s="1" t="s">
        <v>1</v>
      </c>
      <c r="I4" s="2">
        <v>1486</v>
      </c>
      <c r="J4">
        <v>23</v>
      </c>
      <c r="K4" s="5">
        <f>I4*J4*8760/1000000</f>
        <v>299.39927999999998</v>
      </c>
      <c r="L4" s="5"/>
      <c r="M4" s="5"/>
      <c r="N4" s="5"/>
      <c r="O4" s="5"/>
      <c r="P4" s="5"/>
      <c r="Q4" s="5"/>
    </row>
    <row r="5" spans="1:17" x14ac:dyDescent="0.2">
      <c r="B5" s="5"/>
      <c r="C5" s="5"/>
      <c r="D5" s="5"/>
      <c r="E5" s="5"/>
      <c r="F5" s="5"/>
      <c r="H5" s="1" t="s">
        <v>2</v>
      </c>
      <c r="I5">
        <v>1000</v>
      </c>
      <c r="J5">
        <v>19.260000000000002</v>
      </c>
      <c r="K5" s="5">
        <f>I5*J5*8760/1000000</f>
        <v>168.7176</v>
      </c>
      <c r="L5" s="5"/>
      <c r="M5" s="5"/>
      <c r="N5" s="5"/>
      <c r="O5" s="5"/>
      <c r="P5" s="5"/>
      <c r="Q5" s="5"/>
    </row>
    <row r="6" spans="1:17" x14ac:dyDescent="0.2">
      <c r="B6" s="5"/>
      <c r="C6" s="5"/>
      <c r="D6" s="5"/>
      <c r="E6" s="5"/>
      <c r="F6" s="5"/>
      <c r="H6" s="1" t="s">
        <v>3</v>
      </c>
      <c r="I6">
        <v>2000</v>
      </c>
      <c r="J6">
        <v>27</v>
      </c>
      <c r="K6" s="5">
        <f>I6*J6*8760/1000000</f>
        <v>473.04</v>
      </c>
      <c r="L6" s="5"/>
      <c r="M6" s="5"/>
      <c r="N6" s="5"/>
      <c r="O6" s="5"/>
      <c r="P6" s="5"/>
      <c r="Q6" s="5"/>
    </row>
    <row r="7" spans="1:17" x14ac:dyDescent="0.2">
      <c r="B7" s="5"/>
      <c r="C7" s="5"/>
      <c r="D7" s="5"/>
      <c r="E7" s="18"/>
      <c r="F7" s="5"/>
      <c r="H7" s="1" t="s">
        <v>4</v>
      </c>
      <c r="I7">
        <f>SUM(I3:I6)</f>
        <v>8327</v>
      </c>
      <c r="K7" s="5">
        <f>SUM(K3:K6)</f>
        <v>1675.6743827999999</v>
      </c>
      <c r="L7" s="5"/>
      <c r="M7" s="5"/>
      <c r="N7" s="5"/>
      <c r="O7" s="5"/>
      <c r="P7" s="5"/>
      <c r="Q7" s="5"/>
    </row>
    <row r="8" spans="1:17" x14ac:dyDescent="0.2">
      <c r="B8" s="5"/>
      <c r="C8" s="5"/>
      <c r="D8" s="5"/>
      <c r="E8" s="5"/>
      <c r="F8" s="5"/>
      <c r="H8" s="1"/>
      <c r="I8" s="3"/>
      <c r="J8" s="4" t="s">
        <v>5</v>
      </c>
      <c r="K8" s="5">
        <f>K7</f>
        <v>1675.6743827999999</v>
      </c>
      <c r="L8" s="5"/>
      <c r="M8" s="5"/>
      <c r="N8" s="5"/>
      <c r="O8" s="5"/>
      <c r="P8" s="5"/>
      <c r="Q8" s="5"/>
    </row>
    <row r="9" spans="1:17" x14ac:dyDescent="0.2">
      <c r="B9" s="5"/>
      <c r="C9" s="5"/>
      <c r="D9" s="5"/>
      <c r="E9" s="5"/>
      <c r="F9" s="5"/>
      <c r="J9" s="4" t="s">
        <v>6</v>
      </c>
      <c r="K9" s="5">
        <f>SUM(K3:K5)</f>
        <v>1202.6343827999999</v>
      </c>
      <c r="L9" s="5"/>
      <c r="M9" s="5"/>
      <c r="N9" s="5"/>
      <c r="O9" s="5"/>
      <c r="P9" s="5"/>
      <c r="Q9" s="5"/>
    </row>
    <row r="10" spans="1:17" x14ac:dyDescent="0.2">
      <c r="B10" s="5"/>
      <c r="I10" t="s">
        <v>22</v>
      </c>
      <c r="K10" s="29">
        <f>K9/K8</f>
        <v>0.71770171767526525</v>
      </c>
    </row>
    <row r="11" spans="1:17" x14ac:dyDescent="0.2">
      <c r="B11" s="5"/>
      <c r="C11" s="6"/>
      <c r="D11" s="5"/>
      <c r="E11" s="6"/>
      <c r="F11" s="6"/>
      <c r="I11" t="s">
        <v>7</v>
      </c>
      <c r="K11" s="6">
        <f>K7/I7/0.876</f>
        <v>0.22971902245706735</v>
      </c>
      <c r="L11" s="6"/>
      <c r="M11" s="6"/>
      <c r="N11" s="6"/>
      <c r="O11" s="6"/>
      <c r="P11" s="6"/>
      <c r="Q11" s="6"/>
    </row>
    <row r="12" spans="1:17" x14ac:dyDescent="0.2">
      <c r="B12" s="5"/>
    </row>
    <row r="13" spans="1:17" ht="20.25" x14ac:dyDescent="0.3">
      <c r="A13" s="118" t="s">
        <v>42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</row>
    <row r="14" spans="1:17" ht="20.25" x14ac:dyDescent="0.3">
      <c r="A14" s="118" t="s">
        <v>43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</row>
    <row r="15" spans="1:17" ht="20.25" x14ac:dyDescent="0.3">
      <c r="A15" s="68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</row>
    <row r="16" spans="1:17" x14ac:dyDescent="0.2">
      <c r="B16" s="5"/>
    </row>
    <row r="17" spans="1:17" x14ac:dyDescent="0.2">
      <c r="B17" s="51" t="s">
        <v>25</v>
      </c>
    </row>
    <row r="18" spans="1:17" x14ac:dyDescent="0.2">
      <c r="B18" s="37" t="s">
        <v>32</v>
      </c>
      <c r="G18" s="21"/>
    </row>
    <row r="19" spans="1:17" x14ac:dyDescent="0.2">
      <c r="A19" s="24"/>
      <c r="B19" s="24" t="s">
        <v>9</v>
      </c>
      <c r="C19" s="7" t="s">
        <v>10</v>
      </c>
      <c r="D19" s="7" t="s">
        <v>11</v>
      </c>
      <c r="E19" s="7" t="s">
        <v>12</v>
      </c>
      <c r="G19" s="13" t="s">
        <v>16</v>
      </c>
      <c r="H19" s="7" t="s">
        <v>9</v>
      </c>
      <c r="I19" s="7" t="s">
        <v>10</v>
      </c>
      <c r="J19" s="7" t="s">
        <v>11</v>
      </c>
      <c r="K19" s="7" t="s">
        <v>12</v>
      </c>
      <c r="L19" s="24" t="s">
        <v>18</v>
      </c>
      <c r="N19" s="13" t="s">
        <v>27</v>
      </c>
      <c r="O19" s="42" t="s">
        <v>26</v>
      </c>
      <c r="P19" s="119" t="s">
        <v>50</v>
      </c>
      <c r="Q19" s="120"/>
    </row>
    <row r="20" spans="1:17" x14ac:dyDescent="0.2">
      <c r="A20" s="52" t="s">
        <v>29</v>
      </c>
      <c r="B20" s="25" t="s">
        <v>13</v>
      </c>
      <c r="C20" s="8" t="s">
        <v>14</v>
      </c>
      <c r="D20" s="8" t="s">
        <v>15</v>
      </c>
      <c r="E20" s="8" t="s">
        <v>15</v>
      </c>
      <c r="G20" s="14" t="s">
        <v>17</v>
      </c>
      <c r="H20" s="8" t="s">
        <v>13</v>
      </c>
      <c r="I20" s="8" t="s">
        <v>14</v>
      </c>
      <c r="J20" s="8" t="s">
        <v>15</v>
      </c>
      <c r="K20" s="8" t="s">
        <v>15</v>
      </c>
      <c r="L20" s="25" t="s">
        <v>19</v>
      </c>
      <c r="N20" s="14" t="s">
        <v>28</v>
      </c>
      <c r="O20" s="44" t="s">
        <v>49</v>
      </c>
      <c r="P20" s="44" t="s">
        <v>20</v>
      </c>
      <c r="Q20" s="45" t="s">
        <v>21</v>
      </c>
    </row>
    <row r="21" spans="1:17" x14ac:dyDescent="0.2">
      <c r="A21" s="15"/>
      <c r="B21" s="64" t="s">
        <v>40</v>
      </c>
      <c r="C21" s="63" t="s">
        <v>38</v>
      </c>
      <c r="D21" s="63" t="s">
        <v>38</v>
      </c>
      <c r="E21" s="63" t="s">
        <v>38</v>
      </c>
      <c r="F21" s="12"/>
      <c r="G21" s="64" t="s">
        <v>39</v>
      </c>
      <c r="H21" s="63" t="s">
        <v>40</v>
      </c>
      <c r="I21" s="63" t="s">
        <v>38</v>
      </c>
      <c r="J21" s="63" t="s">
        <v>38</v>
      </c>
      <c r="K21" s="63" t="s">
        <v>38</v>
      </c>
      <c r="L21" s="15"/>
      <c r="N21" s="64"/>
      <c r="O21" s="65" t="s">
        <v>39</v>
      </c>
      <c r="P21" s="65" t="s">
        <v>39</v>
      </c>
      <c r="Q21" s="66" t="s">
        <v>39</v>
      </c>
    </row>
    <row r="22" spans="1:17" x14ac:dyDescent="0.2">
      <c r="A22" s="82">
        <v>1</v>
      </c>
      <c r="B22" s="84">
        <v>2549.6575308641973</v>
      </c>
      <c r="C22" s="9">
        <v>4179.5363977575344</v>
      </c>
      <c r="D22" s="9">
        <v>1639.3022846399999</v>
      </c>
      <c r="E22" s="9">
        <v>1166.26228464</v>
      </c>
      <c r="G22" s="16">
        <v>207.52630428246823</v>
      </c>
      <c r="H22" s="9">
        <f>MAX(0,$B22+(I$7-8327))</f>
        <v>2549.6575308641973</v>
      </c>
      <c r="I22" s="9">
        <f t="shared" ref="I22:K26" si="0">C22</f>
        <v>4179.5363977575344</v>
      </c>
      <c r="J22" s="9">
        <f t="shared" si="0"/>
        <v>1639.3022846399999</v>
      </c>
      <c r="K22" s="9">
        <f t="shared" si="0"/>
        <v>1166.26228464</v>
      </c>
      <c r="L22" s="28">
        <f>I22/J22</f>
        <v>2.549582488183614</v>
      </c>
      <c r="N22" s="15" t="s">
        <v>0</v>
      </c>
      <c r="O22" s="46">
        <f>J3</f>
        <v>21.83</v>
      </c>
      <c r="P22" s="46">
        <f>ROUND(O22*(1+L$22),2)</f>
        <v>77.489999999999995</v>
      </c>
      <c r="Q22" s="47">
        <f>ROUND(O22*(1+L$27),2)</f>
        <v>41.67</v>
      </c>
    </row>
    <row r="23" spans="1:17" x14ac:dyDescent="0.2">
      <c r="A23" s="82">
        <v>2</v>
      </c>
      <c r="B23" s="84">
        <v>2287.3465062331256</v>
      </c>
      <c r="C23" s="9">
        <v>1838.9637737880785</v>
      </c>
      <c r="D23" s="9">
        <v>1648.4813630400001</v>
      </c>
      <c r="E23" s="9">
        <v>1175.4413630399999</v>
      </c>
      <c r="G23" s="16">
        <v>112.1167129644154</v>
      </c>
      <c r="H23" s="9">
        <f>MAX(0,$B23+(I$7-8327))</f>
        <v>2287.3465062331256</v>
      </c>
      <c r="I23" s="9">
        <f t="shared" si="0"/>
        <v>1838.9637737880785</v>
      </c>
      <c r="J23" s="9">
        <f t="shared" si="0"/>
        <v>1648.4813630400001</v>
      </c>
      <c r="K23" s="9">
        <f t="shared" si="0"/>
        <v>1175.4413630399999</v>
      </c>
      <c r="L23" s="26">
        <f>I23/J23</f>
        <v>1.1155502361256942</v>
      </c>
      <c r="N23" s="15" t="s">
        <v>1</v>
      </c>
      <c r="O23" s="46">
        <f>J4</f>
        <v>23</v>
      </c>
      <c r="P23" s="46">
        <f>ROUND(O23*(1+L$22),2)</f>
        <v>81.64</v>
      </c>
      <c r="Q23" s="47">
        <f>ROUND(O23*(1+L$27),2)</f>
        <v>43.9</v>
      </c>
    </row>
    <row r="24" spans="1:17" x14ac:dyDescent="0.2">
      <c r="A24" s="82">
        <v>3</v>
      </c>
      <c r="B24" s="84">
        <v>2159.8687517146777</v>
      </c>
      <c r="C24" s="9">
        <v>461.402277226965</v>
      </c>
      <c r="D24" s="9">
        <v>1656.32182584</v>
      </c>
      <c r="E24" s="9">
        <v>1183.28182584</v>
      </c>
      <c r="G24" s="16">
        <v>44.317271549854695</v>
      </c>
      <c r="H24" s="9">
        <f>MAX(0,$B24+(I$7-8327))</f>
        <v>2159.8687517146777</v>
      </c>
      <c r="I24" s="9">
        <f t="shared" si="0"/>
        <v>461.402277226965</v>
      </c>
      <c r="J24" s="9">
        <f t="shared" si="0"/>
        <v>1656.32182584</v>
      </c>
      <c r="K24" s="9">
        <f t="shared" si="0"/>
        <v>1183.28182584</v>
      </c>
      <c r="L24" s="26">
        <f>I24/J24</f>
        <v>0.27857042636805551</v>
      </c>
      <c r="N24" s="15" t="s">
        <v>2</v>
      </c>
      <c r="O24" s="46">
        <f>J5</f>
        <v>19.260000000000002</v>
      </c>
      <c r="P24" s="46">
        <f>ROUND(O24*(1+L$22),2)</f>
        <v>68.36</v>
      </c>
      <c r="Q24" s="47">
        <f>ROUND(O24*(1+L$27),2)</f>
        <v>36.76</v>
      </c>
    </row>
    <row r="25" spans="1:17" x14ac:dyDescent="0.2">
      <c r="A25" s="82">
        <v>4</v>
      </c>
      <c r="B25" s="84">
        <v>2001.018560385889</v>
      </c>
      <c r="C25" s="9">
        <v>485.34698146847575</v>
      </c>
      <c r="D25" s="9">
        <v>1667.7956738400001</v>
      </c>
      <c r="E25" s="9">
        <v>1194.7556738399999</v>
      </c>
      <c r="G25" s="16">
        <v>47.253332074197957</v>
      </c>
      <c r="H25" s="9">
        <f>MAX(0,$B25+(I$7-8327))</f>
        <v>2001.018560385889</v>
      </c>
      <c r="I25" s="9">
        <f t="shared" si="0"/>
        <v>485.34698146847575</v>
      </c>
      <c r="J25" s="9">
        <f t="shared" si="0"/>
        <v>1667.7956738400001</v>
      </c>
      <c r="K25" s="9">
        <f t="shared" si="0"/>
        <v>1194.7556738399999</v>
      </c>
      <c r="L25" s="26">
        <f>I25/J25</f>
        <v>0.291011056738739</v>
      </c>
      <c r="N25" s="48" t="s">
        <v>3</v>
      </c>
      <c r="O25" s="49">
        <f>J6</f>
        <v>27</v>
      </c>
      <c r="P25" s="49">
        <f>ROUND(O25*(1+L$22),2)</f>
        <v>95.84</v>
      </c>
      <c r="Q25" s="50">
        <f>ROUND(O25*(1+L$27),2)</f>
        <v>51.54</v>
      </c>
    </row>
    <row r="26" spans="1:17" x14ac:dyDescent="0.2">
      <c r="A26" s="83">
        <v>5</v>
      </c>
      <c r="B26" s="11">
        <v>2149.7580034459493</v>
      </c>
      <c r="C26" s="10">
        <v>519.29828963509351</v>
      </c>
      <c r="D26" s="10">
        <v>1677.5484446400001</v>
      </c>
      <c r="E26" s="10">
        <v>1204.5084446399999</v>
      </c>
      <c r="G26" s="17">
        <v>47.637304122106308</v>
      </c>
      <c r="H26" s="11">
        <f>MAX(0,$B26+(I$7-8327))</f>
        <v>2149.7580034459493</v>
      </c>
      <c r="I26" s="11">
        <f t="shared" si="0"/>
        <v>519.29828963509351</v>
      </c>
      <c r="J26" s="11">
        <f t="shared" si="0"/>
        <v>1677.5484446400001</v>
      </c>
      <c r="K26" s="10">
        <f t="shared" si="0"/>
        <v>1204.5084446399999</v>
      </c>
      <c r="L26" s="27">
        <f>I26/J26</f>
        <v>0.30955784990551155</v>
      </c>
    </row>
    <row r="27" spans="1:17" x14ac:dyDescent="0.2">
      <c r="A27" s="81" t="s">
        <v>30</v>
      </c>
      <c r="B27" s="54">
        <f>AVERAGE(B22:B26)</f>
        <v>2229.5298705287678</v>
      </c>
      <c r="C27" s="54">
        <f>AVERAGE(C22:C26)</f>
        <v>1496.9095439752296</v>
      </c>
      <c r="D27" s="54">
        <f>AVERAGE(D22:D26)</f>
        <v>1657.8899184000002</v>
      </c>
      <c r="E27" s="55">
        <f>AVERAGE(E22:E26)</f>
        <v>1184.8499183999998</v>
      </c>
      <c r="G27" s="69">
        <f t="shared" ref="G27:L27" si="1">AVERAGE(G22:G26)</f>
        <v>91.770184998608514</v>
      </c>
      <c r="H27" s="58">
        <f t="shared" si="1"/>
        <v>2229.5298705287678</v>
      </c>
      <c r="I27" s="56">
        <f t="shared" si="1"/>
        <v>1496.9095439752296</v>
      </c>
      <c r="J27" s="56">
        <f t="shared" si="1"/>
        <v>1657.8899184000002</v>
      </c>
      <c r="K27" s="56">
        <f t="shared" si="1"/>
        <v>1184.8499183999998</v>
      </c>
      <c r="L27" s="59">
        <f t="shared" si="1"/>
        <v>0.90885441146432289</v>
      </c>
    </row>
    <row r="28" spans="1:17" x14ac:dyDescent="0.2">
      <c r="A28" s="41"/>
      <c r="B28" s="60"/>
      <c r="C28" s="40"/>
      <c r="D28" s="40"/>
      <c r="E28" s="40"/>
      <c r="G28" s="60"/>
      <c r="H28" s="61"/>
      <c r="I28" s="60"/>
      <c r="J28" s="60"/>
      <c r="K28" s="60"/>
      <c r="L28" s="62"/>
    </row>
    <row r="29" spans="1:17" x14ac:dyDescent="0.2">
      <c r="B29" s="37" t="s">
        <v>24</v>
      </c>
    </row>
    <row r="30" spans="1:17" x14ac:dyDescent="0.2">
      <c r="B30" s="37" t="s">
        <v>31</v>
      </c>
      <c r="F30" s="20"/>
    </row>
    <row r="31" spans="1:17" x14ac:dyDescent="0.2">
      <c r="A31" s="24"/>
      <c r="B31" s="24" t="s">
        <v>9</v>
      </c>
      <c r="C31" s="7" t="s">
        <v>10</v>
      </c>
      <c r="D31" s="7" t="s">
        <v>11</v>
      </c>
      <c r="E31" s="7" t="s">
        <v>12</v>
      </c>
      <c r="G31" s="13" t="s">
        <v>16</v>
      </c>
      <c r="H31" s="7" t="s">
        <v>9</v>
      </c>
      <c r="I31" s="7" t="s">
        <v>10</v>
      </c>
      <c r="J31" s="7" t="s">
        <v>11</v>
      </c>
      <c r="K31" s="7" t="s">
        <v>12</v>
      </c>
      <c r="L31" s="24" t="s">
        <v>18</v>
      </c>
      <c r="N31" s="13" t="s">
        <v>27</v>
      </c>
      <c r="O31" s="42" t="s">
        <v>26</v>
      </c>
      <c r="P31" s="119" t="s">
        <v>50</v>
      </c>
      <c r="Q31" s="120"/>
    </row>
    <row r="32" spans="1:17" x14ac:dyDescent="0.2">
      <c r="A32" s="52" t="s">
        <v>29</v>
      </c>
      <c r="B32" s="25" t="s">
        <v>13</v>
      </c>
      <c r="C32" s="8" t="s">
        <v>14</v>
      </c>
      <c r="D32" s="8" t="s">
        <v>15</v>
      </c>
      <c r="E32" s="8" t="s">
        <v>15</v>
      </c>
      <c r="G32" s="14" t="s">
        <v>17</v>
      </c>
      <c r="H32" s="8" t="s">
        <v>13</v>
      </c>
      <c r="I32" s="8" t="s">
        <v>14</v>
      </c>
      <c r="J32" s="8" t="s">
        <v>15</v>
      </c>
      <c r="K32" s="8" t="s">
        <v>15</v>
      </c>
      <c r="L32" s="25" t="s">
        <v>19</v>
      </c>
      <c r="N32" s="14" t="s">
        <v>28</v>
      </c>
      <c r="O32" s="44" t="s">
        <v>49</v>
      </c>
      <c r="P32" s="44" t="s">
        <v>20</v>
      </c>
      <c r="Q32" s="45" t="s">
        <v>21</v>
      </c>
    </row>
    <row r="33" spans="1:17" x14ac:dyDescent="0.2">
      <c r="A33" s="15"/>
      <c r="B33" s="63" t="s">
        <v>40</v>
      </c>
      <c r="C33" s="63" t="s">
        <v>38</v>
      </c>
      <c r="D33" s="63" t="s">
        <v>38</v>
      </c>
      <c r="E33" s="63" t="s">
        <v>38</v>
      </c>
      <c r="F33" s="12"/>
      <c r="G33" s="64" t="s">
        <v>39</v>
      </c>
      <c r="H33" s="63" t="s">
        <v>40</v>
      </c>
      <c r="I33" s="63" t="s">
        <v>38</v>
      </c>
      <c r="J33" s="63" t="s">
        <v>38</v>
      </c>
      <c r="K33" s="63" t="s">
        <v>38</v>
      </c>
      <c r="L33" s="15"/>
      <c r="N33" s="64"/>
      <c r="O33" s="65" t="s">
        <v>39</v>
      </c>
      <c r="P33" s="65" t="s">
        <v>39</v>
      </c>
      <c r="Q33" s="66" t="s">
        <v>39</v>
      </c>
    </row>
    <row r="34" spans="1:17" x14ac:dyDescent="0.2">
      <c r="A34" s="82">
        <v>1</v>
      </c>
      <c r="B34" s="9">
        <v>1006</v>
      </c>
      <c r="C34" s="9">
        <v>1626</v>
      </c>
      <c r="D34" s="9">
        <v>1348.9</v>
      </c>
      <c r="E34" s="9">
        <v>875.9</v>
      </c>
      <c r="G34" s="16">
        <v>207.52630428246823</v>
      </c>
      <c r="H34" s="9">
        <f>MAX(0,$B34+(I$7-8327))</f>
        <v>1006</v>
      </c>
      <c r="I34" s="9">
        <f t="shared" ref="I34:K38" si="2">C34</f>
        <v>1626</v>
      </c>
      <c r="J34" s="9">
        <f t="shared" si="2"/>
        <v>1348.9</v>
      </c>
      <c r="K34" s="9">
        <f t="shared" si="2"/>
        <v>875.9</v>
      </c>
      <c r="L34" s="28">
        <f>I34/J34</f>
        <v>1.2054266439320926</v>
      </c>
      <c r="N34" s="15" t="s">
        <v>0</v>
      </c>
      <c r="O34" s="46">
        <f>J3</f>
        <v>21.83</v>
      </c>
      <c r="P34" s="46">
        <f>ROUND(O34*(1+L$34),2)</f>
        <v>48.14</v>
      </c>
      <c r="Q34" s="47">
        <f>ROUND(O34*(1+L$39),2)</f>
        <v>30.18</v>
      </c>
    </row>
    <row r="35" spans="1:17" x14ac:dyDescent="0.2">
      <c r="A35" s="82">
        <v>2</v>
      </c>
      <c r="B35" s="9">
        <v>744</v>
      </c>
      <c r="C35" s="9">
        <v>585</v>
      </c>
      <c r="D35" s="9">
        <v>1358.1</v>
      </c>
      <c r="E35" s="9">
        <v>885</v>
      </c>
      <c r="G35" s="16">
        <v>112.1167129644154</v>
      </c>
      <c r="H35" s="9">
        <f>MAX(0,$B35+(I$7-8327))</f>
        <v>744</v>
      </c>
      <c r="I35" s="9">
        <f t="shared" si="2"/>
        <v>585</v>
      </c>
      <c r="J35" s="9">
        <f t="shared" si="2"/>
        <v>1358.1</v>
      </c>
      <c r="K35" s="9">
        <f t="shared" si="2"/>
        <v>885</v>
      </c>
      <c r="L35" s="26">
        <f>I35/J35</f>
        <v>0.43074884029158383</v>
      </c>
      <c r="N35" s="15" t="s">
        <v>1</v>
      </c>
      <c r="O35" s="46">
        <f>J4</f>
        <v>23</v>
      </c>
      <c r="P35" s="46">
        <f>ROUND(O35*(1+L$34),2)</f>
        <v>50.72</v>
      </c>
      <c r="Q35" s="47">
        <f>ROUND(O35*(1+L$39),2)</f>
        <v>31.8</v>
      </c>
    </row>
    <row r="36" spans="1:17" x14ac:dyDescent="0.2">
      <c r="A36" s="82">
        <v>3</v>
      </c>
      <c r="B36" s="9">
        <v>616</v>
      </c>
      <c r="C36" s="9">
        <v>129</v>
      </c>
      <c r="D36" s="9">
        <v>1365.9</v>
      </c>
      <c r="E36" s="9">
        <v>892.9</v>
      </c>
      <c r="G36" s="16">
        <v>44.317271549854695</v>
      </c>
      <c r="H36" s="9">
        <f>MAX(0,$B36+(I$7-8327))</f>
        <v>616</v>
      </c>
      <c r="I36" s="9">
        <f t="shared" si="2"/>
        <v>129</v>
      </c>
      <c r="J36" s="9">
        <f t="shared" si="2"/>
        <v>1365.9</v>
      </c>
      <c r="K36" s="9">
        <f t="shared" si="2"/>
        <v>892.9</v>
      </c>
      <c r="L36" s="26">
        <f>I36/J36</f>
        <v>9.444322424774873E-2</v>
      </c>
      <c r="N36" s="15" t="s">
        <v>2</v>
      </c>
      <c r="O36" s="46">
        <f>J5</f>
        <v>19.260000000000002</v>
      </c>
      <c r="P36" s="46">
        <f>ROUND(O36*(1+L$34),2)</f>
        <v>42.48</v>
      </c>
      <c r="Q36" s="47">
        <f>ROUND(O36*(1+L$39),2)</f>
        <v>26.63</v>
      </c>
    </row>
    <row r="37" spans="1:17" x14ac:dyDescent="0.2">
      <c r="A37" s="82">
        <v>4</v>
      </c>
      <c r="B37" s="9">
        <v>458</v>
      </c>
      <c r="C37" s="9">
        <v>105</v>
      </c>
      <c r="D37" s="9">
        <v>1377.4</v>
      </c>
      <c r="E37" s="9">
        <v>904.4</v>
      </c>
      <c r="G37" s="16">
        <v>47.253332074197957</v>
      </c>
      <c r="H37" s="9">
        <f>MAX(0,$B37+(I$7-8327))</f>
        <v>458</v>
      </c>
      <c r="I37" s="9">
        <f t="shared" si="2"/>
        <v>105</v>
      </c>
      <c r="J37" s="9">
        <f t="shared" si="2"/>
        <v>1377.4</v>
      </c>
      <c r="K37" s="9">
        <f t="shared" si="2"/>
        <v>904.4</v>
      </c>
      <c r="L37" s="26">
        <f>I37/J37</f>
        <v>7.6230579352403072E-2</v>
      </c>
      <c r="N37" s="48" t="s">
        <v>3</v>
      </c>
      <c r="O37" s="49">
        <f>J6</f>
        <v>27</v>
      </c>
      <c r="P37" s="49">
        <f>ROUND(O37*(1+L$34),2)</f>
        <v>59.55</v>
      </c>
      <c r="Q37" s="50">
        <f>ROUND(O37*(1+L$39),2)</f>
        <v>37.33</v>
      </c>
    </row>
    <row r="38" spans="1:17" x14ac:dyDescent="0.2">
      <c r="A38" s="83">
        <v>5</v>
      </c>
      <c r="B38" s="10">
        <v>609</v>
      </c>
      <c r="C38" s="10">
        <v>146</v>
      </c>
      <c r="D38" s="10">
        <v>1387.2</v>
      </c>
      <c r="E38" s="10">
        <v>914.1</v>
      </c>
      <c r="G38" s="17">
        <v>47.637304122106308</v>
      </c>
      <c r="H38" s="11">
        <f>MAX(0,$B38+(I$7-8327))</f>
        <v>609</v>
      </c>
      <c r="I38" s="11">
        <f t="shared" si="2"/>
        <v>146</v>
      </c>
      <c r="J38" s="11">
        <f t="shared" si="2"/>
        <v>1387.2</v>
      </c>
      <c r="K38" s="10">
        <f t="shared" si="2"/>
        <v>914.1</v>
      </c>
      <c r="L38" s="27">
        <f>I38/J38</f>
        <v>0.10524798154555939</v>
      </c>
    </row>
    <row r="39" spans="1:17" x14ac:dyDescent="0.2">
      <c r="A39" s="53" t="s">
        <v>30</v>
      </c>
      <c r="B39" s="54">
        <f>AVERAGE(B34:B38)</f>
        <v>686.6</v>
      </c>
      <c r="C39" s="54">
        <f>AVERAGE(C34:C38)</f>
        <v>518.20000000000005</v>
      </c>
      <c r="D39" s="54">
        <f>AVERAGE(D34:D38)</f>
        <v>1367.5</v>
      </c>
      <c r="E39" s="55">
        <f>AVERAGE(E34:E38)</f>
        <v>894.46</v>
      </c>
      <c r="G39" s="57">
        <f t="shared" ref="G39:L39" si="3">AVERAGE(G34:G38)</f>
        <v>91.770184998608514</v>
      </c>
      <c r="H39" s="58">
        <f t="shared" si="3"/>
        <v>686.6</v>
      </c>
      <c r="I39" s="56">
        <f t="shared" si="3"/>
        <v>518.20000000000005</v>
      </c>
      <c r="J39" s="56">
        <f t="shared" si="3"/>
        <v>1367.5</v>
      </c>
      <c r="K39" s="56">
        <f t="shared" si="3"/>
        <v>894.46</v>
      </c>
      <c r="L39" s="59">
        <f t="shared" si="3"/>
        <v>0.38241945387387749</v>
      </c>
    </row>
    <row r="41" spans="1:17" x14ac:dyDescent="0.2">
      <c r="B41" s="37" t="s">
        <v>46</v>
      </c>
    </row>
    <row r="42" spans="1:17" x14ac:dyDescent="0.2">
      <c r="B42" s="37" t="s">
        <v>32</v>
      </c>
    </row>
    <row r="43" spans="1:17" x14ac:dyDescent="0.2">
      <c r="B43" s="37" t="s">
        <v>48</v>
      </c>
    </row>
    <row r="44" spans="1:17" ht="42" customHeight="1" x14ac:dyDescent="0.2">
      <c r="B44" s="39"/>
      <c r="C44" s="70" t="s">
        <v>47</v>
      </c>
      <c r="D44" s="78" t="s">
        <v>51</v>
      </c>
      <c r="E44" s="77" t="s">
        <v>52</v>
      </c>
    </row>
    <row r="45" spans="1:17" x14ac:dyDescent="0.2">
      <c r="B45" s="72" t="s">
        <v>0</v>
      </c>
      <c r="C45" s="40">
        <f>4343+1611-46-67-2000</f>
        <v>3841</v>
      </c>
      <c r="D45" s="40">
        <v>21.83</v>
      </c>
      <c r="E45" s="31">
        <f>C45*D45*8760/1000000</f>
        <v>734.51750279999999</v>
      </c>
    </row>
    <row r="46" spans="1:17" x14ac:dyDescent="0.2">
      <c r="B46" s="72" t="s">
        <v>1</v>
      </c>
      <c r="C46" s="73">
        <v>1486</v>
      </c>
      <c r="D46" s="74">
        <f>(AVERAGE(G22:G26)*496+990*20.68)/C46</f>
        <v>44.408621641527475</v>
      </c>
      <c r="E46" s="31">
        <f>C46*D46*8760/1000000</f>
        <v>578.08301501155404</v>
      </c>
      <c r="F46" s="79" t="s">
        <v>54</v>
      </c>
      <c r="G46" t="str">
        <f>"DSI LB CRAC Rate of $"&amp;TEXT(D46,"00.00")&amp;"/MWh = (496 aMW x $"&amp;TEXT(G64,"00.0")&amp;" + 990 aMW x $20.68)/1486 aMW"</f>
        <v>DSI LB CRAC Rate of $44.41/MWh = (496 aMW x $91.8 + 990 aMW x $20.68)/1486 aMW</v>
      </c>
    </row>
    <row r="47" spans="1:17" x14ac:dyDescent="0.2">
      <c r="B47" s="72" t="s">
        <v>2</v>
      </c>
      <c r="C47" s="40">
        <v>1000</v>
      </c>
      <c r="D47" s="40">
        <v>19.260000000000002</v>
      </c>
      <c r="E47" s="31">
        <f>C47*D47*8760/1000000</f>
        <v>168.7176</v>
      </c>
    </row>
    <row r="48" spans="1:17" x14ac:dyDescent="0.2">
      <c r="B48" s="72" t="s">
        <v>3</v>
      </c>
      <c r="C48" s="40">
        <v>2000</v>
      </c>
      <c r="D48" s="40">
        <v>27</v>
      </c>
      <c r="E48" s="31">
        <f>C48*D48*8760/1000000</f>
        <v>473.04</v>
      </c>
    </row>
    <row r="49" spans="1:17" x14ac:dyDescent="0.2">
      <c r="B49" s="75" t="s">
        <v>4</v>
      </c>
      <c r="C49" s="76">
        <f>SUM(C45:C48)</f>
        <v>8327</v>
      </c>
      <c r="D49" s="76"/>
      <c r="E49" s="32">
        <f>SUM(E45:E48)</f>
        <v>1954.3581178115539</v>
      </c>
    </row>
    <row r="50" spans="1:17" x14ac:dyDescent="0.2">
      <c r="B50" s="1"/>
      <c r="C50" s="3"/>
      <c r="D50" s="4" t="s">
        <v>5</v>
      </c>
      <c r="E50" s="5">
        <f>E49</f>
        <v>1954.3581178115539</v>
      </c>
    </row>
    <row r="51" spans="1:17" x14ac:dyDescent="0.2">
      <c r="D51" s="4" t="s">
        <v>6</v>
      </c>
      <c r="E51" s="5">
        <f>SUM(E45:E47)</f>
        <v>1481.318117811554</v>
      </c>
      <c r="F51" s="79" t="s">
        <v>54</v>
      </c>
      <c r="G51" t="s">
        <v>53</v>
      </c>
    </row>
    <row r="52" spans="1:17" x14ac:dyDescent="0.2">
      <c r="D52" t="s">
        <v>22</v>
      </c>
      <c r="E52" s="29">
        <f>E51/E50</f>
        <v>0.75795633579699329</v>
      </c>
    </row>
    <row r="53" spans="1:17" x14ac:dyDescent="0.2">
      <c r="C53" t="s">
        <v>7</v>
      </c>
      <c r="E53" s="19">
        <f>E49/C49/0.00876</f>
        <v>26.7923912284508</v>
      </c>
    </row>
    <row r="54" spans="1:17" x14ac:dyDescent="0.2">
      <c r="B54" s="37"/>
    </row>
    <row r="55" spans="1:17" x14ac:dyDescent="0.2">
      <c r="B55" s="37"/>
    </row>
    <row r="56" spans="1:17" x14ac:dyDescent="0.2">
      <c r="A56" s="24"/>
      <c r="B56" s="24" t="s">
        <v>9</v>
      </c>
      <c r="C56" s="7" t="s">
        <v>10</v>
      </c>
      <c r="D56" s="7" t="s">
        <v>11</v>
      </c>
      <c r="E56" s="7" t="s">
        <v>12</v>
      </c>
      <c r="G56" s="13" t="s">
        <v>16</v>
      </c>
      <c r="H56" s="7" t="s">
        <v>9</v>
      </c>
      <c r="I56" s="7" t="s">
        <v>10</v>
      </c>
      <c r="J56" s="7" t="s">
        <v>11</v>
      </c>
      <c r="K56" s="7" t="s">
        <v>12</v>
      </c>
      <c r="L56" s="24" t="s">
        <v>18</v>
      </c>
      <c r="N56" s="13" t="s">
        <v>27</v>
      </c>
      <c r="O56" s="42" t="s">
        <v>26</v>
      </c>
      <c r="P56" s="119" t="s">
        <v>50</v>
      </c>
      <c r="Q56" s="120"/>
    </row>
    <row r="57" spans="1:17" x14ac:dyDescent="0.2">
      <c r="A57" s="52" t="s">
        <v>29</v>
      </c>
      <c r="B57" s="25" t="s">
        <v>13</v>
      </c>
      <c r="C57" s="8" t="s">
        <v>14</v>
      </c>
      <c r="D57" s="8" t="s">
        <v>15</v>
      </c>
      <c r="E57" s="8" t="s">
        <v>15</v>
      </c>
      <c r="G57" s="14" t="s">
        <v>17</v>
      </c>
      <c r="H57" s="8" t="s">
        <v>13</v>
      </c>
      <c r="I57" s="8" t="s">
        <v>14</v>
      </c>
      <c r="J57" s="8" t="s">
        <v>15</v>
      </c>
      <c r="K57" s="8" t="s">
        <v>15</v>
      </c>
      <c r="L57" s="25" t="s">
        <v>19</v>
      </c>
      <c r="N57" s="14" t="s">
        <v>28</v>
      </c>
      <c r="O57" s="44" t="s">
        <v>49</v>
      </c>
      <c r="P57" s="44" t="s">
        <v>20</v>
      </c>
      <c r="Q57" s="45" t="s">
        <v>21</v>
      </c>
    </row>
    <row r="58" spans="1:17" x14ac:dyDescent="0.2">
      <c r="A58" s="15"/>
      <c r="B58" s="63" t="s">
        <v>40</v>
      </c>
      <c r="C58" s="63" t="s">
        <v>38</v>
      </c>
      <c r="D58" s="63" t="s">
        <v>38</v>
      </c>
      <c r="E58" s="63" t="s">
        <v>38</v>
      </c>
      <c r="G58" s="64" t="s">
        <v>39</v>
      </c>
      <c r="H58" s="63" t="s">
        <v>40</v>
      </c>
      <c r="I58" s="63" t="s">
        <v>38</v>
      </c>
      <c r="J58" s="63" t="s">
        <v>38</v>
      </c>
      <c r="K58" s="63" t="s">
        <v>38</v>
      </c>
      <c r="L58" s="15"/>
      <c r="N58" s="64"/>
      <c r="O58" s="65" t="s">
        <v>39</v>
      </c>
      <c r="P58" s="65" t="s">
        <v>39</v>
      </c>
      <c r="Q58" s="66" t="s">
        <v>39</v>
      </c>
    </row>
    <row r="59" spans="1:17" x14ac:dyDescent="0.2">
      <c r="A59" s="82">
        <v>1</v>
      </c>
      <c r="B59" s="9">
        <v>2549.6575308641973</v>
      </c>
      <c r="C59" s="9">
        <v>4179.5363977575344</v>
      </c>
      <c r="D59" s="9">
        <f>E50</f>
        <v>1954.3581178115539</v>
      </c>
      <c r="E59" s="9">
        <f>E51</f>
        <v>1481.318117811554</v>
      </c>
      <c r="G59" s="16">
        <v>207.52630428246823</v>
      </c>
      <c r="H59" s="9">
        <f>MAX(0,$B59+(I$7-8327))</f>
        <v>2549.6575308641973</v>
      </c>
      <c r="I59" s="9">
        <f>C59</f>
        <v>4179.5363977575344</v>
      </c>
      <c r="J59" s="9">
        <f>E50</f>
        <v>1954.3581178115539</v>
      </c>
      <c r="K59" s="9">
        <f>E51</f>
        <v>1481.318117811554</v>
      </c>
      <c r="L59" s="28">
        <f>I59/J59</f>
        <v>2.138572434430638</v>
      </c>
      <c r="N59" s="15" t="s">
        <v>0</v>
      </c>
      <c r="O59" s="46">
        <f>J3</f>
        <v>21.83</v>
      </c>
      <c r="P59" s="46">
        <f>ROUND(O59*(1+L$59),2)</f>
        <v>68.52</v>
      </c>
      <c r="Q59" s="47">
        <f>ROUND(O59*(1+L$64),2)</f>
        <v>38.549999999999997</v>
      </c>
    </row>
    <row r="60" spans="1:17" x14ac:dyDescent="0.2">
      <c r="A60" s="82">
        <v>2</v>
      </c>
      <c r="B60" s="9">
        <v>2287.3465062331256</v>
      </c>
      <c r="C60" s="9">
        <v>1838.9637737880785</v>
      </c>
      <c r="D60" s="9">
        <f t="shared" ref="D60:E63" si="4">D59</f>
        <v>1954.3581178115539</v>
      </c>
      <c r="E60" s="9">
        <f t="shared" si="4"/>
        <v>1481.318117811554</v>
      </c>
      <c r="G60" s="16">
        <v>112.1167129644154</v>
      </c>
      <c r="H60" s="9">
        <f>MAX(0,$B60+(I$7-8327))</f>
        <v>2287.3465062331256</v>
      </c>
      <c r="I60" s="9">
        <f>C60</f>
        <v>1838.9637737880785</v>
      </c>
      <c r="J60" s="9">
        <f t="shared" ref="J60:K63" si="5">J59</f>
        <v>1954.3581178115539</v>
      </c>
      <c r="K60" s="9">
        <f t="shared" si="5"/>
        <v>1481.318117811554</v>
      </c>
      <c r="L60" s="26">
        <f>I60/J60</f>
        <v>0.94095537405770269</v>
      </c>
      <c r="N60" s="15" t="s">
        <v>1</v>
      </c>
      <c r="O60" s="46">
        <f>D46</f>
        <v>44.408621641527475</v>
      </c>
      <c r="P60" s="46">
        <f>ROUND(O60*(1+L$59),2)</f>
        <v>139.38</v>
      </c>
      <c r="Q60" s="47">
        <f>ROUND(O60*(1+L$64),2)</f>
        <v>78.42</v>
      </c>
    </row>
    <row r="61" spans="1:17" x14ac:dyDescent="0.2">
      <c r="A61" s="82">
        <v>3</v>
      </c>
      <c r="B61" s="9">
        <v>2159.8687517146777</v>
      </c>
      <c r="C61" s="9">
        <v>461.402277226965</v>
      </c>
      <c r="D61" s="9">
        <f t="shared" si="4"/>
        <v>1954.3581178115539</v>
      </c>
      <c r="E61" s="9">
        <f t="shared" si="4"/>
        <v>1481.318117811554</v>
      </c>
      <c r="G61" s="16">
        <v>44.317271549854695</v>
      </c>
      <c r="H61" s="9">
        <f>MAX(0,$B61+(I$7-8327))</f>
        <v>2159.8687517146777</v>
      </c>
      <c r="I61" s="9">
        <f>C61</f>
        <v>461.402277226965</v>
      </c>
      <c r="J61" s="9">
        <f t="shared" si="5"/>
        <v>1954.3581178115539</v>
      </c>
      <c r="K61" s="9">
        <f t="shared" si="5"/>
        <v>1481.318117811554</v>
      </c>
      <c r="L61" s="26">
        <f>I61/J61</f>
        <v>0.23608890971508992</v>
      </c>
      <c r="N61" s="15" t="s">
        <v>2</v>
      </c>
      <c r="O61" s="46">
        <f>J5</f>
        <v>19.260000000000002</v>
      </c>
      <c r="P61" s="46">
        <f>ROUND(O61*(1+L$59),2)</f>
        <v>60.45</v>
      </c>
      <c r="Q61" s="47">
        <f>ROUND(O61*(1+L$64),2)</f>
        <v>34.01</v>
      </c>
    </row>
    <row r="62" spans="1:17" x14ac:dyDescent="0.2">
      <c r="A62" s="82">
        <v>4</v>
      </c>
      <c r="B62" s="9">
        <v>2001.018560385889</v>
      </c>
      <c r="C62" s="9">
        <v>485.34698146847575</v>
      </c>
      <c r="D62" s="9">
        <f t="shared" si="4"/>
        <v>1954.3581178115539</v>
      </c>
      <c r="E62" s="9">
        <f t="shared" si="4"/>
        <v>1481.318117811554</v>
      </c>
      <c r="G62" s="16">
        <v>47.253332074197957</v>
      </c>
      <c r="H62" s="9">
        <f>MAX(0,$B62+(I$7-8327))</f>
        <v>2001.018560385889</v>
      </c>
      <c r="I62" s="9">
        <f>C62</f>
        <v>485.34698146847575</v>
      </c>
      <c r="J62" s="9">
        <f t="shared" si="5"/>
        <v>1954.3581178115539</v>
      </c>
      <c r="K62" s="9">
        <f t="shared" si="5"/>
        <v>1481.318117811554</v>
      </c>
      <c r="L62" s="26">
        <f>I62/J62</f>
        <v>0.24834086293864929</v>
      </c>
      <c r="N62" s="48" t="s">
        <v>3</v>
      </c>
      <c r="O62" s="49">
        <f>J6</f>
        <v>27</v>
      </c>
      <c r="P62" s="49">
        <f>ROUND(O62*(1+L$59),2)</f>
        <v>84.74</v>
      </c>
      <c r="Q62" s="50">
        <f>ROUND(O62*(1+L$64),2)</f>
        <v>47.68</v>
      </c>
    </row>
    <row r="63" spans="1:17" x14ac:dyDescent="0.2">
      <c r="A63" s="83">
        <v>5</v>
      </c>
      <c r="B63" s="10">
        <v>2149.7580034459493</v>
      </c>
      <c r="C63" s="10">
        <v>519.29828963509351</v>
      </c>
      <c r="D63" s="10">
        <f t="shared" si="4"/>
        <v>1954.3581178115539</v>
      </c>
      <c r="E63" s="10">
        <f t="shared" si="4"/>
        <v>1481.318117811554</v>
      </c>
      <c r="G63" s="17">
        <v>47.637304122106308</v>
      </c>
      <c r="H63" s="11">
        <f>MAX(0,$B63+(I$7-8327))</f>
        <v>2149.7580034459493</v>
      </c>
      <c r="I63" s="11">
        <f>C63</f>
        <v>519.29828963509351</v>
      </c>
      <c r="J63" s="9">
        <f t="shared" si="5"/>
        <v>1954.3581178115539</v>
      </c>
      <c r="K63" s="9">
        <f t="shared" si="5"/>
        <v>1481.318117811554</v>
      </c>
      <c r="L63" s="27">
        <f>I63/J63</f>
        <v>0.26571296473370604</v>
      </c>
    </row>
    <row r="64" spans="1:17" x14ac:dyDescent="0.2">
      <c r="A64" s="53" t="s">
        <v>30</v>
      </c>
      <c r="B64" s="54">
        <f>AVERAGE(B59:B63)</f>
        <v>2229.5298705287678</v>
      </c>
      <c r="C64" s="54">
        <f>AVERAGE(C59:C63)</f>
        <v>1496.9095439752296</v>
      </c>
      <c r="D64" s="54">
        <f>AVERAGE(D59:D63)</f>
        <v>1954.3581178115539</v>
      </c>
      <c r="E64" s="55">
        <f>AVERAGE(E59:E63)</f>
        <v>1481.318117811554</v>
      </c>
      <c r="G64" s="69">
        <f t="shared" ref="G64:L64" si="6">AVERAGE(G59:G63)</f>
        <v>91.770184998608514</v>
      </c>
      <c r="H64" s="58">
        <f t="shared" si="6"/>
        <v>2229.5298705287678</v>
      </c>
      <c r="I64" s="56">
        <f t="shared" si="6"/>
        <v>1496.9095439752296</v>
      </c>
      <c r="J64" s="56">
        <f t="shared" si="6"/>
        <v>1954.3581178115539</v>
      </c>
      <c r="K64" s="56">
        <f t="shared" si="6"/>
        <v>1481.318117811554</v>
      </c>
      <c r="L64" s="59">
        <f t="shared" si="6"/>
        <v>0.76593410917515725</v>
      </c>
    </row>
  </sheetData>
  <mergeCells count="6">
    <mergeCell ref="H2:K2"/>
    <mergeCell ref="A13:Q13"/>
    <mergeCell ref="A14:Q14"/>
    <mergeCell ref="P56:Q56"/>
    <mergeCell ref="P31:Q31"/>
    <mergeCell ref="P19:Q19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1:M40"/>
  <sheetViews>
    <sheetView topLeftCell="H31" workbookViewId="0">
      <selection activeCell="H31" sqref="H31"/>
    </sheetView>
  </sheetViews>
  <sheetFormatPr defaultRowHeight="12.75" x14ac:dyDescent="0.2"/>
  <cols>
    <col min="5" max="5" width="51.42578125" bestFit="1" customWidth="1"/>
    <col min="7" max="7" width="51.7109375" bestFit="1" customWidth="1"/>
  </cols>
  <sheetData>
    <row r="1" spans="4:13" x14ac:dyDescent="0.2">
      <c r="D1" t="s">
        <v>148</v>
      </c>
    </row>
    <row r="2" spans="4:13" x14ac:dyDescent="0.2">
      <c r="D2" t="s">
        <v>151</v>
      </c>
    </row>
    <row r="3" spans="4:13" x14ac:dyDescent="0.2">
      <c r="D3" t="s">
        <v>149</v>
      </c>
    </row>
    <row r="4" spans="4:13" x14ac:dyDescent="0.2">
      <c r="D4" t="s">
        <v>152</v>
      </c>
    </row>
    <row r="5" spans="4:13" x14ac:dyDescent="0.2">
      <c r="D5" t="s">
        <v>150</v>
      </c>
    </row>
    <row r="6" spans="4:13" x14ac:dyDescent="0.2">
      <c r="D6" t="s">
        <v>153</v>
      </c>
    </row>
    <row r="7" spans="4:13" x14ac:dyDescent="0.2">
      <c r="D7" t="s">
        <v>154</v>
      </c>
      <c r="E7" t="s">
        <v>155</v>
      </c>
    </row>
    <row r="9" spans="4:13" x14ac:dyDescent="0.2">
      <c r="D9" t="s">
        <v>116</v>
      </c>
    </row>
    <row r="10" spans="4:13" x14ac:dyDescent="0.2">
      <c r="D10" t="s">
        <v>94</v>
      </c>
      <c r="E10" t="s">
        <v>115</v>
      </c>
      <c r="F10" t="s">
        <v>94</v>
      </c>
      <c r="G10" t="s">
        <v>115</v>
      </c>
      <c r="H10" t="s">
        <v>94</v>
      </c>
      <c r="I10" t="s">
        <v>115</v>
      </c>
      <c r="J10" t="s">
        <v>94</v>
      </c>
      <c r="K10" t="s">
        <v>115</v>
      </c>
      <c r="L10" t="s">
        <v>94</v>
      </c>
      <c r="M10" t="s">
        <v>115</v>
      </c>
    </row>
    <row r="11" spans="4:13" x14ac:dyDescent="0.2">
      <c r="D11" s="13" t="s">
        <v>16</v>
      </c>
      <c r="E11" s="13" t="s">
        <v>16</v>
      </c>
      <c r="F11" s="7" t="s">
        <v>9</v>
      </c>
      <c r="G11" s="7" t="s">
        <v>9</v>
      </c>
      <c r="H11" s="7" t="s">
        <v>10</v>
      </c>
      <c r="I11" s="7" t="s">
        <v>10</v>
      </c>
      <c r="J11" s="7" t="s">
        <v>11</v>
      </c>
      <c r="K11" s="7" t="s">
        <v>11</v>
      </c>
      <c r="L11" s="7" t="s">
        <v>12</v>
      </c>
      <c r="M11" s="7" t="s">
        <v>12</v>
      </c>
    </row>
    <row r="12" spans="4:13" x14ac:dyDescent="0.2">
      <c r="D12" s="14" t="s">
        <v>17</v>
      </c>
      <c r="E12" s="14" t="s">
        <v>17</v>
      </c>
      <c r="F12" s="8" t="s">
        <v>13</v>
      </c>
      <c r="G12" s="8" t="s">
        <v>13</v>
      </c>
      <c r="H12" s="8" t="s">
        <v>14</v>
      </c>
      <c r="I12" s="8" t="s">
        <v>14</v>
      </c>
      <c r="J12" s="8" t="s">
        <v>15</v>
      </c>
      <c r="K12" s="8" t="s">
        <v>15</v>
      </c>
      <c r="L12" s="8" t="s">
        <v>15</v>
      </c>
      <c r="M12" s="8" t="s">
        <v>15</v>
      </c>
    </row>
    <row r="13" spans="4:13" x14ac:dyDescent="0.2">
      <c r="D13">
        <f>'Attachment 1B'!G22</f>
        <v>207.52630428246823</v>
      </c>
      <c r="E13" s="93" t="s">
        <v>156</v>
      </c>
      <c r="F13">
        <f>'Attachment 1B'!H22</f>
        <v>2549.6575308641973</v>
      </c>
      <c r="G13" s="93" t="s">
        <v>157</v>
      </c>
      <c r="H13">
        <f>'Attachment 1B'!I22</f>
        <v>4179.5363977575344</v>
      </c>
      <c r="I13" s="93" t="s">
        <v>158</v>
      </c>
      <c r="J13">
        <f>'Attachment 1B'!J22</f>
        <v>1639.3022846399999</v>
      </c>
      <c r="K13" s="93" t="s">
        <v>159</v>
      </c>
      <c r="L13">
        <f>'Attachment 1B'!K22</f>
        <v>1166.26228464</v>
      </c>
      <c r="M13" s="93" t="s">
        <v>160</v>
      </c>
    </row>
    <row r="14" spans="4:13" x14ac:dyDescent="0.2">
      <c r="D14">
        <f>'Attachment 1B'!G23</f>
        <v>112.1167129644154</v>
      </c>
      <c r="E14" s="93" t="s">
        <v>161</v>
      </c>
      <c r="F14">
        <f>'Attachment 1B'!H23</f>
        <v>2287.3465062331256</v>
      </c>
      <c r="G14" s="93" t="s">
        <v>162</v>
      </c>
      <c r="H14">
        <f>'Attachment 1B'!I23</f>
        <v>1838.9637737880785</v>
      </c>
      <c r="I14" s="93" t="s">
        <v>163</v>
      </c>
      <c r="J14">
        <f>'Attachment 1B'!J23</f>
        <v>1648.4813630400001</v>
      </c>
      <c r="K14" s="93" t="s">
        <v>164</v>
      </c>
      <c r="L14">
        <f>'Attachment 1B'!K23</f>
        <v>1175.4413630399999</v>
      </c>
      <c r="M14" s="93" t="s">
        <v>165</v>
      </c>
    </row>
    <row r="15" spans="4:13" x14ac:dyDescent="0.2">
      <c r="D15">
        <f>'Attachment 1B'!G24</f>
        <v>44.317271549854695</v>
      </c>
      <c r="E15" s="93" t="s">
        <v>166</v>
      </c>
      <c r="F15">
        <f>'Attachment 1B'!H24</f>
        <v>2159.8687517146777</v>
      </c>
      <c r="G15" s="93" t="s">
        <v>167</v>
      </c>
      <c r="H15">
        <f>'Attachment 1B'!I24</f>
        <v>461.402277226965</v>
      </c>
      <c r="I15" s="93" t="s">
        <v>168</v>
      </c>
      <c r="J15">
        <f>'Attachment 1B'!J24</f>
        <v>1656.32182584</v>
      </c>
      <c r="K15" s="93" t="s">
        <v>169</v>
      </c>
      <c r="L15">
        <f>'Attachment 1B'!K24</f>
        <v>1183.28182584</v>
      </c>
      <c r="M15" s="93" t="s">
        <v>170</v>
      </c>
    </row>
    <row r="16" spans="4:13" x14ac:dyDescent="0.2">
      <c r="D16">
        <f>'Attachment 1B'!G25</f>
        <v>47.253332074197957</v>
      </c>
      <c r="E16" s="93" t="s">
        <v>171</v>
      </c>
      <c r="F16">
        <f>'Attachment 1B'!H25</f>
        <v>2001.018560385889</v>
      </c>
      <c r="G16" s="93" t="s">
        <v>172</v>
      </c>
      <c r="H16">
        <f>'Attachment 1B'!I25</f>
        <v>485.34698146847575</v>
      </c>
      <c r="I16" s="93" t="s">
        <v>173</v>
      </c>
      <c r="J16">
        <f>'Attachment 1B'!J25</f>
        <v>1667.7956738400001</v>
      </c>
      <c r="K16" s="93" t="s">
        <v>174</v>
      </c>
      <c r="L16">
        <f>'Attachment 1B'!K25</f>
        <v>1194.7556738399999</v>
      </c>
      <c r="M16" s="93" t="s">
        <v>175</v>
      </c>
    </row>
    <row r="17" spans="4:13" x14ac:dyDescent="0.2">
      <c r="D17">
        <f>'Attachment 1B'!G26</f>
        <v>47.637304122106308</v>
      </c>
      <c r="E17" s="93" t="s">
        <v>176</v>
      </c>
      <c r="F17">
        <f>'Attachment 1B'!H26</f>
        <v>2149.7580034459493</v>
      </c>
      <c r="G17" s="93" t="s">
        <v>177</v>
      </c>
      <c r="H17">
        <f>'Attachment 1B'!I26</f>
        <v>519.29828963509351</v>
      </c>
      <c r="I17" s="93" t="s">
        <v>178</v>
      </c>
      <c r="J17">
        <f>'Attachment 1B'!J26</f>
        <v>1677.5484446400001</v>
      </c>
      <c r="K17" s="93" t="s">
        <v>179</v>
      </c>
      <c r="L17">
        <f>'Attachment 1B'!K26</f>
        <v>1204.5084446399999</v>
      </c>
      <c r="M17" s="93" t="s">
        <v>180</v>
      </c>
    </row>
    <row r="21" spans="4:13" x14ac:dyDescent="0.2">
      <c r="D21" t="s">
        <v>147</v>
      </c>
    </row>
    <row r="22" spans="4:13" x14ac:dyDescent="0.2">
      <c r="D22" t="s">
        <v>94</v>
      </c>
      <c r="E22" t="s">
        <v>115</v>
      </c>
      <c r="F22" t="s">
        <v>94</v>
      </c>
      <c r="G22" t="s">
        <v>115</v>
      </c>
      <c r="H22" t="s">
        <v>94</v>
      </c>
      <c r="I22" t="s">
        <v>115</v>
      </c>
      <c r="J22" t="s">
        <v>94</v>
      </c>
      <c r="K22" t="s">
        <v>115</v>
      </c>
      <c r="L22" t="s">
        <v>94</v>
      </c>
      <c r="M22" t="s">
        <v>115</v>
      </c>
    </row>
    <row r="23" spans="4:13" x14ac:dyDescent="0.2">
      <c r="D23" s="13" t="s">
        <v>16</v>
      </c>
      <c r="E23" s="13" t="s">
        <v>16</v>
      </c>
      <c r="F23" s="7" t="s">
        <v>9</v>
      </c>
      <c r="G23" s="7" t="s">
        <v>9</v>
      </c>
      <c r="H23" s="7" t="s">
        <v>10</v>
      </c>
      <c r="I23" s="7" t="s">
        <v>10</v>
      </c>
      <c r="J23" s="7" t="s">
        <v>11</v>
      </c>
      <c r="K23" s="7" t="s">
        <v>11</v>
      </c>
      <c r="L23" s="7" t="s">
        <v>12</v>
      </c>
      <c r="M23" s="7" t="s">
        <v>12</v>
      </c>
    </row>
    <row r="24" spans="4:13" x14ac:dyDescent="0.2">
      <c r="D24" s="14" t="s">
        <v>17</v>
      </c>
      <c r="E24" s="14" t="s">
        <v>17</v>
      </c>
      <c r="F24" s="8" t="s">
        <v>13</v>
      </c>
      <c r="G24" s="8" t="s">
        <v>13</v>
      </c>
      <c r="H24" s="8" t="s">
        <v>14</v>
      </c>
      <c r="I24" s="8" t="s">
        <v>14</v>
      </c>
      <c r="J24" s="8" t="s">
        <v>15</v>
      </c>
      <c r="K24" s="8" t="s">
        <v>15</v>
      </c>
      <c r="L24" s="8" t="s">
        <v>15</v>
      </c>
      <c r="M24" s="8" t="s">
        <v>15</v>
      </c>
    </row>
    <row r="25" spans="4:13" x14ac:dyDescent="0.2">
      <c r="D25">
        <f>'Attachment 1B'!G34</f>
        <v>207.52630428246823</v>
      </c>
      <c r="E25" s="93" t="s">
        <v>181</v>
      </c>
      <c r="F25">
        <f>'Attachment 1B'!H34</f>
        <v>1006</v>
      </c>
      <c r="G25" s="93" t="s">
        <v>182</v>
      </c>
      <c r="H25">
        <f>'Attachment 1B'!I34</f>
        <v>1626</v>
      </c>
      <c r="I25" s="93" t="s">
        <v>183</v>
      </c>
      <c r="J25">
        <f>'Attachment 1B'!J34</f>
        <v>1348.9</v>
      </c>
      <c r="K25" s="93" t="s">
        <v>184</v>
      </c>
      <c r="L25">
        <f>'Attachment 1B'!K34</f>
        <v>875.9</v>
      </c>
      <c r="M25" s="93" t="s">
        <v>185</v>
      </c>
    </row>
    <row r="26" spans="4:13" x14ac:dyDescent="0.2">
      <c r="D26">
        <f>'Attachment 1B'!G35</f>
        <v>112.1167129644154</v>
      </c>
      <c r="E26" s="93" t="s">
        <v>186</v>
      </c>
      <c r="F26">
        <f>'Attachment 1B'!H35</f>
        <v>744</v>
      </c>
      <c r="G26" s="93" t="s">
        <v>187</v>
      </c>
      <c r="H26">
        <f>'Attachment 1B'!I35</f>
        <v>585</v>
      </c>
      <c r="I26" s="93" t="s">
        <v>188</v>
      </c>
      <c r="J26">
        <f>'Attachment 1B'!J35</f>
        <v>1358.1</v>
      </c>
      <c r="K26" s="93" t="s">
        <v>189</v>
      </c>
      <c r="L26">
        <f>'Attachment 1B'!K35</f>
        <v>885</v>
      </c>
      <c r="M26" s="93" t="s">
        <v>190</v>
      </c>
    </row>
    <row r="27" spans="4:13" x14ac:dyDescent="0.2">
      <c r="D27">
        <f>'Attachment 1B'!G36</f>
        <v>44.317271549854695</v>
      </c>
      <c r="E27" s="93" t="s">
        <v>191</v>
      </c>
      <c r="F27">
        <f>'Attachment 1B'!H36</f>
        <v>616</v>
      </c>
      <c r="G27" s="93" t="s">
        <v>192</v>
      </c>
      <c r="H27">
        <f>'Attachment 1B'!I36</f>
        <v>129</v>
      </c>
      <c r="I27" s="93" t="s">
        <v>193</v>
      </c>
      <c r="J27">
        <f>'Attachment 1B'!J36</f>
        <v>1365.9</v>
      </c>
      <c r="K27" s="93" t="s">
        <v>194</v>
      </c>
      <c r="L27">
        <f>'Attachment 1B'!K36</f>
        <v>892.9</v>
      </c>
      <c r="M27" s="93" t="s">
        <v>195</v>
      </c>
    </row>
    <row r="28" spans="4:13" x14ac:dyDescent="0.2">
      <c r="D28">
        <f>'Attachment 1B'!G37</f>
        <v>47.253332074197957</v>
      </c>
      <c r="E28" s="93" t="s">
        <v>196</v>
      </c>
      <c r="F28">
        <f>'Attachment 1B'!H37</f>
        <v>458</v>
      </c>
      <c r="G28" s="93" t="s">
        <v>197</v>
      </c>
      <c r="H28">
        <f>'Attachment 1B'!I37</f>
        <v>105</v>
      </c>
      <c r="I28" s="93" t="s">
        <v>198</v>
      </c>
      <c r="J28">
        <f>'Attachment 1B'!J37</f>
        <v>1377.4</v>
      </c>
      <c r="K28" s="93" t="s">
        <v>199</v>
      </c>
      <c r="L28">
        <f>'Attachment 1B'!K37</f>
        <v>904.4</v>
      </c>
      <c r="M28" s="93" t="s">
        <v>200</v>
      </c>
    </row>
    <row r="29" spans="4:13" x14ac:dyDescent="0.2">
      <c r="D29">
        <f>'Attachment 1B'!G38</f>
        <v>47.637304122106308</v>
      </c>
      <c r="E29" s="93" t="s">
        <v>201</v>
      </c>
      <c r="F29">
        <f>'Attachment 1B'!H38</f>
        <v>609</v>
      </c>
      <c r="G29" s="93" t="s">
        <v>202</v>
      </c>
      <c r="H29">
        <f>'Attachment 1B'!I38</f>
        <v>146</v>
      </c>
      <c r="I29" s="93" t="s">
        <v>203</v>
      </c>
      <c r="J29">
        <f>'Attachment 1B'!J38</f>
        <v>1387.2</v>
      </c>
      <c r="K29" s="93" t="s">
        <v>204</v>
      </c>
      <c r="L29">
        <f>'Attachment 1B'!K38</f>
        <v>914.1</v>
      </c>
      <c r="M29" s="93" t="s">
        <v>205</v>
      </c>
    </row>
    <row r="30" spans="4:13" x14ac:dyDescent="0.2">
      <c r="E30" s="93"/>
      <c r="G30" s="93"/>
      <c r="I30" s="93"/>
      <c r="K30" s="93"/>
      <c r="M30" s="93"/>
    </row>
    <row r="31" spans="4:13" x14ac:dyDescent="0.2">
      <c r="E31" s="93"/>
      <c r="G31" s="93"/>
      <c r="I31" s="93"/>
      <c r="K31" s="93"/>
      <c r="M31" s="93"/>
    </row>
    <row r="32" spans="4:13" x14ac:dyDescent="0.2">
      <c r="D32" t="s">
        <v>147</v>
      </c>
    </row>
    <row r="33" spans="4:13" x14ac:dyDescent="0.2">
      <c r="D33" t="s">
        <v>94</v>
      </c>
      <c r="E33" t="s">
        <v>115</v>
      </c>
      <c r="F33" t="s">
        <v>94</v>
      </c>
      <c r="G33" t="s">
        <v>115</v>
      </c>
      <c r="H33" t="s">
        <v>94</v>
      </c>
      <c r="I33" t="s">
        <v>115</v>
      </c>
      <c r="J33" t="s">
        <v>94</v>
      </c>
      <c r="K33" t="s">
        <v>115</v>
      </c>
      <c r="L33" t="s">
        <v>94</v>
      </c>
      <c r="M33" t="s">
        <v>115</v>
      </c>
    </row>
    <row r="34" spans="4:13" x14ac:dyDescent="0.2">
      <c r="D34" s="13" t="s">
        <v>16</v>
      </c>
      <c r="E34" s="13" t="s">
        <v>16</v>
      </c>
      <c r="F34" s="7" t="s">
        <v>9</v>
      </c>
      <c r="G34" s="7" t="s">
        <v>9</v>
      </c>
      <c r="H34" s="7" t="s">
        <v>10</v>
      </c>
      <c r="I34" s="7" t="s">
        <v>10</v>
      </c>
      <c r="J34" s="7" t="s">
        <v>11</v>
      </c>
      <c r="K34" s="7" t="s">
        <v>11</v>
      </c>
      <c r="L34" s="7" t="s">
        <v>12</v>
      </c>
      <c r="M34" s="7" t="s">
        <v>12</v>
      </c>
    </row>
    <row r="35" spans="4:13" x14ac:dyDescent="0.2">
      <c r="D35" s="14" t="s">
        <v>17</v>
      </c>
      <c r="E35" s="14" t="s">
        <v>17</v>
      </c>
      <c r="F35" s="8" t="s">
        <v>13</v>
      </c>
      <c r="G35" s="8" t="s">
        <v>13</v>
      </c>
      <c r="H35" s="8" t="s">
        <v>14</v>
      </c>
      <c r="I35" s="8" t="s">
        <v>14</v>
      </c>
      <c r="J35" s="8" t="s">
        <v>15</v>
      </c>
      <c r="K35" s="8" t="s">
        <v>15</v>
      </c>
      <c r="L35" s="8" t="s">
        <v>15</v>
      </c>
      <c r="M35" s="8" t="s">
        <v>15</v>
      </c>
    </row>
    <row r="36" spans="4:13" x14ac:dyDescent="0.2">
      <c r="D36">
        <f>'Attachment 1B'!G59</f>
        <v>207.52630428246823</v>
      </c>
      <c r="E36" s="93" t="s">
        <v>181</v>
      </c>
      <c r="F36">
        <f>'Attachment 1B'!H59</f>
        <v>2549.6575308641973</v>
      </c>
      <c r="G36" s="93" t="s">
        <v>182</v>
      </c>
      <c r="H36">
        <f>'Attachment 1B'!I59</f>
        <v>4179.5363977575344</v>
      </c>
      <c r="I36" s="93" t="s">
        <v>183</v>
      </c>
      <c r="J36">
        <f>'Attachment 1B'!J59</f>
        <v>1954.3581178115539</v>
      </c>
      <c r="K36" s="93" t="s">
        <v>184</v>
      </c>
      <c r="L36">
        <f>'Attachment 1B'!K59</f>
        <v>1481.318117811554</v>
      </c>
      <c r="M36" s="93" t="s">
        <v>185</v>
      </c>
    </row>
    <row r="37" spans="4:13" x14ac:dyDescent="0.2">
      <c r="D37">
        <f>'Attachment 1B'!G60</f>
        <v>112.1167129644154</v>
      </c>
      <c r="E37" s="93" t="s">
        <v>186</v>
      </c>
      <c r="F37">
        <f>'Attachment 1B'!H60</f>
        <v>2287.3465062331256</v>
      </c>
      <c r="G37" s="93" t="s">
        <v>187</v>
      </c>
      <c r="H37">
        <f>'Attachment 1B'!I60</f>
        <v>1838.9637737880785</v>
      </c>
      <c r="I37" s="93" t="s">
        <v>188</v>
      </c>
      <c r="J37">
        <f>'Attachment 1B'!J60</f>
        <v>1954.3581178115539</v>
      </c>
      <c r="K37" s="93" t="s">
        <v>189</v>
      </c>
      <c r="L37">
        <f>'Attachment 1B'!K60</f>
        <v>1481.318117811554</v>
      </c>
      <c r="M37" s="93" t="s">
        <v>190</v>
      </c>
    </row>
    <row r="38" spans="4:13" x14ac:dyDescent="0.2">
      <c r="D38">
        <f>'Attachment 1B'!G61</f>
        <v>44.317271549854695</v>
      </c>
      <c r="E38" s="93" t="s">
        <v>191</v>
      </c>
      <c r="F38">
        <f>'Attachment 1B'!H61</f>
        <v>2159.8687517146777</v>
      </c>
      <c r="G38" s="93" t="s">
        <v>192</v>
      </c>
      <c r="H38">
        <f>'Attachment 1B'!I61</f>
        <v>461.402277226965</v>
      </c>
      <c r="I38" s="93" t="s">
        <v>193</v>
      </c>
      <c r="J38">
        <f>'Attachment 1B'!J61</f>
        <v>1954.3581178115539</v>
      </c>
      <c r="K38" s="93" t="s">
        <v>194</v>
      </c>
      <c r="L38">
        <f>'Attachment 1B'!K61</f>
        <v>1481.318117811554</v>
      </c>
      <c r="M38" s="93" t="s">
        <v>195</v>
      </c>
    </row>
    <row r="39" spans="4:13" x14ac:dyDescent="0.2">
      <c r="D39">
        <f>'Attachment 1B'!G62</f>
        <v>47.253332074197957</v>
      </c>
      <c r="E39" s="93" t="s">
        <v>196</v>
      </c>
      <c r="F39">
        <f>'Attachment 1B'!H62</f>
        <v>2001.018560385889</v>
      </c>
      <c r="G39" s="93" t="s">
        <v>197</v>
      </c>
      <c r="H39">
        <f>'Attachment 1B'!I62</f>
        <v>485.34698146847575</v>
      </c>
      <c r="I39" s="93" t="s">
        <v>198</v>
      </c>
      <c r="J39">
        <f>'Attachment 1B'!J62</f>
        <v>1954.3581178115539</v>
      </c>
      <c r="K39" s="93" t="s">
        <v>199</v>
      </c>
      <c r="L39">
        <f>'Attachment 1B'!K62</f>
        <v>1481.318117811554</v>
      </c>
      <c r="M39" s="93" t="s">
        <v>200</v>
      </c>
    </row>
    <row r="40" spans="4:13" x14ac:dyDescent="0.2">
      <c r="D40">
        <f>'Attachment 1B'!G63</f>
        <v>47.637304122106308</v>
      </c>
      <c r="E40" s="93" t="s">
        <v>201</v>
      </c>
      <c r="F40">
        <f>'Attachment 1B'!H63</f>
        <v>2149.7580034459493</v>
      </c>
      <c r="G40" s="93" t="s">
        <v>202</v>
      </c>
      <c r="H40">
        <f>'Attachment 1B'!I63</f>
        <v>519.29828963509351</v>
      </c>
      <c r="I40" s="93" t="s">
        <v>203</v>
      </c>
      <c r="J40">
        <f>'Attachment 1B'!J63</f>
        <v>1954.3581178115539</v>
      </c>
      <c r="K40" s="93" t="s">
        <v>204</v>
      </c>
      <c r="L40">
        <f>'Attachment 1B'!K63</f>
        <v>1481.318117811554</v>
      </c>
      <c r="M40" s="93" t="s">
        <v>205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Q64"/>
  <sheetViews>
    <sheetView tabSelected="1" workbookViewId="0">
      <selection activeCell="B2" sqref="B2"/>
    </sheetView>
  </sheetViews>
  <sheetFormatPr defaultRowHeight="12.75" x14ac:dyDescent="0.2"/>
  <cols>
    <col min="5" max="5" width="9.7109375" bestFit="1" customWidth="1"/>
    <col min="15" max="15" width="11.85546875" customWidth="1"/>
  </cols>
  <sheetData>
    <row r="2" spans="1:17" x14ac:dyDescent="0.2">
      <c r="B2" s="12"/>
      <c r="C2" s="12"/>
      <c r="D2" s="12"/>
      <c r="E2" s="12"/>
      <c r="F2" s="12"/>
      <c r="H2" s="117" t="s">
        <v>8</v>
      </c>
      <c r="I2" s="117"/>
      <c r="J2" s="117"/>
      <c r="K2" s="117"/>
      <c r="L2" s="22"/>
      <c r="M2" s="22"/>
      <c r="N2" s="22"/>
      <c r="O2" s="22"/>
      <c r="P2" s="22"/>
      <c r="Q2" s="22"/>
    </row>
    <row r="3" spans="1:17" x14ac:dyDescent="0.2">
      <c r="B3" s="5"/>
      <c r="C3" s="5"/>
      <c r="D3" s="5"/>
      <c r="E3" s="5"/>
      <c r="F3" s="5"/>
      <c r="H3" s="1" t="s">
        <v>0</v>
      </c>
      <c r="I3">
        <f>4343+1611-46-67-2000</f>
        <v>3841</v>
      </c>
      <c r="J3">
        <v>21.83</v>
      </c>
      <c r="K3" s="5">
        <f>I3*J3*8760/1000000</f>
        <v>734.51750279999999</v>
      </c>
      <c r="L3" s="5"/>
      <c r="M3" s="5"/>
      <c r="N3" s="5"/>
      <c r="O3" s="5"/>
      <c r="P3" s="5"/>
      <c r="Q3" s="5"/>
    </row>
    <row r="4" spans="1:17" x14ac:dyDescent="0.2">
      <c r="B4" s="5"/>
      <c r="C4" s="5"/>
      <c r="D4" s="5"/>
      <c r="E4" s="19"/>
      <c r="F4" s="5"/>
      <c r="H4" s="1" t="s">
        <v>1</v>
      </c>
      <c r="I4" s="2">
        <v>1486</v>
      </c>
      <c r="J4">
        <v>23</v>
      </c>
      <c r="K4" s="5">
        <f>I4*J4*8760/1000000</f>
        <v>299.39927999999998</v>
      </c>
      <c r="L4" s="5"/>
      <c r="M4" s="5"/>
      <c r="N4" s="5"/>
      <c r="O4" s="5"/>
      <c r="P4" s="5"/>
      <c r="Q4" s="5"/>
    </row>
    <row r="5" spans="1:17" x14ac:dyDescent="0.2">
      <c r="B5" s="5"/>
      <c r="C5" s="5"/>
      <c r="D5" s="5"/>
      <c r="E5" s="5"/>
      <c r="F5" s="5"/>
      <c r="H5" s="1" t="s">
        <v>2</v>
      </c>
      <c r="I5">
        <v>1000</v>
      </c>
      <c r="J5">
        <v>19.260000000000002</v>
      </c>
      <c r="K5" s="5">
        <f>I5*J5*8760/1000000</f>
        <v>168.7176</v>
      </c>
      <c r="L5" s="5"/>
      <c r="M5" s="5"/>
      <c r="N5" s="5"/>
      <c r="O5" s="5"/>
      <c r="P5" s="5"/>
      <c r="Q5" s="5"/>
    </row>
    <row r="6" spans="1:17" x14ac:dyDescent="0.2">
      <c r="B6" s="5"/>
      <c r="C6" s="5"/>
      <c r="D6" s="5"/>
      <c r="E6" s="5"/>
      <c r="F6" s="5"/>
      <c r="H6" s="1" t="s">
        <v>3</v>
      </c>
      <c r="I6">
        <v>2000</v>
      </c>
      <c r="J6">
        <v>27</v>
      </c>
      <c r="K6" s="5">
        <f>I6*J6*8760/1000000</f>
        <v>473.04</v>
      </c>
      <c r="L6" s="5"/>
      <c r="M6" s="5"/>
      <c r="N6" s="5"/>
      <c r="O6" s="5"/>
      <c r="P6" s="5"/>
      <c r="Q6" s="5"/>
    </row>
    <row r="7" spans="1:17" x14ac:dyDescent="0.2">
      <c r="B7" s="5"/>
      <c r="C7" s="5"/>
      <c r="D7" s="5"/>
      <c r="E7" s="18"/>
      <c r="F7" s="5"/>
      <c r="H7" s="1" t="s">
        <v>4</v>
      </c>
      <c r="I7">
        <f>SUM(I3:I6)</f>
        <v>8327</v>
      </c>
      <c r="K7" s="5">
        <f>SUM(K3:K6)</f>
        <v>1675.6743827999999</v>
      </c>
      <c r="L7" s="5"/>
      <c r="M7" s="5"/>
      <c r="N7" s="5"/>
      <c r="O7" s="5"/>
      <c r="P7" s="5"/>
      <c r="Q7" s="5"/>
    </row>
    <row r="8" spans="1:17" x14ac:dyDescent="0.2">
      <c r="B8" s="5"/>
      <c r="C8" s="5"/>
      <c r="D8" s="5"/>
      <c r="E8" s="5"/>
      <c r="F8" s="5"/>
      <c r="H8" s="1"/>
      <c r="I8" s="3"/>
      <c r="J8" s="4" t="s">
        <v>5</v>
      </c>
      <c r="K8" s="5">
        <f>K7</f>
        <v>1675.6743827999999</v>
      </c>
      <c r="L8" s="5"/>
      <c r="M8" s="5"/>
      <c r="N8" s="5"/>
      <c r="O8" s="5"/>
      <c r="P8" s="5"/>
      <c r="Q8" s="5"/>
    </row>
    <row r="9" spans="1:17" x14ac:dyDescent="0.2">
      <c r="B9" s="5"/>
      <c r="C9" s="5"/>
      <c r="D9" s="5"/>
      <c r="E9" s="5"/>
      <c r="F9" s="5"/>
      <c r="J9" s="4" t="s">
        <v>6</v>
      </c>
      <c r="K9" s="5">
        <f>SUM(K3:K5)</f>
        <v>1202.6343827999999</v>
      </c>
      <c r="L9" s="5"/>
      <c r="M9" s="5"/>
      <c r="N9" s="5"/>
      <c r="O9" s="5"/>
      <c r="P9" s="5"/>
      <c r="Q9" s="5"/>
    </row>
    <row r="10" spans="1:17" x14ac:dyDescent="0.2">
      <c r="B10" s="5"/>
      <c r="I10" t="s">
        <v>22</v>
      </c>
      <c r="K10" s="29">
        <f>K9/K8</f>
        <v>0.71770171767526525</v>
      </c>
    </row>
    <row r="11" spans="1:17" x14ac:dyDescent="0.2">
      <c r="B11" s="5"/>
      <c r="C11" s="6"/>
      <c r="D11" s="5"/>
      <c r="E11" s="6"/>
      <c r="F11" s="6"/>
      <c r="I11" t="s">
        <v>7</v>
      </c>
      <c r="K11" s="6">
        <f>K7/I7/0.876</f>
        <v>0.22971902245706735</v>
      </c>
      <c r="L11" s="6"/>
      <c r="M11" s="6"/>
      <c r="N11" s="6"/>
      <c r="O11" s="6"/>
      <c r="P11" s="6"/>
      <c r="Q11" s="6"/>
    </row>
    <row r="12" spans="1:17" x14ac:dyDescent="0.2">
      <c r="B12" s="5"/>
    </row>
    <row r="13" spans="1:17" ht="20.25" x14ac:dyDescent="0.3">
      <c r="A13" s="118" t="s">
        <v>44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</row>
    <row r="14" spans="1:17" ht="20.25" x14ac:dyDescent="0.3">
      <c r="A14" s="118" t="s">
        <v>45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</row>
    <row r="15" spans="1:17" ht="20.25" x14ac:dyDescent="0.3">
      <c r="A15" s="68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</row>
    <row r="16" spans="1:17" x14ac:dyDescent="0.2">
      <c r="B16" s="5"/>
    </row>
    <row r="17" spans="1:17" x14ac:dyDescent="0.2">
      <c r="B17" s="51" t="s">
        <v>25</v>
      </c>
    </row>
    <row r="18" spans="1:17" x14ac:dyDescent="0.2">
      <c r="B18" s="37" t="s">
        <v>33</v>
      </c>
      <c r="G18" s="21"/>
    </row>
    <row r="19" spans="1:17" x14ac:dyDescent="0.2">
      <c r="A19" s="24"/>
      <c r="B19" s="24" t="s">
        <v>9</v>
      </c>
      <c r="C19" s="7" t="s">
        <v>10</v>
      </c>
      <c r="D19" s="7" t="s">
        <v>11</v>
      </c>
      <c r="E19" s="7" t="s">
        <v>12</v>
      </c>
      <c r="G19" s="13" t="s">
        <v>16</v>
      </c>
      <c r="H19" s="7" t="s">
        <v>9</v>
      </c>
      <c r="I19" s="7" t="s">
        <v>10</v>
      </c>
      <c r="J19" s="7" t="s">
        <v>11</v>
      </c>
      <c r="K19" s="7" t="s">
        <v>12</v>
      </c>
      <c r="L19" s="24" t="s">
        <v>18</v>
      </c>
      <c r="N19" s="13" t="s">
        <v>27</v>
      </c>
      <c r="O19" s="42" t="s">
        <v>26</v>
      </c>
      <c r="P19" s="119" t="s">
        <v>50</v>
      </c>
      <c r="Q19" s="120"/>
    </row>
    <row r="20" spans="1:17" x14ac:dyDescent="0.2">
      <c r="A20" s="52" t="s">
        <v>29</v>
      </c>
      <c r="B20" s="25" t="s">
        <v>13</v>
      </c>
      <c r="C20" s="8" t="s">
        <v>14</v>
      </c>
      <c r="D20" s="8" t="s">
        <v>15</v>
      </c>
      <c r="E20" s="8" t="s">
        <v>15</v>
      </c>
      <c r="G20" s="14" t="s">
        <v>17</v>
      </c>
      <c r="H20" s="8" t="s">
        <v>13</v>
      </c>
      <c r="I20" s="8" t="s">
        <v>14</v>
      </c>
      <c r="J20" s="8" t="s">
        <v>15</v>
      </c>
      <c r="K20" s="8" t="s">
        <v>15</v>
      </c>
      <c r="L20" s="25" t="s">
        <v>19</v>
      </c>
      <c r="N20" s="14" t="s">
        <v>28</v>
      </c>
      <c r="O20" s="44" t="s">
        <v>49</v>
      </c>
      <c r="P20" s="44" t="s">
        <v>20</v>
      </c>
      <c r="Q20" s="45" t="s">
        <v>21</v>
      </c>
    </row>
    <row r="21" spans="1:17" x14ac:dyDescent="0.2">
      <c r="A21" s="15"/>
      <c r="B21" s="64" t="s">
        <v>40</v>
      </c>
      <c r="C21" s="63" t="s">
        <v>38</v>
      </c>
      <c r="D21" s="63" t="s">
        <v>38</v>
      </c>
      <c r="E21" s="63" t="s">
        <v>38</v>
      </c>
      <c r="F21" s="12"/>
      <c r="G21" s="64" t="s">
        <v>39</v>
      </c>
      <c r="H21" s="63" t="s">
        <v>40</v>
      </c>
      <c r="I21" s="63" t="s">
        <v>38</v>
      </c>
      <c r="J21" s="63" t="s">
        <v>38</v>
      </c>
      <c r="K21" s="63" t="s">
        <v>38</v>
      </c>
      <c r="L21" s="15"/>
      <c r="N21" s="64"/>
      <c r="O21" s="65" t="s">
        <v>39</v>
      </c>
      <c r="P21" s="65" t="s">
        <v>39</v>
      </c>
      <c r="Q21" s="66" t="s">
        <v>39</v>
      </c>
    </row>
    <row r="22" spans="1:17" x14ac:dyDescent="0.2">
      <c r="A22" s="82">
        <v>1</v>
      </c>
      <c r="B22" s="84">
        <v>2549.6575308641973</v>
      </c>
      <c r="C22" s="9">
        <v>6497.1363977575338</v>
      </c>
      <c r="D22" s="9">
        <v>1639.3022846399999</v>
      </c>
      <c r="E22" s="9">
        <v>1166.26228464</v>
      </c>
      <c r="G22" s="16">
        <v>311.29169506261286</v>
      </c>
      <c r="H22" s="9">
        <f>MAX(0,$B22+(I$7-8327))</f>
        <v>2549.6575308641973</v>
      </c>
      <c r="I22" s="9">
        <f t="shared" ref="I22:K26" si="0">C22</f>
        <v>6497.1363977575338</v>
      </c>
      <c r="J22" s="9">
        <f t="shared" si="0"/>
        <v>1639.3022846399999</v>
      </c>
      <c r="K22" s="9">
        <f t="shared" si="0"/>
        <v>1166.26228464</v>
      </c>
      <c r="L22" s="28">
        <f>I22/J22</f>
        <v>3.9633546897571375</v>
      </c>
      <c r="N22" s="15" t="s">
        <v>0</v>
      </c>
      <c r="O22" s="46">
        <f>J3</f>
        <v>21.83</v>
      </c>
      <c r="P22" s="46">
        <f>ROUND(O22*(1+L$22),2)</f>
        <v>108.35</v>
      </c>
      <c r="Q22" s="47">
        <f>ROUND(O22*(1+L$27),2)</f>
        <v>50.84</v>
      </c>
    </row>
    <row r="23" spans="1:17" x14ac:dyDescent="0.2">
      <c r="A23" s="82">
        <v>2</v>
      </c>
      <c r="B23" s="84">
        <v>2287.3465062331256</v>
      </c>
      <c r="C23" s="9">
        <v>2970.0637737880784</v>
      </c>
      <c r="D23" s="9">
        <v>1648.4813630400001</v>
      </c>
      <c r="E23" s="9">
        <v>1175.4413630399999</v>
      </c>
      <c r="G23" s="16">
        <v>168.5668416241306</v>
      </c>
      <c r="H23" s="9">
        <f>MAX(0,$B23+(I$7-8327))</f>
        <v>2287.3465062331256</v>
      </c>
      <c r="I23" s="9">
        <f t="shared" si="0"/>
        <v>2970.0637737880784</v>
      </c>
      <c r="J23" s="9">
        <f t="shared" si="0"/>
        <v>1648.4813630400001</v>
      </c>
      <c r="K23" s="9">
        <f t="shared" si="0"/>
        <v>1175.4413630399999</v>
      </c>
      <c r="L23" s="26">
        <f>I23/J23</f>
        <v>1.8016969074560354</v>
      </c>
      <c r="N23" s="15" t="s">
        <v>1</v>
      </c>
      <c r="O23" s="46">
        <f>J4</f>
        <v>23</v>
      </c>
      <c r="P23" s="46">
        <f>ROUND(O23*(1+L$22),2)</f>
        <v>114.16</v>
      </c>
      <c r="Q23" s="47">
        <f>ROUND(O23*(1+L$27),2)</f>
        <v>53.56</v>
      </c>
    </row>
    <row r="24" spans="1:17" x14ac:dyDescent="0.2">
      <c r="A24" s="82">
        <v>3</v>
      </c>
      <c r="B24" s="84">
        <v>2159.8687517146777</v>
      </c>
      <c r="C24" s="9">
        <v>461.402277226965</v>
      </c>
      <c r="D24" s="9">
        <v>1656.32182584</v>
      </c>
      <c r="E24" s="9">
        <v>1183.28182584</v>
      </c>
      <c r="G24" s="16">
        <v>44.317271549854695</v>
      </c>
      <c r="H24" s="9">
        <f>MAX(0,$B24+(I$7-8327))</f>
        <v>2159.8687517146777</v>
      </c>
      <c r="I24" s="9">
        <f t="shared" si="0"/>
        <v>461.402277226965</v>
      </c>
      <c r="J24" s="9">
        <f t="shared" si="0"/>
        <v>1656.32182584</v>
      </c>
      <c r="K24" s="9">
        <f t="shared" si="0"/>
        <v>1183.28182584</v>
      </c>
      <c r="L24" s="26">
        <f>I24/J24</f>
        <v>0.27857042636805551</v>
      </c>
      <c r="N24" s="15" t="s">
        <v>2</v>
      </c>
      <c r="O24" s="46">
        <f>J5</f>
        <v>19.260000000000002</v>
      </c>
      <c r="P24" s="46">
        <f>ROUND(O24*(1+L$22),2)</f>
        <v>95.59</v>
      </c>
      <c r="Q24" s="47">
        <f>ROUND(O24*(1+L$27),2)</f>
        <v>44.85</v>
      </c>
    </row>
    <row r="25" spans="1:17" x14ac:dyDescent="0.2">
      <c r="A25" s="82">
        <v>4</v>
      </c>
      <c r="B25" s="84">
        <v>2001.018560385889</v>
      </c>
      <c r="C25" s="9">
        <v>485.34698146847575</v>
      </c>
      <c r="D25" s="9">
        <v>1667.7956738400001</v>
      </c>
      <c r="E25" s="9">
        <v>1194.7556738399999</v>
      </c>
      <c r="G25" s="16">
        <v>47.253332074197957</v>
      </c>
      <c r="H25" s="9">
        <f>MAX(0,$B25+(I$7-8327))</f>
        <v>2001.018560385889</v>
      </c>
      <c r="I25" s="9">
        <f t="shared" si="0"/>
        <v>485.34698146847575</v>
      </c>
      <c r="J25" s="9">
        <f t="shared" si="0"/>
        <v>1667.7956738400001</v>
      </c>
      <c r="K25" s="9">
        <f t="shared" si="0"/>
        <v>1194.7556738399999</v>
      </c>
      <c r="L25" s="26">
        <f>I25/J25</f>
        <v>0.291011056738739</v>
      </c>
      <c r="N25" s="48" t="s">
        <v>3</v>
      </c>
      <c r="O25" s="49">
        <f>J6</f>
        <v>27</v>
      </c>
      <c r="P25" s="49">
        <f>ROUND(O25*(1+L$22),2)</f>
        <v>134.01</v>
      </c>
      <c r="Q25" s="50">
        <f>ROUND(O25*(1+L$27),2)</f>
        <v>62.88</v>
      </c>
    </row>
    <row r="26" spans="1:17" x14ac:dyDescent="0.2">
      <c r="A26" s="83">
        <v>5</v>
      </c>
      <c r="B26" s="11">
        <v>2149.7580034459493</v>
      </c>
      <c r="C26" s="10">
        <v>519.29828963509351</v>
      </c>
      <c r="D26" s="10">
        <v>1677.5484446400001</v>
      </c>
      <c r="E26" s="10">
        <v>1204.5084446399999</v>
      </c>
      <c r="G26" s="17">
        <v>47.637304122106308</v>
      </c>
      <c r="H26" s="10">
        <f>MAX(0,$B26+(I$7-8327))</f>
        <v>2149.7580034459493</v>
      </c>
      <c r="I26" s="10">
        <f t="shared" si="0"/>
        <v>519.29828963509351</v>
      </c>
      <c r="J26" s="11">
        <f t="shared" si="0"/>
        <v>1677.5484446400001</v>
      </c>
      <c r="K26" s="10">
        <f t="shared" si="0"/>
        <v>1204.5084446399999</v>
      </c>
      <c r="L26" s="27">
        <f>I26/J26</f>
        <v>0.30955784990551155</v>
      </c>
    </row>
    <row r="27" spans="1:17" x14ac:dyDescent="0.2">
      <c r="A27" s="81" t="s">
        <v>30</v>
      </c>
      <c r="B27" s="54">
        <f>AVERAGE(B22:B26)</f>
        <v>2229.5298705287678</v>
      </c>
      <c r="C27" s="54">
        <f>AVERAGE(C22:C26)</f>
        <v>2186.6495439752293</v>
      </c>
      <c r="D27" s="54">
        <f>AVERAGE(D22:D26)</f>
        <v>1657.8899184000002</v>
      </c>
      <c r="E27" s="55">
        <f>AVERAGE(E22:E26)</f>
        <v>1184.8499183999998</v>
      </c>
      <c r="G27" s="69">
        <f t="shared" ref="G27:L27" si="1">AVERAGE(G22:G26)</f>
        <v>123.81328888658049</v>
      </c>
      <c r="H27" s="58">
        <f t="shared" si="1"/>
        <v>2229.5298705287678</v>
      </c>
      <c r="I27" s="56">
        <f t="shared" si="1"/>
        <v>2186.6495439752293</v>
      </c>
      <c r="J27" s="56">
        <f t="shared" si="1"/>
        <v>1657.8899184000002</v>
      </c>
      <c r="K27" s="56">
        <f t="shared" si="1"/>
        <v>1184.8499183999998</v>
      </c>
      <c r="L27" s="59">
        <f t="shared" si="1"/>
        <v>1.3288381860450957</v>
      </c>
    </row>
    <row r="28" spans="1:17" x14ac:dyDescent="0.2">
      <c r="A28" s="41"/>
      <c r="B28" s="40"/>
      <c r="C28" s="40"/>
      <c r="D28" s="40"/>
      <c r="E28" s="40"/>
      <c r="G28" s="60"/>
      <c r="H28" s="61"/>
      <c r="I28" s="60"/>
      <c r="J28" s="60"/>
      <c r="K28" s="60"/>
      <c r="L28" s="62"/>
    </row>
    <row r="29" spans="1:17" x14ac:dyDescent="0.2">
      <c r="B29" s="37" t="s">
        <v>24</v>
      </c>
    </row>
    <row r="30" spans="1:17" x14ac:dyDescent="0.2">
      <c r="B30" s="37" t="s">
        <v>34</v>
      </c>
    </row>
    <row r="31" spans="1:17" x14ac:dyDescent="0.2">
      <c r="A31" s="24"/>
      <c r="B31" s="24" t="s">
        <v>9</v>
      </c>
      <c r="C31" s="7" t="s">
        <v>10</v>
      </c>
      <c r="D31" s="7" t="s">
        <v>11</v>
      </c>
      <c r="E31" s="7" t="s">
        <v>12</v>
      </c>
      <c r="G31" s="13" t="s">
        <v>16</v>
      </c>
      <c r="H31" s="7" t="s">
        <v>9</v>
      </c>
      <c r="I31" s="7" t="s">
        <v>10</v>
      </c>
      <c r="J31" s="7" t="s">
        <v>11</v>
      </c>
      <c r="K31" s="7" t="s">
        <v>12</v>
      </c>
      <c r="L31" s="24" t="s">
        <v>18</v>
      </c>
      <c r="N31" s="13" t="s">
        <v>27</v>
      </c>
      <c r="O31" s="42" t="s">
        <v>26</v>
      </c>
      <c r="P31" s="119" t="s">
        <v>50</v>
      </c>
      <c r="Q31" s="120"/>
    </row>
    <row r="32" spans="1:17" x14ac:dyDescent="0.2">
      <c r="A32" s="52" t="s">
        <v>29</v>
      </c>
      <c r="B32" s="25" t="s">
        <v>13</v>
      </c>
      <c r="C32" s="8" t="s">
        <v>14</v>
      </c>
      <c r="D32" s="8" t="s">
        <v>15</v>
      </c>
      <c r="E32" s="8" t="s">
        <v>15</v>
      </c>
      <c r="G32" s="14" t="s">
        <v>17</v>
      </c>
      <c r="H32" s="8" t="s">
        <v>13</v>
      </c>
      <c r="I32" s="8" t="s">
        <v>14</v>
      </c>
      <c r="J32" s="8" t="s">
        <v>15</v>
      </c>
      <c r="K32" s="8" t="s">
        <v>15</v>
      </c>
      <c r="L32" s="25" t="s">
        <v>19</v>
      </c>
      <c r="N32" s="14" t="s">
        <v>28</v>
      </c>
      <c r="O32" s="44" t="s">
        <v>49</v>
      </c>
      <c r="P32" s="44" t="s">
        <v>20</v>
      </c>
      <c r="Q32" s="45" t="s">
        <v>21</v>
      </c>
    </row>
    <row r="33" spans="1:17" x14ac:dyDescent="0.2">
      <c r="A33" s="15"/>
      <c r="B33" s="63" t="s">
        <v>40</v>
      </c>
      <c r="C33" s="63" t="s">
        <v>38</v>
      </c>
      <c r="D33" s="63" t="s">
        <v>38</v>
      </c>
      <c r="E33" s="63" t="s">
        <v>38</v>
      </c>
      <c r="F33" s="12"/>
      <c r="G33" s="64" t="s">
        <v>39</v>
      </c>
      <c r="H33" s="63" t="s">
        <v>40</v>
      </c>
      <c r="I33" s="63" t="s">
        <v>38</v>
      </c>
      <c r="J33" s="63" t="s">
        <v>38</v>
      </c>
      <c r="K33" s="63" t="s">
        <v>38</v>
      </c>
      <c r="L33" s="15"/>
      <c r="N33" s="64"/>
      <c r="O33" s="65" t="s">
        <v>39</v>
      </c>
      <c r="P33" s="65" t="s">
        <v>39</v>
      </c>
      <c r="Q33" s="66" t="s">
        <v>39</v>
      </c>
    </row>
    <row r="34" spans="1:17" x14ac:dyDescent="0.2">
      <c r="A34" s="82">
        <v>1</v>
      </c>
      <c r="B34" s="9">
        <v>1006.1300560751464</v>
      </c>
      <c r="C34" s="9">
        <v>2521.130397757534</v>
      </c>
      <c r="D34" s="9">
        <v>1348.9082846399999</v>
      </c>
      <c r="E34" s="9">
        <v>875.86828463999996</v>
      </c>
      <c r="G34" s="16">
        <v>311.29169506261286</v>
      </c>
      <c r="H34" s="9">
        <f>MAX(0,$B34+(I$7-8327))</f>
        <v>1006.1300560751464</v>
      </c>
      <c r="I34" s="9">
        <f t="shared" ref="I34:K38" si="2">C34</f>
        <v>2521.130397757534</v>
      </c>
      <c r="J34" s="9">
        <f t="shared" si="2"/>
        <v>1348.9082846399999</v>
      </c>
      <c r="K34" s="9">
        <f t="shared" si="2"/>
        <v>875.86828463999996</v>
      </c>
      <c r="L34" s="28">
        <f>I34/J34</f>
        <v>1.8690154300819493</v>
      </c>
      <c r="N34" s="15" t="s">
        <v>0</v>
      </c>
      <c r="O34" s="46">
        <f>J3</f>
        <v>21.83</v>
      </c>
      <c r="P34" s="46">
        <f>ROUND(O34*(1+L$34),2)</f>
        <v>62.63</v>
      </c>
      <c r="Q34" s="47">
        <f>ROUND(O34*(1+L$39),2)</f>
        <v>34.21</v>
      </c>
    </row>
    <row r="35" spans="1:17" x14ac:dyDescent="0.2">
      <c r="A35" s="82">
        <v>2</v>
      </c>
      <c r="B35" s="9">
        <v>743.81903144407499</v>
      </c>
      <c r="C35" s="9">
        <v>938.15777378807843</v>
      </c>
      <c r="D35" s="9">
        <v>1358.0873630400001</v>
      </c>
      <c r="E35" s="9">
        <v>885.04736303999994</v>
      </c>
      <c r="G35" s="16">
        <v>168.5668416241306</v>
      </c>
      <c r="H35" s="9">
        <f>MAX(0,$B35+(I$7-8327))</f>
        <v>743.81903144407499</v>
      </c>
      <c r="I35" s="9">
        <f t="shared" si="2"/>
        <v>938.15777378807843</v>
      </c>
      <c r="J35" s="9">
        <f t="shared" si="2"/>
        <v>1358.0873630400001</v>
      </c>
      <c r="K35" s="9">
        <f t="shared" si="2"/>
        <v>885.04736303999994</v>
      </c>
      <c r="L35" s="26">
        <f>I35/J35</f>
        <v>0.69079339026324971</v>
      </c>
      <c r="N35" s="15" t="s">
        <v>1</v>
      </c>
      <c r="O35" s="46">
        <f>J4</f>
        <v>23</v>
      </c>
      <c r="P35" s="46">
        <f>ROUND(O35*(1+L$34),2)</f>
        <v>65.989999999999995</v>
      </c>
      <c r="Q35" s="47">
        <f>ROUND(O35*(1+L$39),2)</f>
        <v>36.04</v>
      </c>
    </row>
    <row r="36" spans="1:17" x14ac:dyDescent="0.2">
      <c r="A36" s="82">
        <v>3</v>
      </c>
      <c r="B36" s="9">
        <v>616.3412769256264</v>
      </c>
      <c r="C36" s="9">
        <v>128.59187722696493</v>
      </c>
      <c r="D36" s="9">
        <v>1365.92782584</v>
      </c>
      <c r="E36" s="9">
        <v>892.88782584</v>
      </c>
      <c r="G36" s="16">
        <v>44.317271549854695</v>
      </c>
      <c r="H36" s="9">
        <f>MAX(0,$B36+(I$7-8327))</f>
        <v>616.3412769256264</v>
      </c>
      <c r="I36" s="9">
        <f t="shared" si="2"/>
        <v>128.59187722696493</v>
      </c>
      <c r="J36" s="9">
        <f t="shared" si="2"/>
        <v>1365.92782584</v>
      </c>
      <c r="K36" s="9">
        <f t="shared" si="2"/>
        <v>892.88782584</v>
      </c>
      <c r="L36" s="26">
        <f>I36/J36</f>
        <v>9.4142512359966915E-2</v>
      </c>
      <c r="N36" s="15" t="s">
        <v>2</v>
      </c>
      <c r="O36" s="46">
        <f>J5</f>
        <v>19.260000000000002</v>
      </c>
      <c r="P36" s="46">
        <f>ROUND(O36*(1+L$34),2)</f>
        <v>55.26</v>
      </c>
      <c r="Q36" s="47">
        <f>ROUND(O36*(1+L$39),2)</f>
        <v>30.18</v>
      </c>
    </row>
    <row r="37" spans="1:17" x14ac:dyDescent="0.2">
      <c r="A37" s="82">
        <v>4</v>
      </c>
      <c r="B37" s="9">
        <v>457.79312707323339</v>
      </c>
      <c r="C37" s="9">
        <v>105.14098146847584</v>
      </c>
      <c r="D37" s="9">
        <v>1377.4016738400001</v>
      </c>
      <c r="E37" s="9">
        <v>904.36167383999987</v>
      </c>
      <c r="G37" s="16">
        <v>47.253332074197957</v>
      </c>
      <c r="H37" s="9">
        <f>MAX(0,$B37+(I$7-8327))</f>
        <v>457.79312707323339</v>
      </c>
      <c r="I37" s="9">
        <f t="shared" si="2"/>
        <v>105.14098146847584</v>
      </c>
      <c r="J37" s="9">
        <f t="shared" si="2"/>
        <v>1377.4016738400001</v>
      </c>
      <c r="K37" s="9">
        <f t="shared" si="2"/>
        <v>904.36167383999987</v>
      </c>
      <c r="L37" s="26">
        <f>I37/J37</f>
        <v>7.63328399154313E-2</v>
      </c>
      <c r="N37" s="48" t="s">
        <v>3</v>
      </c>
      <c r="O37" s="49">
        <f>J6</f>
        <v>27</v>
      </c>
      <c r="P37" s="49">
        <f>ROUND(O37*(1+L$34),2)</f>
        <v>77.459999999999994</v>
      </c>
      <c r="Q37" s="50">
        <f>ROUND(O37*(1+L$39),2)</f>
        <v>42.31</v>
      </c>
    </row>
    <row r="38" spans="1:17" x14ac:dyDescent="0.2">
      <c r="A38" s="83">
        <v>5</v>
      </c>
      <c r="B38" s="10">
        <v>609.03339153894922</v>
      </c>
      <c r="C38" s="10">
        <v>145.79228963509354</v>
      </c>
      <c r="D38" s="10">
        <v>1387.1544446400001</v>
      </c>
      <c r="E38" s="10">
        <v>914.11444463999987</v>
      </c>
      <c r="G38" s="17">
        <v>47.637304122106308</v>
      </c>
      <c r="H38" s="10">
        <f>MAX(0,$B38+(I$7-8327))</f>
        <v>609.03339153894922</v>
      </c>
      <c r="I38" s="10">
        <f t="shared" si="2"/>
        <v>145.79228963509354</v>
      </c>
      <c r="J38" s="11">
        <f t="shared" si="2"/>
        <v>1387.1544446400001</v>
      </c>
      <c r="K38" s="10">
        <f t="shared" si="2"/>
        <v>914.11444463999987</v>
      </c>
      <c r="L38" s="27">
        <f>I38/J38</f>
        <v>0.10510169952483564</v>
      </c>
    </row>
    <row r="39" spans="1:17" x14ac:dyDescent="0.2">
      <c r="A39" s="53" t="s">
        <v>30</v>
      </c>
      <c r="B39" s="54">
        <f>AVERAGE(B34:B38)</f>
        <v>686.62337661140612</v>
      </c>
      <c r="C39" s="54">
        <f>AVERAGE(C34:C38)</f>
        <v>767.76266397522943</v>
      </c>
      <c r="D39" s="54">
        <f>AVERAGE(D34:D38)</f>
        <v>1367.4959183999999</v>
      </c>
      <c r="E39" s="55">
        <f>AVERAGE(E34:E38)</f>
        <v>894.45591839999975</v>
      </c>
      <c r="G39" s="57">
        <f t="shared" ref="G39:L39" si="3">AVERAGE(G34:G38)</f>
        <v>123.81328888658049</v>
      </c>
      <c r="H39" s="58">
        <f t="shared" si="3"/>
        <v>686.62337661140612</v>
      </c>
      <c r="I39" s="56">
        <f t="shared" si="3"/>
        <v>767.76266397522943</v>
      </c>
      <c r="J39" s="56">
        <f t="shared" si="3"/>
        <v>1367.4959183999999</v>
      </c>
      <c r="K39" s="56">
        <f t="shared" si="3"/>
        <v>894.45591839999975</v>
      </c>
      <c r="L39" s="59">
        <f t="shared" si="3"/>
        <v>0.56707717442908667</v>
      </c>
    </row>
    <row r="41" spans="1:17" x14ac:dyDescent="0.2">
      <c r="B41" s="37" t="s">
        <v>46</v>
      </c>
    </row>
    <row r="42" spans="1:17" x14ac:dyDescent="0.2">
      <c r="B42" s="37" t="s">
        <v>33</v>
      </c>
    </row>
    <row r="43" spans="1:17" x14ac:dyDescent="0.2">
      <c r="B43" s="37" t="s">
        <v>48</v>
      </c>
    </row>
    <row r="44" spans="1:17" ht="42" customHeight="1" x14ac:dyDescent="0.2">
      <c r="B44" s="39"/>
      <c r="C44" s="70" t="s">
        <v>47</v>
      </c>
      <c r="D44" s="70" t="s">
        <v>51</v>
      </c>
      <c r="E44" s="71" t="s">
        <v>52</v>
      </c>
    </row>
    <row r="45" spans="1:17" x14ac:dyDescent="0.2">
      <c r="B45" s="72" t="s">
        <v>0</v>
      </c>
      <c r="C45" s="40">
        <f>4343+1611-46-67-2000</f>
        <v>3841</v>
      </c>
      <c r="D45" s="40">
        <v>21.83</v>
      </c>
      <c r="E45" s="31">
        <f>C45*D45*8760/1000000</f>
        <v>734.51750279999999</v>
      </c>
    </row>
    <row r="46" spans="1:17" x14ac:dyDescent="0.2">
      <c r="B46" s="72" t="s">
        <v>1</v>
      </c>
      <c r="C46" s="73">
        <v>1486</v>
      </c>
      <c r="D46" s="74">
        <f>(AVERAGE(G22:G26)*496+990*20.68)/C46</f>
        <v>55.104031822169532</v>
      </c>
      <c r="E46" s="31">
        <f>C46*D46*8760/1000000</f>
        <v>717.30901968063677</v>
      </c>
      <c r="F46" s="79" t="s">
        <v>54</v>
      </c>
      <c r="G46" t="str">
        <f>"DSI LB CRAC Rate of $"&amp;TEXT(D46,"00.00")&amp;"/MWh = (496 aMW x $"&amp;TEXT(G64,"00.0")&amp;" + 990 aMW x $20.68)/1486 aMW"</f>
        <v>DSI LB CRAC Rate of $55.10/MWh = (496 aMW x $123.8 + 990 aMW x $20.68)/1486 aMW</v>
      </c>
    </row>
    <row r="47" spans="1:17" x14ac:dyDescent="0.2">
      <c r="B47" s="72" t="s">
        <v>2</v>
      </c>
      <c r="C47" s="40">
        <v>1000</v>
      </c>
      <c r="D47" s="40">
        <v>19.260000000000002</v>
      </c>
      <c r="E47" s="31">
        <f>C47*D47*8760/1000000</f>
        <v>168.7176</v>
      </c>
    </row>
    <row r="48" spans="1:17" x14ac:dyDescent="0.2">
      <c r="B48" s="72" t="s">
        <v>3</v>
      </c>
      <c r="C48" s="40">
        <v>2000</v>
      </c>
      <c r="D48" s="40">
        <v>27</v>
      </c>
      <c r="E48" s="31">
        <f>C48*D48*8760/1000000</f>
        <v>473.04</v>
      </c>
    </row>
    <row r="49" spans="1:17" x14ac:dyDescent="0.2">
      <c r="B49" s="75" t="s">
        <v>4</v>
      </c>
      <c r="C49" s="76">
        <f>SUM(C45:C48)</f>
        <v>8327</v>
      </c>
      <c r="D49" s="76"/>
      <c r="E49" s="32">
        <f>SUM(E45:E48)</f>
        <v>2093.5841224806368</v>
      </c>
    </row>
    <row r="50" spans="1:17" x14ac:dyDescent="0.2">
      <c r="B50" s="1"/>
      <c r="C50" s="3"/>
      <c r="D50" s="4" t="s">
        <v>5</v>
      </c>
      <c r="E50" s="5">
        <f>E49</f>
        <v>2093.5841224806368</v>
      </c>
    </row>
    <row r="51" spans="1:17" x14ac:dyDescent="0.2">
      <c r="D51" s="4" t="s">
        <v>6</v>
      </c>
      <c r="E51" s="5">
        <f>SUM(E45:E47)</f>
        <v>1620.5441224806368</v>
      </c>
      <c r="F51" s="79" t="s">
        <v>54</v>
      </c>
      <c r="G51" t="s">
        <v>53</v>
      </c>
    </row>
    <row r="52" spans="1:17" x14ac:dyDescent="0.2">
      <c r="D52" t="s">
        <v>22</v>
      </c>
      <c r="E52" s="29">
        <f>E51/E50</f>
        <v>0.77405254705528315</v>
      </c>
    </row>
    <row r="53" spans="1:17" x14ac:dyDescent="0.2">
      <c r="C53" t="s">
        <v>7</v>
      </c>
      <c r="E53" s="19">
        <f>E49/C49/0.00876</f>
        <v>28.701047350515665</v>
      </c>
    </row>
    <row r="54" spans="1:17" x14ac:dyDescent="0.2">
      <c r="B54" s="37"/>
    </row>
    <row r="55" spans="1:17" x14ac:dyDescent="0.2">
      <c r="B55" s="37"/>
    </row>
    <row r="56" spans="1:17" x14ac:dyDescent="0.2">
      <c r="A56" s="24"/>
      <c r="B56" s="24" t="s">
        <v>9</v>
      </c>
      <c r="C56" s="7" t="s">
        <v>10</v>
      </c>
      <c r="D56" s="7" t="s">
        <v>11</v>
      </c>
      <c r="E56" s="7" t="s">
        <v>12</v>
      </c>
      <c r="G56" s="13" t="s">
        <v>16</v>
      </c>
      <c r="H56" s="7" t="s">
        <v>9</v>
      </c>
      <c r="I56" s="7" t="s">
        <v>10</v>
      </c>
      <c r="J56" s="7" t="s">
        <v>11</v>
      </c>
      <c r="K56" s="7" t="s">
        <v>12</v>
      </c>
      <c r="L56" s="24" t="s">
        <v>18</v>
      </c>
      <c r="N56" s="13" t="s">
        <v>27</v>
      </c>
      <c r="O56" s="42" t="s">
        <v>26</v>
      </c>
      <c r="P56" s="119" t="s">
        <v>50</v>
      </c>
      <c r="Q56" s="120"/>
    </row>
    <row r="57" spans="1:17" x14ac:dyDescent="0.2">
      <c r="A57" s="52" t="s">
        <v>29</v>
      </c>
      <c r="B57" s="25" t="s">
        <v>13</v>
      </c>
      <c r="C57" s="8" t="s">
        <v>14</v>
      </c>
      <c r="D57" s="8" t="s">
        <v>15</v>
      </c>
      <c r="E57" s="8" t="s">
        <v>15</v>
      </c>
      <c r="G57" s="14" t="s">
        <v>17</v>
      </c>
      <c r="H57" s="8" t="s">
        <v>13</v>
      </c>
      <c r="I57" s="8" t="s">
        <v>14</v>
      </c>
      <c r="J57" s="8" t="s">
        <v>15</v>
      </c>
      <c r="K57" s="8" t="s">
        <v>15</v>
      </c>
      <c r="L57" s="25" t="s">
        <v>19</v>
      </c>
      <c r="N57" s="14" t="s">
        <v>28</v>
      </c>
      <c r="O57" s="44" t="s">
        <v>49</v>
      </c>
      <c r="P57" s="44" t="s">
        <v>20</v>
      </c>
      <c r="Q57" s="45" t="s">
        <v>21</v>
      </c>
    </row>
    <row r="58" spans="1:17" x14ac:dyDescent="0.2">
      <c r="A58" s="15"/>
      <c r="B58" s="63" t="s">
        <v>40</v>
      </c>
      <c r="C58" s="63" t="s">
        <v>38</v>
      </c>
      <c r="D58" s="63" t="s">
        <v>38</v>
      </c>
      <c r="E58" s="63" t="s">
        <v>38</v>
      </c>
      <c r="G58" s="64" t="s">
        <v>39</v>
      </c>
      <c r="H58" s="63" t="s">
        <v>40</v>
      </c>
      <c r="I58" s="63" t="s">
        <v>38</v>
      </c>
      <c r="J58" s="63" t="s">
        <v>38</v>
      </c>
      <c r="K58" s="63" t="s">
        <v>38</v>
      </c>
      <c r="L58" s="15"/>
      <c r="N58" s="64"/>
      <c r="O58" s="65" t="s">
        <v>39</v>
      </c>
      <c r="P58" s="65" t="s">
        <v>39</v>
      </c>
      <c r="Q58" s="66" t="s">
        <v>39</v>
      </c>
    </row>
    <row r="59" spans="1:17" x14ac:dyDescent="0.2">
      <c r="A59" s="82">
        <v>1</v>
      </c>
      <c r="B59" s="9">
        <v>2549.6575308641973</v>
      </c>
      <c r="C59" s="9">
        <v>6497.1363977575338</v>
      </c>
      <c r="D59" s="9">
        <f>E50</f>
        <v>2093.5841224806368</v>
      </c>
      <c r="E59" s="9">
        <f>E51</f>
        <v>1620.5441224806368</v>
      </c>
      <c r="G59" s="16">
        <v>311.29169506261286</v>
      </c>
      <c r="H59" s="9">
        <f>MAX(0,$B59+(I$7-8327))</f>
        <v>2549.6575308641973</v>
      </c>
      <c r="I59" s="9">
        <f>C59</f>
        <v>6497.1363977575338</v>
      </c>
      <c r="J59" s="9">
        <f>E50</f>
        <v>2093.5841224806368</v>
      </c>
      <c r="K59" s="9">
        <f>E51</f>
        <v>1620.5441224806368</v>
      </c>
      <c r="L59" s="28">
        <f>I59/J59</f>
        <v>3.1033557849393869</v>
      </c>
      <c r="N59" s="15" t="s">
        <v>0</v>
      </c>
      <c r="O59" s="46">
        <f>J3</f>
        <v>21.83</v>
      </c>
      <c r="P59" s="46">
        <f>ROUND(O59*(1+L$59),2)</f>
        <v>89.58</v>
      </c>
      <c r="Q59" s="47">
        <f>ROUND(O59*(1+L$64),2)</f>
        <v>44.63</v>
      </c>
    </row>
    <row r="60" spans="1:17" x14ac:dyDescent="0.2">
      <c r="A60" s="82">
        <v>2</v>
      </c>
      <c r="B60" s="9">
        <v>2287.3465062331256</v>
      </c>
      <c r="C60" s="9">
        <v>2970.0637737880784</v>
      </c>
      <c r="D60" s="9">
        <f t="shared" ref="D60:E63" si="4">D59</f>
        <v>2093.5841224806368</v>
      </c>
      <c r="E60" s="9">
        <f t="shared" si="4"/>
        <v>1620.5441224806368</v>
      </c>
      <c r="G60" s="16">
        <v>168.5668416241306</v>
      </c>
      <c r="H60" s="9">
        <f>MAX(0,$B60+(I$7-8327))</f>
        <v>2287.3465062331256</v>
      </c>
      <c r="I60" s="9">
        <f>C60</f>
        <v>2970.0637737880784</v>
      </c>
      <c r="J60" s="9">
        <f t="shared" ref="J60:K63" si="5">J59</f>
        <v>2093.5841224806368</v>
      </c>
      <c r="K60" s="9">
        <f t="shared" si="5"/>
        <v>1620.5441224806368</v>
      </c>
      <c r="L60" s="26">
        <f>I60/J60</f>
        <v>1.4186503144993869</v>
      </c>
      <c r="N60" s="15" t="s">
        <v>1</v>
      </c>
      <c r="O60" s="46">
        <f>D46</f>
        <v>55.104031822169532</v>
      </c>
      <c r="P60" s="46">
        <f>ROUND(O60*(1+L$59),2)</f>
        <v>226.11</v>
      </c>
      <c r="Q60" s="47">
        <f>ROUND(O60*(1+L$64),2)</f>
        <v>112.66</v>
      </c>
    </row>
    <row r="61" spans="1:17" x14ac:dyDescent="0.2">
      <c r="A61" s="82">
        <v>3</v>
      </c>
      <c r="B61" s="9">
        <v>2159.8687517146777</v>
      </c>
      <c r="C61" s="9">
        <v>461.402277226965</v>
      </c>
      <c r="D61" s="9">
        <f t="shared" si="4"/>
        <v>2093.5841224806368</v>
      </c>
      <c r="E61" s="9">
        <f t="shared" si="4"/>
        <v>1620.5441224806368</v>
      </c>
      <c r="G61" s="16">
        <v>44.317271549854695</v>
      </c>
      <c r="H61" s="9">
        <f>MAX(0,$B61+(I$7-8327))</f>
        <v>2159.8687517146777</v>
      </c>
      <c r="I61" s="9">
        <f>C61</f>
        <v>461.402277226965</v>
      </c>
      <c r="J61" s="9">
        <f t="shared" si="5"/>
        <v>2093.5841224806368</v>
      </c>
      <c r="K61" s="9">
        <f t="shared" si="5"/>
        <v>1620.5441224806368</v>
      </c>
      <c r="L61" s="26">
        <f>I61/J61</f>
        <v>0.22038869719754117</v>
      </c>
      <c r="N61" s="15" t="s">
        <v>2</v>
      </c>
      <c r="O61" s="46">
        <f>J5</f>
        <v>19.260000000000002</v>
      </c>
      <c r="P61" s="46">
        <f>ROUND(O61*(1+L$59),2)</f>
        <v>79.03</v>
      </c>
      <c r="Q61" s="47">
        <f>ROUND(O61*(1+L$64),2)</f>
        <v>39.380000000000003</v>
      </c>
    </row>
    <row r="62" spans="1:17" x14ac:dyDescent="0.2">
      <c r="A62" s="82">
        <v>4</v>
      </c>
      <c r="B62" s="9">
        <v>2001.018560385889</v>
      </c>
      <c r="C62" s="9">
        <v>485.34698146847575</v>
      </c>
      <c r="D62" s="9">
        <f t="shared" si="4"/>
        <v>2093.5841224806368</v>
      </c>
      <c r="E62" s="9">
        <f t="shared" si="4"/>
        <v>1620.5441224806368</v>
      </c>
      <c r="G62" s="16">
        <v>47.253332074197957</v>
      </c>
      <c r="H62" s="9">
        <f>MAX(0,$B62+(I$7-8327))</f>
        <v>2001.018560385889</v>
      </c>
      <c r="I62" s="9">
        <f>C62</f>
        <v>485.34698146847575</v>
      </c>
      <c r="J62" s="9">
        <f t="shared" si="5"/>
        <v>2093.5841224806368</v>
      </c>
      <c r="K62" s="9">
        <f t="shared" si="5"/>
        <v>1620.5441224806368</v>
      </c>
      <c r="L62" s="26">
        <f>I62/J62</f>
        <v>0.23182587996196682</v>
      </c>
      <c r="N62" s="48" t="s">
        <v>3</v>
      </c>
      <c r="O62" s="49">
        <f>J6</f>
        <v>27</v>
      </c>
      <c r="P62" s="49">
        <f>ROUND(O62*(1+L$59),2)</f>
        <v>110.79</v>
      </c>
      <c r="Q62" s="50">
        <f>ROUND(O62*(1+L$64),2)</f>
        <v>55.2</v>
      </c>
    </row>
    <row r="63" spans="1:17" x14ac:dyDescent="0.2">
      <c r="A63" s="83">
        <v>5</v>
      </c>
      <c r="B63" s="10">
        <v>2149.7580034459493</v>
      </c>
      <c r="C63" s="10">
        <v>519.29828963509351</v>
      </c>
      <c r="D63" s="10">
        <f t="shared" si="4"/>
        <v>2093.5841224806368</v>
      </c>
      <c r="E63" s="10">
        <f t="shared" si="4"/>
        <v>1620.5441224806368</v>
      </c>
      <c r="G63" s="17">
        <v>47.637304122106308</v>
      </c>
      <c r="H63" s="10">
        <f>MAX(0,$B63+(I$7-8327))</f>
        <v>2149.7580034459493</v>
      </c>
      <c r="I63" s="10">
        <f>C63</f>
        <v>519.29828963509351</v>
      </c>
      <c r="J63" s="9">
        <f t="shared" si="5"/>
        <v>2093.5841224806368</v>
      </c>
      <c r="K63" s="9">
        <f t="shared" si="5"/>
        <v>1620.5441224806368</v>
      </c>
      <c r="L63" s="27">
        <f>I63/J63</f>
        <v>0.24804271491120675</v>
      </c>
    </row>
    <row r="64" spans="1:17" x14ac:dyDescent="0.2">
      <c r="A64" s="53" t="s">
        <v>30</v>
      </c>
      <c r="B64" s="54">
        <f>AVERAGE(B59:B63)</f>
        <v>2229.5298705287678</v>
      </c>
      <c r="C64" s="54">
        <f>AVERAGE(C59:C63)</f>
        <v>2186.6495439752293</v>
      </c>
      <c r="D64" s="54">
        <f>AVERAGE(D59:D63)</f>
        <v>2093.5841224806368</v>
      </c>
      <c r="E64" s="55">
        <f>AVERAGE(E59:E63)</f>
        <v>1620.5441224806368</v>
      </c>
      <c r="G64" s="69">
        <f t="shared" ref="G64:L64" si="6">AVERAGE(G59:G63)</f>
        <v>123.81328888658049</v>
      </c>
      <c r="H64" s="58">
        <f t="shared" si="6"/>
        <v>2229.5298705287678</v>
      </c>
      <c r="I64" s="56">
        <f t="shared" si="6"/>
        <v>2186.6495439752293</v>
      </c>
      <c r="J64" s="56">
        <f t="shared" si="6"/>
        <v>2093.5841224806368</v>
      </c>
      <c r="K64" s="56">
        <f t="shared" si="6"/>
        <v>1620.5441224806368</v>
      </c>
      <c r="L64" s="59">
        <f t="shared" si="6"/>
        <v>1.0444526783018977</v>
      </c>
    </row>
  </sheetData>
  <mergeCells count="6">
    <mergeCell ref="H2:K2"/>
    <mergeCell ref="A13:Q13"/>
    <mergeCell ref="A14:Q14"/>
    <mergeCell ref="P56:Q56"/>
    <mergeCell ref="P31:Q31"/>
    <mergeCell ref="P19:Q19"/>
  </mergeCells>
  <pageMargins left="0.75" right="0.75" top="1" bottom="1" header="0.5" footer="0.5"/>
  <pageSetup scale="2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D1:M40"/>
  <sheetViews>
    <sheetView workbookViewId="0">
      <selection activeCell="C24" sqref="C24"/>
    </sheetView>
  </sheetViews>
  <sheetFormatPr defaultRowHeight="12.75" x14ac:dyDescent="0.2"/>
  <cols>
    <col min="5" max="5" width="51.42578125" bestFit="1" customWidth="1"/>
    <col min="7" max="7" width="51.7109375" bestFit="1" customWidth="1"/>
    <col min="9" max="9" width="51.42578125" bestFit="1" customWidth="1"/>
    <col min="11" max="11" width="51.5703125" bestFit="1" customWidth="1"/>
    <col min="13" max="13" width="51.42578125" bestFit="1" customWidth="1"/>
  </cols>
  <sheetData>
    <row r="1" spans="4:13" x14ac:dyDescent="0.2">
      <c r="D1" t="s">
        <v>148</v>
      </c>
    </row>
    <row r="2" spans="4:13" x14ac:dyDescent="0.2">
      <c r="D2" t="s">
        <v>151</v>
      </c>
    </row>
    <row r="3" spans="4:13" x14ac:dyDescent="0.2">
      <c r="D3" t="s">
        <v>149</v>
      </c>
    </row>
    <row r="4" spans="4:13" x14ac:dyDescent="0.2">
      <c r="D4" t="s">
        <v>152</v>
      </c>
    </row>
    <row r="5" spans="4:13" x14ac:dyDescent="0.2">
      <c r="D5" t="s">
        <v>150</v>
      </c>
    </row>
    <row r="6" spans="4:13" x14ac:dyDescent="0.2">
      <c r="D6" t="s">
        <v>153</v>
      </c>
    </row>
    <row r="7" spans="4:13" x14ac:dyDescent="0.2">
      <c r="D7" t="s">
        <v>154</v>
      </c>
      <c r="E7" t="s">
        <v>155</v>
      </c>
    </row>
    <row r="9" spans="4:13" x14ac:dyDescent="0.2">
      <c r="D9" t="s">
        <v>116</v>
      </c>
    </row>
    <row r="10" spans="4:13" x14ac:dyDescent="0.2">
      <c r="D10" t="s">
        <v>94</v>
      </c>
      <c r="E10" t="s">
        <v>115</v>
      </c>
      <c r="F10" t="s">
        <v>94</v>
      </c>
      <c r="G10" t="s">
        <v>115</v>
      </c>
      <c r="H10" t="s">
        <v>94</v>
      </c>
      <c r="I10" t="s">
        <v>115</v>
      </c>
      <c r="J10" t="s">
        <v>94</v>
      </c>
      <c r="K10" t="s">
        <v>115</v>
      </c>
      <c r="L10" t="s">
        <v>94</v>
      </c>
      <c r="M10" t="s">
        <v>115</v>
      </c>
    </row>
    <row r="11" spans="4:13" x14ac:dyDescent="0.2">
      <c r="D11" s="13" t="s">
        <v>16</v>
      </c>
      <c r="E11" s="13" t="s">
        <v>16</v>
      </c>
      <c r="F11" s="7" t="s">
        <v>9</v>
      </c>
      <c r="G11" s="7" t="s">
        <v>9</v>
      </c>
      <c r="H11" s="7" t="s">
        <v>10</v>
      </c>
      <c r="I11" s="7" t="s">
        <v>10</v>
      </c>
      <c r="J11" s="7" t="s">
        <v>11</v>
      </c>
      <c r="K11" s="7" t="s">
        <v>11</v>
      </c>
      <c r="L11" s="7" t="s">
        <v>12</v>
      </c>
      <c r="M11" s="7" t="s">
        <v>12</v>
      </c>
    </row>
    <row r="12" spans="4:13" x14ac:dyDescent="0.2">
      <c r="D12" s="14" t="s">
        <v>17</v>
      </c>
      <c r="E12" s="14" t="s">
        <v>17</v>
      </c>
      <c r="F12" s="8" t="s">
        <v>13</v>
      </c>
      <c r="G12" s="8" t="s">
        <v>13</v>
      </c>
      <c r="H12" s="8" t="s">
        <v>14</v>
      </c>
      <c r="I12" s="8" t="s">
        <v>14</v>
      </c>
      <c r="J12" s="8" t="s">
        <v>15</v>
      </c>
      <c r="K12" s="8" t="s">
        <v>15</v>
      </c>
      <c r="L12" s="8" t="s">
        <v>15</v>
      </c>
      <c r="M12" s="8" t="s">
        <v>15</v>
      </c>
    </row>
    <row r="13" spans="4:13" x14ac:dyDescent="0.2">
      <c r="D13">
        <f>'Attachment 1C'!G22</f>
        <v>311.29169506261286</v>
      </c>
      <c r="E13" s="93" t="s">
        <v>206</v>
      </c>
      <c r="F13">
        <f>'Attachment 1C'!H22</f>
        <v>2549.6575308641973</v>
      </c>
      <c r="G13" s="93" t="s">
        <v>207</v>
      </c>
      <c r="H13">
        <f>'Attachment 1C'!I22</f>
        <v>6497.1363977575338</v>
      </c>
      <c r="I13" s="93" t="s">
        <v>208</v>
      </c>
      <c r="J13">
        <f>'Attachment 1C'!J22</f>
        <v>1639.3022846399999</v>
      </c>
      <c r="K13" s="93" t="s">
        <v>209</v>
      </c>
      <c r="L13">
        <f>'Attachment 1C'!K22</f>
        <v>1166.26228464</v>
      </c>
      <c r="M13" s="93" t="s">
        <v>210</v>
      </c>
    </row>
    <row r="14" spans="4:13" x14ac:dyDescent="0.2">
      <c r="D14">
        <f>'Attachment 1C'!G23</f>
        <v>168.5668416241306</v>
      </c>
      <c r="E14" s="93" t="s">
        <v>211</v>
      </c>
      <c r="F14">
        <f>'Attachment 1C'!H23</f>
        <v>2287.3465062331256</v>
      </c>
      <c r="G14" s="93" t="s">
        <v>212</v>
      </c>
      <c r="H14">
        <f>'Attachment 1C'!I23</f>
        <v>2970.0637737880784</v>
      </c>
      <c r="I14" s="93" t="s">
        <v>213</v>
      </c>
      <c r="J14">
        <f>'Attachment 1C'!J23</f>
        <v>1648.4813630400001</v>
      </c>
      <c r="K14" s="93" t="s">
        <v>214</v>
      </c>
      <c r="L14">
        <f>'Attachment 1C'!K23</f>
        <v>1175.4413630399999</v>
      </c>
      <c r="M14" s="93" t="s">
        <v>215</v>
      </c>
    </row>
    <row r="15" spans="4:13" x14ac:dyDescent="0.2">
      <c r="D15">
        <f>'Attachment 1C'!G24</f>
        <v>44.317271549854695</v>
      </c>
      <c r="E15" s="93" t="s">
        <v>216</v>
      </c>
      <c r="F15">
        <f>'Attachment 1C'!H24</f>
        <v>2159.8687517146777</v>
      </c>
      <c r="G15" s="93" t="s">
        <v>217</v>
      </c>
      <c r="H15">
        <f>'Attachment 1C'!I24</f>
        <v>461.402277226965</v>
      </c>
      <c r="I15" s="93" t="s">
        <v>218</v>
      </c>
      <c r="J15">
        <f>'Attachment 1C'!J24</f>
        <v>1656.32182584</v>
      </c>
      <c r="K15" s="93" t="s">
        <v>219</v>
      </c>
      <c r="L15">
        <f>'Attachment 1C'!K24</f>
        <v>1183.28182584</v>
      </c>
      <c r="M15" s="93" t="s">
        <v>220</v>
      </c>
    </row>
    <row r="16" spans="4:13" x14ac:dyDescent="0.2">
      <c r="D16">
        <f>'Attachment 1C'!G25</f>
        <v>47.253332074197957</v>
      </c>
      <c r="E16" s="93" t="s">
        <v>221</v>
      </c>
      <c r="F16">
        <f>'Attachment 1C'!H25</f>
        <v>2001.018560385889</v>
      </c>
      <c r="G16" s="93" t="s">
        <v>222</v>
      </c>
      <c r="H16">
        <f>'Attachment 1C'!I25</f>
        <v>485.34698146847575</v>
      </c>
      <c r="I16" s="93" t="s">
        <v>223</v>
      </c>
      <c r="J16">
        <f>'Attachment 1C'!J25</f>
        <v>1667.7956738400001</v>
      </c>
      <c r="K16" s="93" t="s">
        <v>224</v>
      </c>
      <c r="L16">
        <f>'Attachment 1C'!K25</f>
        <v>1194.7556738399999</v>
      </c>
      <c r="M16" s="93" t="s">
        <v>225</v>
      </c>
    </row>
    <row r="17" spans="4:13" x14ac:dyDescent="0.2">
      <c r="D17">
        <f>'Attachment 1C'!G26</f>
        <v>47.637304122106308</v>
      </c>
      <c r="E17" s="93" t="s">
        <v>226</v>
      </c>
      <c r="F17">
        <f>'Attachment 1C'!H26</f>
        <v>2149.7580034459493</v>
      </c>
      <c r="G17" s="93" t="s">
        <v>227</v>
      </c>
      <c r="H17">
        <f>'Attachment 1C'!I26</f>
        <v>519.29828963509351</v>
      </c>
      <c r="I17" s="93" t="s">
        <v>228</v>
      </c>
      <c r="J17">
        <f>'Attachment 1C'!J26</f>
        <v>1677.5484446400001</v>
      </c>
      <c r="K17" s="93" t="s">
        <v>229</v>
      </c>
      <c r="L17">
        <f>'Attachment 1C'!K26</f>
        <v>1204.5084446399999</v>
      </c>
      <c r="M17" s="93" t="s">
        <v>230</v>
      </c>
    </row>
    <row r="21" spans="4:13" x14ac:dyDescent="0.2">
      <c r="D21" t="s">
        <v>147</v>
      </c>
    </row>
    <row r="22" spans="4:13" x14ac:dyDescent="0.2">
      <c r="D22" t="s">
        <v>94</v>
      </c>
      <c r="E22" t="s">
        <v>115</v>
      </c>
      <c r="F22" t="s">
        <v>94</v>
      </c>
      <c r="G22" t="s">
        <v>115</v>
      </c>
      <c r="H22" t="s">
        <v>94</v>
      </c>
      <c r="I22" t="s">
        <v>115</v>
      </c>
      <c r="J22" t="s">
        <v>94</v>
      </c>
      <c r="K22" t="s">
        <v>115</v>
      </c>
      <c r="L22" t="s">
        <v>94</v>
      </c>
      <c r="M22" t="s">
        <v>115</v>
      </c>
    </row>
    <row r="23" spans="4:13" x14ac:dyDescent="0.2">
      <c r="D23" s="13" t="s">
        <v>16</v>
      </c>
      <c r="E23" s="13" t="s">
        <v>16</v>
      </c>
      <c r="F23" s="7" t="s">
        <v>9</v>
      </c>
      <c r="G23" s="7" t="s">
        <v>9</v>
      </c>
      <c r="H23" s="7" t="s">
        <v>10</v>
      </c>
      <c r="I23" s="7" t="s">
        <v>10</v>
      </c>
      <c r="J23" s="7" t="s">
        <v>11</v>
      </c>
      <c r="K23" s="7" t="s">
        <v>11</v>
      </c>
      <c r="L23" s="7" t="s">
        <v>12</v>
      </c>
      <c r="M23" s="7" t="s">
        <v>12</v>
      </c>
    </row>
    <row r="24" spans="4:13" x14ac:dyDescent="0.2">
      <c r="D24" s="14" t="s">
        <v>17</v>
      </c>
      <c r="E24" s="14" t="s">
        <v>17</v>
      </c>
      <c r="F24" s="8" t="s">
        <v>13</v>
      </c>
      <c r="G24" s="8" t="s">
        <v>13</v>
      </c>
      <c r="H24" s="8" t="s">
        <v>14</v>
      </c>
      <c r="I24" s="8" t="s">
        <v>14</v>
      </c>
      <c r="J24" s="8" t="s">
        <v>15</v>
      </c>
      <c r="K24" s="8" t="s">
        <v>15</v>
      </c>
      <c r="L24" s="8" t="s">
        <v>15</v>
      </c>
      <c r="M24" s="8" t="s">
        <v>15</v>
      </c>
    </row>
    <row r="25" spans="4:13" x14ac:dyDescent="0.2">
      <c r="D25">
        <f>'Attachment 1C'!G34</f>
        <v>311.29169506261286</v>
      </c>
      <c r="E25" s="93" t="s">
        <v>231</v>
      </c>
      <c r="F25">
        <f>'Attachment 1C'!H34</f>
        <v>1006.1300560751464</v>
      </c>
      <c r="G25" s="93" t="s">
        <v>232</v>
      </c>
      <c r="H25">
        <f>'Attachment 1C'!I34</f>
        <v>2521.130397757534</v>
      </c>
      <c r="I25" s="93" t="s">
        <v>233</v>
      </c>
      <c r="J25">
        <f>'Attachment 1C'!J34</f>
        <v>1348.9082846399999</v>
      </c>
      <c r="K25" s="93" t="s">
        <v>234</v>
      </c>
      <c r="L25">
        <f>'Attachment 1C'!K34</f>
        <v>875.86828463999996</v>
      </c>
      <c r="M25" s="93" t="s">
        <v>235</v>
      </c>
    </row>
    <row r="26" spans="4:13" x14ac:dyDescent="0.2">
      <c r="D26">
        <f>'Attachment 1C'!G35</f>
        <v>168.5668416241306</v>
      </c>
      <c r="E26" s="93" t="s">
        <v>236</v>
      </c>
      <c r="F26">
        <f>'Attachment 1C'!H35</f>
        <v>743.81903144407499</v>
      </c>
      <c r="G26" s="93" t="s">
        <v>237</v>
      </c>
      <c r="H26">
        <f>'Attachment 1C'!I35</f>
        <v>938.15777378807843</v>
      </c>
      <c r="I26" s="93" t="s">
        <v>238</v>
      </c>
      <c r="J26">
        <f>'Attachment 1C'!J35</f>
        <v>1358.0873630400001</v>
      </c>
      <c r="K26" s="93" t="s">
        <v>239</v>
      </c>
      <c r="L26">
        <f>'Attachment 1C'!K35</f>
        <v>885.04736303999994</v>
      </c>
      <c r="M26" s="93" t="s">
        <v>240</v>
      </c>
    </row>
    <row r="27" spans="4:13" x14ac:dyDescent="0.2">
      <c r="D27">
        <f>'Attachment 1C'!G36</f>
        <v>44.317271549854695</v>
      </c>
      <c r="E27" s="93" t="s">
        <v>241</v>
      </c>
      <c r="F27">
        <f>'Attachment 1C'!H36</f>
        <v>616.3412769256264</v>
      </c>
      <c r="G27" s="93" t="s">
        <v>242</v>
      </c>
      <c r="H27">
        <f>'Attachment 1C'!I36</f>
        <v>128.59187722696493</v>
      </c>
      <c r="I27" s="93" t="s">
        <v>243</v>
      </c>
      <c r="J27">
        <f>'Attachment 1C'!J36</f>
        <v>1365.92782584</v>
      </c>
      <c r="K27" s="93" t="s">
        <v>244</v>
      </c>
      <c r="L27">
        <f>'Attachment 1C'!K36</f>
        <v>892.88782584</v>
      </c>
      <c r="M27" s="93" t="s">
        <v>245</v>
      </c>
    </row>
    <row r="28" spans="4:13" x14ac:dyDescent="0.2">
      <c r="D28">
        <f>'Attachment 1C'!G37</f>
        <v>47.253332074197957</v>
      </c>
      <c r="E28" s="93" t="s">
        <v>246</v>
      </c>
      <c r="F28">
        <f>'Attachment 1C'!H37</f>
        <v>457.79312707323339</v>
      </c>
      <c r="G28" s="93" t="s">
        <v>247</v>
      </c>
      <c r="H28">
        <f>'Attachment 1C'!I37</f>
        <v>105.14098146847584</v>
      </c>
      <c r="I28" s="93" t="s">
        <v>248</v>
      </c>
      <c r="J28">
        <f>'Attachment 1C'!J37</f>
        <v>1377.4016738400001</v>
      </c>
      <c r="K28" s="93" t="s">
        <v>249</v>
      </c>
      <c r="L28">
        <f>'Attachment 1C'!K37</f>
        <v>904.36167383999987</v>
      </c>
      <c r="M28" s="93" t="s">
        <v>250</v>
      </c>
    </row>
    <row r="29" spans="4:13" x14ac:dyDescent="0.2">
      <c r="D29">
        <f>'Attachment 1C'!G38</f>
        <v>47.637304122106308</v>
      </c>
      <c r="E29" s="93" t="s">
        <v>251</v>
      </c>
      <c r="F29">
        <f>'Attachment 1C'!H38</f>
        <v>609.03339153894922</v>
      </c>
      <c r="G29" s="93" t="s">
        <v>252</v>
      </c>
      <c r="H29">
        <f>'Attachment 1C'!I38</f>
        <v>145.79228963509354</v>
      </c>
      <c r="I29" s="93" t="s">
        <v>253</v>
      </c>
      <c r="J29">
        <f>'Attachment 1C'!J38</f>
        <v>1387.1544446400001</v>
      </c>
      <c r="K29" s="93" t="s">
        <v>254</v>
      </c>
      <c r="L29">
        <f>'Attachment 1C'!K38</f>
        <v>914.11444463999987</v>
      </c>
      <c r="M29" s="93" t="s">
        <v>255</v>
      </c>
    </row>
    <row r="30" spans="4:13" x14ac:dyDescent="0.2">
      <c r="E30" s="93"/>
      <c r="G30" s="93"/>
      <c r="I30" s="93"/>
      <c r="K30" s="93"/>
      <c r="M30" s="93"/>
    </row>
    <row r="31" spans="4:13" x14ac:dyDescent="0.2">
      <c r="E31" s="93"/>
      <c r="G31" s="93"/>
      <c r="I31" s="93"/>
      <c r="K31" s="93"/>
      <c r="M31" s="93"/>
    </row>
    <row r="32" spans="4:13" x14ac:dyDescent="0.2">
      <c r="D32" t="s">
        <v>147</v>
      </c>
    </row>
    <row r="33" spans="4:13" x14ac:dyDescent="0.2">
      <c r="D33" t="s">
        <v>94</v>
      </c>
      <c r="E33" t="s">
        <v>115</v>
      </c>
      <c r="F33" t="s">
        <v>94</v>
      </c>
      <c r="G33" t="s">
        <v>115</v>
      </c>
      <c r="H33" t="s">
        <v>94</v>
      </c>
      <c r="I33" t="s">
        <v>115</v>
      </c>
      <c r="J33" t="s">
        <v>94</v>
      </c>
      <c r="K33" t="s">
        <v>115</v>
      </c>
      <c r="L33" t="s">
        <v>94</v>
      </c>
      <c r="M33" t="s">
        <v>115</v>
      </c>
    </row>
    <row r="34" spans="4:13" x14ac:dyDescent="0.2">
      <c r="D34" s="13" t="s">
        <v>16</v>
      </c>
      <c r="E34" s="13" t="s">
        <v>16</v>
      </c>
      <c r="F34" s="7" t="s">
        <v>9</v>
      </c>
      <c r="G34" s="7" t="s">
        <v>9</v>
      </c>
      <c r="H34" s="7" t="s">
        <v>10</v>
      </c>
      <c r="I34" s="7" t="s">
        <v>10</v>
      </c>
      <c r="J34" s="7" t="s">
        <v>11</v>
      </c>
      <c r="K34" s="7" t="s">
        <v>11</v>
      </c>
      <c r="L34" s="7" t="s">
        <v>12</v>
      </c>
      <c r="M34" s="7" t="s">
        <v>12</v>
      </c>
    </row>
    <row r="35" spans="4:13" x14ac:dyDescent="0.2">
      <c r="D35" s="14" t="s">
        <v>17</v>
      </c>
      <c r="E35" s="14" t="s">
        <v>17</v>
      </c>
      <c r="F35" s="8" t="s">
        <v>13</v>
      </c>
      <c r="G35" s="8" t="s">
        <v>13</v>
      </c>
      <c r="H35" s="8" t="s">
        <v>14</v>
      </c>
      <c r="I35" s="8" t="s">
        <v>14</v>
      </c>
      <c r="J35" s="8" t="s">
        <v>15</v>
      </c>
      <c r="K35" s="8" t="s">
        <v>15</v>
      </c>
      <c r="L35" s="8" t="s">
        <v>15</v>
      </c>
      <c r="M35" s="8" t="s">
        <v>15</v>
      </c>
    </row>
    <row r="36" spans="4:13" x14ac:dyDescent="0.2">
      <c r="D36">
        <f>'Attachment 1C'!G59</f>
        <v>311.29169506261286</v>
      </c>
      <c r="E36" s="93" t="s">
        <v>231</v>
      </c>
      <c r="F36">
        <f>'Attachment 1C'!H59</f>
        <v>2549.6575308641973</v>
      </c>
      <c r="G36" s="93" t="s">
        <v>232</v>
      </c>
      <c r="H36">
        <f>'Attachment 1C'!I59</f>
        <v>6497.1363977575338</v>
      </c>
      <c r="I36" s="93" t="s">
        <v>233</v>
      </c>
      <c r="J36">
        <f>'Attachment 1C'!J59</f>
        <v>2093.5841224806368</v>
      </c>
      <c r="K36" s="93" t="s">
        <v>234</v>
      </c>
      <c r="L36">
        <f>'Attachment 1C'!K59</f>
        <v>1620.5441224806368</v>
      </c>
      <c r="M36" s="93" t="s">
        <v>235</v>
      </c>
    </row>
    <row r="37" spans="4:13" x14ac:dyDescent="0.2">
      <c r="D37">
        <f>'Attachment 1C'!G60</f>
        <v>168.5668416241306</v>
      </c>
      <c r="E37" s="93" t="s">
        <v>236</v>
      </c>
      <c r="F37">
        <f>'Attachment 1C'!H60</f>
        <v>2287.3465062331256</v>
      </c>
      <c r="G37" s="93" t="s">
        <v>237</v>
      </c>
      <c r="H37">
        <f>'Attachment 1C'!I60</f>
        <v>2970.0637737880784</v>
      </c>
      <c r="I37" s="93" t="s">
        <v>238</v>
      </c>
      <c r="J37">
        <f>'Attachment 1C'!J60</f>
        <v>2093.5841224806368</v>
      </c>
      <c r="K37" s="93" t="s">
        <v>239</v>
      </c>
      <c r="L37">
        <f>'Attachment 1C'!K60</f>
        <v>1620.5441224806368</v>
      </c>
      <c r="M37" s="93" t="s">
        <v>240</v>
      </c>
    </row>
    <row r="38" spans="4:13" x14ac:dyDescent="0.2">
      <c r="D38">
        <f>'Attachment 1C'!G61</f>
        <v>44.317271549854695</v>
      </c>
      <c r="E38" s="93" t="s">
        <v>241</v>
      </c>
      <c r="F38">
        <f>'Attachment 1C'!H61</f>
        <v>2159.8687517146777</v>
      </c>
      <c r="G38" s="93" t="s">
        <v>242</v>
      </c>
      <c r="H38">
        <f>'Attachment 1C'!I61</f>
        <v>461.402277226965</v>
      </c>
      <c r="I38" s="93" t="s">
        <v>243</v>
      </c>
      <c r="J38">
        <f>'Attachment 1C'!J61</f>
        <v>2093.5841224806368</v>
      </c>
      <c r="K38" s="93" t="s">
        <v>244</v>
      </c>
      <c r="L38">
        <f>'Attachment 1C'!K61</f>
        <v>1620.5441224806368</v>
      </c>
      <c r="M38" s="93" t="s">
        <v>245</v>
      </c>
    </row>
    <row r="39" spans="4:13" x14ac:dyDescent="0.2">
      <c r="D39">
        <f>'Attachment 1C'!G62</f>
        <v>47.253332074197957</v>
      </c>
      <c r="E39" s="93" t="s">
        <v>246</v>
      </c>
      <c r="F39">
        <f>'Attachment 1C'!H62</f>
        <v>2001.018560385889</v>
      </c>
      <c r="G39" s="93" t="s">
        <v>247</v>
      </c>
      <c r="H39">
        <f>'Attachment 1C'!I62</f>
        <v>485.34698146847575</v>
      </c>
      <c r="I39" s="93" t="s">
        <v>248</v>
      </c>
      <c r="J39">
        <f>'Attachment 1C'!J62</f>
        <v>2093.5841224806368</v>
      </c>
      <c r="K39" s="93" t="s">
        <v>249</v>
      </c>
      <c r="L39">
        <f>'Attachment 1C'!K62</f>
        <v>1620.5441224806368</v>
      </c>
      <c r="M39" s="93" t="s">
        <v>250</v>
      </c>
    </row>
    <row r="40" spans="4:13" x14ac:dyDescent="0.2">
      <c r="D40">
        <f>'Attachment 1C'!G63</f>
        <v>47.637304122106308</v>
      </c>
      <c r="E40" s="93" t="s">
        <v>251</v>
      </c>
      <c r="F40">
        <f>'Attachment 1C'!H63</f>
        <v>2149.7580034459493</v>
      </c>
      <c r="G40" s="93" t="s">
        <v>252</v>
      </c>
      <c r="H40">
        <f>'Attachment 1C'!I63</f>
        <v>519.29828963509351</v>
      </c>
      <c r="I40" s="93" t="s">
        <v>253</v>
      </c>
      <c r="J40">
        <f>'Attachment 1C'!J63</f>
        <v>2093.5841224806368</v>
      </c>
      <c r="K40" s="93" t="s">
        <v>254</v>
      </c>
      <c r="L40">
        <f>'Attachment 1C'!K63</f>
        <v>1620.5441224806368</v>
      </c>
      <c r="M40" s="93" t="s">
        <v>255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"/>
  <sheetViews>
    <sheetView workbookViewId="0">
      <selection activeCell="B2" sqref="B2"/>
    </sheetView>
  </sheetViews>
  <sheetFormatPr defaultRowHeight="12.75" x14ac:dyDescent="0.2"/>
  <sheetData>
    <row r="2" spans="2:2" x14ac:dyDescent="0.2">
      <c r="B2" t="s">
        <v>261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J103"/>
  <sheetViews>
    <sheetView workbookViewId="0"/>
  </sheetViews>
  <sheetFormatPr defaultRowHeight="12.75" x14ac:dyDescent="0.2"/>
  <cols>
    <col min="1" max="1" width="20" customWidth="1"/>
    <col min="2" max="2" width="12.42578125" customWidth="1"/>
    <col min="3" max="3" width="11.42578125" customWidth="1"/>
    <col min="4" max="4" width="14.7109375" customWidth="1"/>
    <col min="7" max="7" width="11.42578125" bestFit="1" customWidth="1"/>
    <col min="8" max="8" width="10.28515625" bestFit="1" customWidth="1"/>
    <col min="9" max="9" width="10.42578125" customWidth="1"/>
    <col min="10" max="10" width="10.28515625" bestFit="1" customWidth="1"/>
  </cols>
  <sheetData>
    <row r="2" spans="1:8" ht="28.5" customHeight="1" x14ac:dyDescent="0.2">
      <c r="A2" s="121" t="s">
        <v>55</v>
      </c>
      <c r="B2" s="121"/>
      <c r="C2" s="121"/>
      <c r="D2" s="121"/>
      <c r="E2" s="121"/>
      <c r="F2" s="121"/>
      <c r="G2" s="121"/>
      <c r="H2" s="121"/>
    </row>
    <row r="4" spans="1:8" x14ac:dyDescent="0.2">
      <c r="A4" t="s">
        <v>56</v>
      </c>
    </row>
    <row r="6" spans="1:8" x14ac:dyDescent="0.2">
      <c r="A6" t="s">
        <v>57</v>
      </c>
    </row>
    <row r="7" spans="1:8" x14ac:dyDescent="0.2">
      <c r="A7" s="122" t="s">
        <v>58</v>
      </c>
      <c r="B7" s="122"/>
      <c r="C7" s="122"/>
      <c r="D7" s="122"/>
      <c r="E7" s="122"/>
      <c r="F7" s="122"/>
      <c r="G7" s="122"/>
      <c r="H7" s="122"/>
    </row>
    <row r="9" spans="1:8" x14ac:dyDescent="0.2">
      <c r="A9" s="37" t="s">
        <v>59</v>
      </c>
    </row>
    <row r="10" spans="1:8" x14ac:dyDescent="0.2">
      <c r="A10" s="39"/>
      <c r="B10" s="43" t="s">
        <v>60</v>
      </c>
      <c r="C10" s="43" t="s">
        <v>17</v>
      </c>
      <c r="D10" s="85" t="s">
        <v>61</v>
      </c>
    </row>
    <row r="11" spans="1:8" ht="25.5" x14ac:dyDescent="0.2">
      <c r="A11" s="86" t="s">
        <v>62</v>
      </c>
      <c r="B11" s="40">
        <f>794</f>
        <v>794</v>
      </c>
      <c r="C11" s="87">
        <v>28.1</v>
      </c>
      <c r="D11" s="31">
        <f>C11*B11*(8760)</f>
        <v>195447864</v>
      </c>
    </row>
    <row r="12" spans="1:8" ht="25.5" x14ac:dyDescent="0.2">
      <c r="A12" s="86" t="s">
        <v>256</v>
      </c>
      <c r="B12" s="40">
        <f>1048-B11</f>
        <v>254</v>
      </c>
      <c r="C12" s="87">
        <v>38.208661417322809</v>
      </c>
      <c r="D12" s="31">
        <f>C12*B12*(8760)</f>
        <v>85015799.99999994</v>
      </c>
    </row>
    <row r="13" spans="1:8" x14ac:dyDescent="0.2">
      <c r="A13" s="36" t="s">
        <v>4</v>
      </c>
      <c r="B13" s="40">
        <f>B12+B11</f>
        <v>1048</v>
      </c>
      <c r="C13" s="40"/>
      <c r="D13" s="31">
        <f>SUM(D11:D12)</f>
        <v>280463663.99999994</v>
      </c>
    </row>
    <row r="14" spans="1:8" x14ac:dyDescent="0.2">
      <c r="A14" s="88" t="s">
        <v>63</v>
      </c>
      <c r="B14" s="76"/>
      <c r="C14" s="76"/>
      <c r="D14" s="89">
        <f>D13/(1048*8760)</f>
        <v>30.549999999999994</v>
      </c>
    </row>
    <row r="15" spans="1:8" x14ac:dyDescent="0.2">
      <c r="A15" s="115" t="s">
        <v>257</v>
      </c>
      <c r="B15" s="40"/>
      <c r="C15" s="40"/>
    </row>
    <row r="16" spans="1:8" x14ac:dyDescent="0.2">
      <c r="A16" s="40"/>
      <c r="B16" s="40"/>
      <c r="C16" s="40"/>
    </row>
    <row r="17" spans="1:4" x14ac:dyDescent="0.2">
      <c r="A17" s="90" t="s">
        <v>64</v>
      </c>
      <c r="B17" s="40"/>
      <c r="C17" s="40"/>
    </row>
    <row r="18" spans="1:4" x14ac:dyDescent="0.2">
      <c r="B18" s="24" t="s">
        <v>11</v>
      </c>
      <c r="C18" s="24" t="s">
        <v>9</v>
      </c>
      <c r="D18" s="7" t="s">
        <v>10</v>
      </c>
    </row>
    <row r="19" spans="1:4" x14ac:dyDescent="0.2">
      <c r="A19" s="4" t="s">
        <v>29</v>
      </c>
      <c r="B19" s="25" t="s">
        <v>17</v>
      </c>
      <c r="C19" s="25" t="s">
        <v>13</v>
      </c>
      <c r="D19" s="8" t="s">
        <v>14</v>
      </c>
    </row>
    <row r="20" spans="1:4" x14ac:dyDescent="0.2">
      <c r="A20">
        <v>1</v>
      </c>
      <c r="B20" s="16">
        <v>207.52630428246823</v>
      </c>
      <c r="C20" s="91">
        <v>2549.6575308641973</v>
      </c>
      <c r="D20" s="91">
        <v>4179.5363977575344</v>
      </c>
    </row>
    <row r="21" spans="1:4" x14ac:dyDescent="0.2">
      <c r="A21">
        <v>2</v>
      </c>
      <c r="B21" s="16">
        <v>112.1167129644154</v>
      </c>
      <c r="C21" s="9">
        <v>2287.3465062331256</v>
      </c>
      <c r="D21" s="9">
        <v>1838.9637737880785</v>
      </c>
    </row>
    <row r="22" spans="1:4" x14ac:dyDescent="0.2">
      <c r="A22">
        <v>3</v>
      </c>
      <c r="B22" s="16">
        <v>44.317271549854695</v>
      </c>
      <c r="C22" s="9">
        <v>2159.8687517146777</v>
      </c>
      <c r="D22" s="9">
        <v>461.402277226965</v>
      </c>
    </row>
    <row r="23" spans="1:4" x14ac:dyDescent="0.2">
      <c r="A23">
        <v>4</v>
      </c>
      <c r="B23" s="16">
        <v>47.253332074197957</v>
      </c>
      <c r="C23" s="9">
        <v>2001.018560385889</v>
      </c>
      <c r="D23" s="9">
        <v>485.34698146847575</v>
      </c>
    </row>
    <row r="24" spans="1:4" x14ac:dyDescent="0.2">
      <c r="A24">
        <v>5</v>
      </c>
      <c r="B24" s="17">
        <v>47.637304122106308</v>
      </c>
      <c r="C24" s="10">
        <v>2149.7580034459493</v>
      </c>
      <c r="D24" s="10">
        <v>519.29828963509351</v>
      </c>
    </row>
    <row r="25" spans="1:4" x14ac:dyDescent="0.2">
      <c r="A25" s="4" t="s">
        <v>30</v>
      </c>
      <c r="B25" s="21">
        <f>AVERAGE(B20:B24)</f>
        <v>91.770184998608514</v>
      </c>
      <c r="C25" s="92">
        <f>AVERAGE(C20:C24)</f>
        <v>2229.5298705287678</v>
      </c>
      <c r="D25" s="21">
        <f>AVERAGE(D20:D24)</f>
        <v>1496.9095439752296</v>
      </c>
    </row>
    <row r="26" spans="1:4" x14ac:dyDescent="0.2">
      <c r="B26" s="21"/>
      <c r="C26" s="92"/>
      <c r="D26" s="21"/>
    </row>
    <row r="27" spans="1:4" x14ac:dyDescent="0.2">
      <c r="A27" t="s">
        <v>65</v>
      </c>
      <c r="B27" s="21"/>
      <c r="C27" s="92">
        <v>2518</v>
      </c>
      <c r="D27" s="21" t="s">
        <v>66</v>
      </c>
    </row>
    <row r="28" spans="1:4" x14ac:dyDescent="0.2">
      <c r="A28" t="s">
        <v>67</v>
      </c>
      <c r="C28" s="21">
        <f>C27-C25</f>
        <v>288.47012947123221</v>
      </c>
      <c r="D28" t="s">
        <v>68</v>
      </c>
    </row>
    <row r="29" spans="1:4" x14ac:dyDescent="0.2">
      <c r="C29" s="21"/>
    </row>
    <row r="30" spans="1:4" x14ac:dyDescent="0.2">
      <c r="A30" s="37" t="s">
        <v>69</v>
      </c>
      <c r="C30" s="21"/>
    </row>
    <row r="31" spans="1:4" x14ac:dyDescent="0.2">
      <c r="A31" t="s">
        <v>70</v>
      </c>
      <c r="C31" s="21"/>
    </row>
    <row r="32" spans="1:4" x14ac:dyDescent="0.2">
      <c r="A32" t="s">
        <v>71</v>
      </c>
    </row>
    <row r="33" spans="1:10" x14ac:dyDescent="0.2">
      <c r="A33" t="s">
        <v>72</v>
      </c>
      <c r="C33" s="21"/>
    </row>
    <row r="34" spans="1:10" x14ac:dyDescent="0.2">
      <c r="A34" t="s">
        <v>73</v>
      </c>
      <c r="B34" s="93"/>
      <c r="C34" s="21"/>
    </row>
    <row r="35" spans="1:10" x14ac:dyDescent="0.2">
      <c r="B35" s="93"/>
      <c r="C35" s="21"/>
    </row>
    <row r="36" spans="1:10" x14ac:dyDescent="0.2">
      <c r="A36" s="37" t="s">
        <v>74</v>
      </c>
      <c r="B36" s="93"/>
      <c r="C36" s="21"/>
    </row>
    <row r="37" spans="1:10" ht="51" x14ac:dyDescent="0.2">
      <c r="A37" s="33"/>
      <c r="B37" s="94" t="s">
        <v>75</v>
      </c>
      <c r="C37" s="94" t="s">
        <v>76</v>
      </c>
      <c r="D37" s="94" t="s">
        <v>77</v>
      </c>
      <c r="E37" s="94" t="s">
        <v>78</v>
      </c>
      <c r="F37" s="94" t="s">
        <v>79</v>
      </c>
      <c r="G37" s="94" t="s">
        <v>80</v>
      </c>
      <c r="H37" s="94" t="s">
        <v>61</v>
      </c>
      <c r="I37" s="94" t="s">
        <v>262</v>
      </c>
      <c r="J37" s="116" t="s">
        <v>263</v>
      </c>
    </row>
    <row r="38" spans="1:10" ht="25.5" x14ac:dyDescent="0.2">
      <c r="A38" s="95" t="s">
        <v>81</v>
      </c>
      <c r="B38" s="96">
        <v>254</v>
      </c>
      <c r="C38" s="97">
        <f>38.20866-28.1</f>
        <v>10.10866</v>
      </c>
      <c r="D38" s="98">
        <f>B38*C38*0.00876</f>
        <v>22.492172846399999</v>
      </c>
      <c r="E38" s="97">
        <f>B38*0.028</f>
        <v>7.1120000000000001</v>
      </c>
      <c r="F38" s="97">
        <f>B$20-28.1</f>
        <v>179.42630428246824</v>
      </c>
      <c r="G38" s="98">
        <f>E38*F38*0.00876</f>
        <v>11.178459714258569</v>
      </c>
      <c r="H38" s="99">
        <f>G38+D38</f>
        <v>33.670632560658568</v>
      </c>
      <c r="I38" s="34"/>
      <c r="J38" s="98">
        <f>H38-I38</f>
        <v>33.670632560658568</v>
      </c>
    </row>
    <row r="39" spans="1:10" x14ac:dyDescent="0.2">
      <c r="A39" s="95" t="s">
        <v>82</v>
      </c>
      <c r="B39" s="96">
        <f>938-B38</f>
        <v>684</v>
      </c>
      <c r="C39" s="97">
        <f>B$20-28.1</f>
        <v>179.42630428246824</v>
      </c>
      <c r="D39" s="98">
        <f>B39*C39*0.00876</f>
        <v>1075.0937070518646</v>
      </c>
      <c r="E39" s="97">
        <f>B39*0.028</f>
        <v>19.152000000000001</v>
      </c>
      <c r="F39" s="97">
        <f>B$20-28.1</f>
        <v>179.42630428246824</v>
      </c>
      <c r="G39" s="98">
        <f>E39*F39*0.00876</f>
        <v>30.10262379745221</v>
      </c>
      <c r="H39" s="99">
        <f>G39+D39</f>
        <v>1105.1963308493168</v>
      </c>
      <c r="I39" s="34"/>
      <c r="J39" s="98">
        <f>H39-I39</f>
        <v>1105.1963308493168</v>
      </c>
    </row>
    <row r="40" spans="1:10" ht="25.5" x14ac:dyDescent="0.2">
      <c r="A40" s="100" t="s">
        <v>83</v>
      </c>
      <c r="B40" s="101">
        <f>C$20-SUM(B$38:B$39)</f>
        <v>1611.6575308641973</v>
      </c>
      <c r="C40" s="102">
        <f>B$20</f>
        <v>207.52630428246823</v>
      </c>
      <c r="D40" s="103">
        <f>B40*C40*0.00876</f>
        <v>2929.8812608674721</v>
      </c>
      <c r="E40" s="102">
        <f>B40*0.028</f>
        <v>45.126410864197524</v>
      </c>
      <c r="F40" s="102">
        <f>B$20</f>
        <v>207.52630428246823</v>
      </c>
      <c r="G40" s="103">
        <f>E40*F40*0.00876</f>
        <v>82.036675304289233</v>
      </c>
      <c r="H40" s="104">
        <f>G40+D40</f>
        <v>3011.9179361717611</v>
      </c>
      <c r="I40" s="104">
        <f>(B40-46)*0.00876*19.26+46*0.00876*23</f>
        <v>273.42206102933335</v>
      </c>
      <c r="J40" s="103">
        <f>H40-I40</f>
        <v>2738.4958751424278</v>
      </c>
    </row>
    <row r="41" spans="1:10" x14ac:dyDescent="0.2">
      <c r="A41" s="105" t="s">
        <v>84</v>
      </c>
      <c r="B41" s="106">
        <f>SUM(B38:B40)</f>
        <v>2549.6575308641973</v>
      </c>
      <c r="C41" s="35"/>
      <c r="D41" s="103">
        <f>SUM(D38:D40)</f>
        <v>4027.467140765737</v>
      </c>
      <c r="E41" s="107">
        <f>SUM(E38:E40)</f>
        <v>71.39041086419752</v>
      </c>
      <c r="F41" s="35"/>
      <c r="G41" s="35"/>
      <c r="H41" s="108">
        <f>SUM(H38:H40)</f>
        <v>4150.7848995817367</v>
      </c>
      <c r="J41" s="108">
        <f>SUM(J38:J40)</f>
        <v>3877.3628385524034</v>
      </c>
    </row>
    <row r="42" spans="1:10" x14ac:dyDescent="0.2">
      <c r="G42" t="s">
        <v>85</v>
      </c>
      <c r="H42" s="109">
        <f>D20</f>
        <v>4179.5363977575344</v>
      </c>
      <c r="J42" s="109">
        <f>H42</f>
        <v>4179.5363977575344</v>
      </c>
    </row>
    <row r="43" spans="1:10" x14ac:dyDescent="0.2">
      <c r="G43" t="s">
        <v>23</v>
      </c>
      <c r="H43" s="110">
        <f>H41-H42</f>
        <v>-28.751498175797678</v>
      </c>
      <c r="J43" s="110">
        <f>J41-J42</f>
        <v>-302.17355920513091</v>
      </c>
    </row>
    <row r="44" spans="1:10" x14ac:dyDescent="0.2">
      <c r="A44" t="s">
        <v>86</v>
      </c>
      <c r="H44" s="111"/>
    </row>
    <row r="45" spans="1:10" x14ac:dyDescent="0.2">
      <c r="A45" t="s">
        <v>87</v>
      </c>
      <c r="H45" s="111"/>
    </row>
    <row r="46" spans="1:10" x14ac:dyDescent="0.2">
      <c r="A46" t="s">
        <v>88</v>
      </c>
      <c r="H46" s="111"/>
    </row>
    <row r="47" spans="1:10" ht="30" customHeight="1" x14ac:dyDescent="0.2">
      <c r="A47" s="122" t="s">
        <v>89</v>
      </c>
      <c r="B47" s="122"/>
      <c r="C47" s="122"/>
      <c r="D47" s="122"/>
      <c r="E47" s="122"/>
      <c r="F47" s="122"/>
      <c r="G47" s="122"/>
      <c r="H47" s="122"/>
    </row>
    <row r="48" spans="1:10" x14ac:dyDescent="0.2">
      <c r="A48" t="s">
        <v>90</v>
      </c>
    </row>
    <row r="49" spans="1:4" x14ac:dyDescent="0.2">
      <c r="A49" t="s">
        <v>268</v>
      </c>
    </row>
    <row r="50" spans="1:4" x14ac:dyDescent="0.2">
      <c r="A50" t="s">
        <v>270</v>
      </c>
    </row>
    <row r="51" spans="1:4" x14ac:dyDescent="0.2">
      <c r="A51" t="s">
        <v>269</v>
      </c>
    </row>
    <row r="53" spans="1:4" x14ac:dyDescent="0.2">
      <c r="B53" s="12" t="s">
        <v>91</v>
      </c>
      <c r="C53" s="12" t="s">
        <v>92</v>
      </c>
    </row>
    <row r="54" spans="1:4" x14ac:dyDescent="0.2">
      <c r="B54" s="112" t="s">
        <v>10</v>
      </c>
      <c r="C54" s="112" t="s">
        <v>10</v>
      </c>
      <c r="D54" s="112"/>
    </row>
    <row r="55" spans="1:4" x14ac:dyDescent="0.2">
      <c r="A55" s="4" t="s">
        <v>29</v>
      </c>
      <c r="B55" s="113" t="s">
        <v>14</v>
      </c>
      <c r="C55" s="113" t="s">
        <v>14</v>
      </c>
      <c r="D55" s="113" t="s">
        <v>23</v>
      </c>
    </row>
    <row r="56" spans="1:4" x14ac:dyDescent="0.2">
      <c r="A56">
        <v>1</v>
      </c>
      <c r="B56" s="91">
        <v>4179.5363977575344</v>
      </c>
      <c r="C56" s="9">
        <f>J41</f>
        <v>3877.3628385524034</v>
      </c>
      <c r="D56" s="9">
        <f>B56-C56</f>
        <v>302.17355920513091</v>
      </c>
    </row>
    <row r="57" spans="1:4" x14ac:dyDescent="0.2">
      <c r="A57">
        <v>2</v>
      </c>
      <c r="B57" s="9">
        <v>1838.9637737880785</v>
      </c>
      <c r="C57" s="9">
        <f>J72</f>
        <v>1678.4286821480196</v>
      </c>
      <c r="D57" s="9">
        <f>B57-C57</f>
        <v>160.53509164005891</v>
      </c>
    </row>
    <row r="58" spans="1:4" x14ac:dyDescent="0.2">
      <c r="A58">
        <v>3</v>
      </c>
      <c r="B58" s="9">
        <v>461.402277226965</v>
      </c>
      <c r="C58" s="9">
        <f>J82</f>
        <v>403.3717008119844</v>
      </c>
      <c r="D58" s="9">
        <f>B58-C58</f>
        <v>58.030576414980601</v>
      </c>
    </row>
    <row r="59" spans="1:4" x14ac:dyDescent="0.2">
      <c r="A59">
        <v>4</v>
      </c>
      <c r="B59" s="9">
        <v>485.34698146847575</v>
      </c>
      <c r="C59" s="9">
        <f>J92</f>
        <v>413.15126300026441</v>
      </c>
      <c r="D59" s="9">
        <f>B59-C59</f>
        <v>72.195718468211339</v>
      </c>
    </row>
    <row r="60" spans="1:4" x14ac:dyDescent="0.2">
      <c r="A60">
        <v>5</v>
      </c>
      <c r="B60" s="10">
        <v>519.29828963509351</v>
      </c>
      <c r="C60" s="10">
        <f>J101</f>
        <v>457.92834797635606</v>
      </c>
      <c r="D60" s="10">
        <f>B60-C60</f>
        <v>61.369941658737446</v>
      </c>
    </row>
    <row r="61" spans="1:4" x14ac:dyDescent="0.2">
      <c r="A61" s="4" t="s">
        <v>30</v>
      </c>
      <c r="B61" s="21">
        <f>AVERAGE(B56:B60)</f>
        <v>1496.9095439752296</v>
      </c>
      <c r="C61" s="21">
        <f>AVERAGE(C56:C60)</f>
        <v>1366.0485664978055</v>
      </c>
      <c r="D61" s="38">
        <f>AVERAGE(D56:D60)</f>
        <v>130.86097747742383</v>
      </c>
    </row>
    <row r="62" spans="1:4" x14ac:dyDescent="0.2">
      <c r="C62" s="4" t="s">
        <v>93</v>
      </c>
      <c r="D62" s="114">
        <f>D61/B61</f>
        <v>8.7420765004882134E-2</v>
      </c>
    </row>
    <row r="67" spans="1:10" x14ac:dyDescent="0.2">
      <c r="A67" s="37" t="s">
        <v>264</v>
      </c>
      <c r="B67" s="93"/>
      <c r="C67" s="21"/>
    </row>
    <row r="68" spans="1:10" ht="51" x14ac:dyDescent="0.2">
      <c r="A68" s="33"/>
      <c r="B68" s="94" t="s">
        <v>75</v>
      </c>
      <c r="C68" s="94" t="s">
        <v>76</v>
      </c>
      <c r="D68" s="94" t="s">
        <v>77</v>
      </c>
      <c r="E68" s="94" t="s">
        <v>78</v>
      </c>
      <c r="F68" s="94" t="s">
        <v>79</v>
      </c>
      <c r="G68" s="94" t="s">
        <v>80</v>
      </c>
      <c r="H68" s="94" t="s">
        <v>61</v>
      </c>
      <c r="I68" s="94" t="s">
        <v>262</v>
      </c>
      <c r="J68" s="116" t="s">
        <v>263</v>
      </c>
    </row>
    <row r="69" spans="1:10" ht="25.5" x14ac:dyDescent="0.2">
      <c r="A69" s="95" t="s">
        <v>81</v>
      </c>
      <c r="B69" s="96">
        <v>254</v>
      </c>
      <c r="C69" s="97">
        <f>38.20866-28.1</f>
        <v>10.10866</v>
      </c>
      <c r="D69" s="98">
        <f>B69*C69*0.00876</f>
        <v>22.492172846399999</v>
      </c>
      <c r="E69" s="97">
        <f>B69*0.028</f>
        <v>7.1120000000000001</v>
      </c>
      <c r="F69" s="97">
        <f>B$21-28.1</f>
        <v>84.016712964415404</v>
      </c>
      <c r="G69" s="98">
        <f>E69*F69*0.00876</f>
        <v>5.2343353164016007</v>
      </c>
      <c r="H69" s="99">
        <f>G69+D69</f>
        <v>27.726508162801601</v>
      </c>
      <c r="I69" s="34"/>
      <c r="J69" s="98">
        <f>H69-I69</f>
        <v>27.726508162801601</v>
      </c>
    </row>
    <row r="70" spans="1:10" x14ac:dyDescent="0.2">
      <c r="A70" s="95" t="s">
        <v>82</v>
      </c>
      <c r="B70" s="96">
        <f>938-B69</f>
        <v>684</v>
      </c>
      <c r="C70" s="97">
        <f>B$21-28.1</f>
        <v>84.016712964415404</v>
      </c>
      <c r="D70" s="98">
        <f>B70*C70*0.00876</f>
        <v>503.41470140870285</v>
      </c>
      <c r="E70" s="97">
        <f>B70*0.028</f>
        <v>19.152000000000001</v>
      </c>
      <c r="F70" s="97">
        <f>B$21-28.1</f>
        <v>84.016712964415404</v>
      </c>
      <c r="G70" s="98">
        <f>E70*F70*0.00876</f>
        <v>14.09561163944368</v>
      </c>
      <c r="H70" s="99">
        <f>G70+D70</f>
        <v>517.51031304814649</v>
      </c>
      <c r="I70" s="34"/>
      <c r="J70" s="98">
        <f>H70-I70</f>
        <v>517.51031304814649</v>
      </c>
    </row>
    <row r="71" spans="1:10" ht="25.5" x14ac:dyDescent="0.2">
      <c r="A71" s="100" t="s">
        <v>83</v>
      </c>
      <c r="B71" s="101">
        <f>C$21-SUM(B$38:B$39)</f>
        <v>1349.3465062331256</v>
      </c>
      <c r="C71" s="102">
        <f>B$21</f>
        <v>112.1167129644154</v>
      </c>
      <c r="D71" s="103">
        <f>B71*C71*0.00876</f>
        <v>1325.2504235769547</v>
      </c>
      <c r="E71" s="102">
        <f>B71*0.028</f>
        <v>37.781702174527517</v>
      </c>
      <c r="F71" s="102">
        <f>B$21</f>
        <v>112.1167129644154</v>
      </c>
      <c r="G71" s="103">
        <f>E71*F71*0.00876</f>
        <v>37.107011860154735</v>
      </c>
      <c r="H71" s="104">
        <f>G71+D71</f>
        <v>1362.3574354371094</v>
      </c>
      <c r="I71" s="104">
        <f>(B71-46)*0.00876*19.26+46*0.00876*23</f>
        <v>229.16557450003802</v>
      </c>
      <c r="J71" s="103">
        <f>H71-I71</f>
        <v>1133.1918609370714</v>
      </c>
    </row>
    <row r="72" spans="1:10" x14ac:dyDescent="0.2">
      <c r="A72" s="105" t="s">
        <v>84</v>
      </c>
      <c r="B72" s="106">
        <f>SUM(B69:B71)</f>
        <v>2287.3465062331256</v>
      </c>
      <c r="C72" s="35"/>
      <c r="D72" s="103">
        <f>SUM(D69:D71)</f>
        <v>1851.1572978320576</v>
      </c>
      <c r="E72" s="107">
        <f>SUM(E69:E71)</f>
        <v>64.04570217452752</v>
      </c>
      <c r="F72" s="35"/>
      <c r="G72" s="35"/>
      <c r="H72" s="108">
        <f>SUM(H69:H71)</f>
        <v>1907.5942566480576</v>
      </c>
      <c r="J72" s="108">
        <f>SUM(J69:J71)</f>
        <v>1678.4286821480196</v>
      </c>
    </row>
    <row r="73" spans="1:10" x14ac:dyDescent="0.2">
      <c r="G73" t="s">
        <v>85</v>
      </c>
      <c r="H73" s="109">
        <f>D21</f>
        <v>1838.9637737880785</v>
      </c>
      <c r="J73" s="109">
        <f>H73</f>
        <v>1838.9637737880785</v>
      </c>
    </row>
    <row r="74" spans="1:10" x14ac:dyDescent="0.2">
      <c r="G74" t="s">
        <v>23</v>
      </c>
      <c r="H74" s="110">
        <f>H72-H73</f>
        <v>68.630482859979111</v>
      </c>
      <c r="J74" s="110">
        <f>J72-J73</f>
        <v>-160.53509164005891</v>
      </c>
    </row>
    <row r="77" spans="1:10" x14ac:dyDescent="0.2">
      <c r="A77" s="37" t="s">
        <v>265</v>
      </c>
      <c r="B77" s="93"/>
      <c r="C77" s="21"/>
    </row>
    <row r="78" spans="1:10" ht="51" x14ac:dyDescent="0.2">
      <c r="A78" s="33"/>
      <c r="B78" s="94" t="s">
        <v>75</v>
      </c>
      <c r="C78" s="94" t="s">
        <v>76</v>
      </c>
      <c r="D78" s="94" t="s">
        <v>77</v>
      </c>
      <c r="E78" s="94" t="s">
        <v>78</v>
      </c>
      <c r="F78" s="94" t="s">
        <v>79</v>
      </c>
      <c r="G78" s="94" t="s">
        <v>80</v>
      </c>
      <c r="H78" s="94" t="s">
        <v>61</v>
      </c>
      <c r="I78" s="94" t="s">
        <v>262</v>
      </c>
      <c r="J78" s="116" t="s">
        <v>263</v>
      </c>
    </row>
    <row r="79" spans="1:10" ht="25.5" x14ac:dyDescent="0.2">
      <c r="A79" s="95" t="s">
        <v>81</v>
      </c>
      <c r="B79" s="96">
        <v>254</v>
      </c>
      <c r="C79" s="97">
        <f>38.20866-28.1</f>
        <v>10.10866</v>
      </c>
      <c r="D79" s="98">
        <f>B79*C79*0.00876</f>
        <v>22.492172846399999</v>
      </c>
      <c r="E79" s="97">
        <f>B79*0.028</f>
        <v>7.1120000000000001</v>
      </c>
      <c r="F79" s="97">
        <f>B$22-28.1</f>
        <v>16.217271549854694</v>
      </c>
      <c r="G79" s="98">
        <f>E79*F79*0.00876</f>
        <v>1.0103541809000833</v>
      </c>
      <c r="H79" s="99">
        <f>G79+D79</f>
        <v>23.502527027300083</v>
      </c>
      <c r="I79" s="34"/>
      <c r="J79" s="98">
        <f>H79-I79</f>
        <v>23.502527027300083</v>
      </c>
    </row>
    <row r="80" spans="1:10" x14ac:dyDescent="0.2">
      <c r="A80" s="95" t="s">
        <v>82</v>
      </c>
      <c r="B80" s="96">
        <f>938-B79</f>
        <v>684</v>
      </c>
      <c r="C80" s="97">
        <f>B$22-28.1</f>
        <v>16.217271549854694</v>
      </c>
      <c r="D80" s="98">
        <f>B80*C80*0.00876</f>
        <v>97.171296363281357</v>
      </c>
      <c r="E80" s="97">
        <f>B80*0.028</f>
        <v>19.152000000000001</v>
      </c>
      <c r="F80" s="97">
        <f>B$22-28.1</f>
        <v>16.217271549854694</v>
      </c>
      <c r="G80" s="98">
        <f>E80*F80*0.00876</f>
        <v>2.7207962981718778</v>
      </c>
      <c r="H80" s="99">
        <f>G80+D80</f>
        <v>99.892092661453233</v>
      </c>
      <c r="I80" s="34"/>
      <c r="J80" s="98">
        <f>H80-I80</f>
        <v>99.892092661453233</v>
      </c>
    </row>
    <row r="81" spans="1:10" ht="25.5" x14ac:dyDescent="0.2">
      <c r="A81" s="100" t="s">
        <v>83</v>
      </c>
      <c r="B81" s="101">
        <f>C$22-SUM(B$38:B$39)</f>
        <v>1221.8687517146777</v>
      </c>
      <c r="C81" s="102">
        <f>B$22</f>
        <v>44.317271549854695</v>
      </c>
      <c r="D81" s="103">
        <f>B81*C81*0.00876</f>
        <v>474.3530299878671</v>
      </c>
      <c r="E81" s="102">
        <f>B81*0.028</f>
        <v>34.212325048010975</v>
      </c>
      <c r="F81" s="102">
        <f>B$22</f>
        <v>44.317271549854695</v>
      </c>
      <c r="G81" s="103">
        <f>E81*F81*0.00876</f>
        <v>13.281884839660279</v>
      </c>
      <c r="H81" s="104">
        <f>G81+D81</f>
        <v>487.63491482752738</v>
      </c>
      <c r="I81" s="104">
        <f>(B81-46)*0.00876*19.26+46*0.00876*23</f>
        <v>207.65783370429634</v>
      </c>
      <c r="J81" s="103">
        <f>H81-I81</f>
        <v>279.97708112323107</v>
      </c>
    </row>
    <row r="82" spans="1:10" x14ac:dyDescent="0.2">
      <c r="A82" s="105" t="s">
        <v>84</v>
      </c>
      <c r="B82" s="106">
        <f>SUM(B79:B81)</f>
        <v>2159.8687517146777</v>
      </c>
      <c r="C82" s="35"/>
      <c r="D82" s="103">
        <f>SUM(D79:D81)</f>
        <v>594.01649919754846</v>
      </c>
      <c r="E82" s="107">
        <f>SUM(E79:E81)</f>
        <v>60.476325048010978</v>
      </c>
      <c r="F82" s="35"/>
      <c r="G82" s="35"/>
      <c r="H82" s="108">
        <f>SUM(H79:H81)</f>
        <v>611.02953451628071</v>
      </c>
      <c r="J82" s="108">
        <f>SUM(J79:J81)</f>
        <v>403.3717008119844</v>
      </c>
    </row>
    <row r="83" spans="1:10" x14ac:dyDescent="0.2">
      <c r="G83" t="s">
        <v>85</v>
      </c>
      <c r="H83" s="109">
        <f>B58</f>
        <v>461.402277226965</v>
      </c>
      <c r="J83" s="109">
        <f>H83</f>
        <v>461.402277226965</v>
      </c>
    </row>
    <row r="84" spans="1:10" x14ac:dyDescent="0.2">
      <c r="G84" t="s">
        <v>23</v>
      </c>
      <c r="H84" s="110">
        <f>H82-H83</f>
        <v>149.62725728931571</v>
      </c>
      <c r="J84" s="110">
        <f>J82-J83</f>
        <v>-58.030576414980601</v>
      </c>
    </row>
    <row r="87" spans="1:10" x14ac:dyDescent="0.2">
      <c r="A87" s="37" t="s">
        <v>266</v>
      </c>
      <c r="B87" s="93"/>
      <c r="C87" s="21"/>
    </row>
    <row r="88" spans="1:10" ht="51" x14ac:dyDescent="0.2">
      <c r="A88" s="33"/>
      <c r="B88" s="94" t="s">
        <v>75</v>
      </c>
      <c r="C88" s="94" t="s">
        <v>76</v>
      </c>
      <c r="D88" s="94" t="s">
        <v>77</v>
      </c>
      <c r="E88" s="94" t="s">
        <v>78</v>
      </c>
      <c r="F88" s="94" t="s">
        <v>79</v>
      </c>
      <c r="G88" s="94" t="s">
        <v>80</v>
      </c>
      <c r="H88" s="94" t="s">
        <v>61</v>
      </c>
      <c r="I88" s="94" t="s">
        <v>262</v>
      </c>
      <c r="J88" s="116" t="s">
        <v>263</v>
      </c>
    </row>
    <row r="89" spans="1:10" ht="25.5" x14ac:dyDescent="0.2">
      <c r="A89" s="95" t="s">
        <v>81</v>
      </c>
      <c r="B89" s="96">
        <v>254</v>
      </c>
      <c r="C89" s="97">
        <f>38.20866-28.1</f>
        <v>10.10866</v>
      </c>
      <c r="D89" s="98">
        <f>B89*C89*0.00876</f>
        <v>22.492172846399999</v>
      </c>
      <c r="E89" s="97">
        <f>B89*0.028</f>
        <v>7.1120000000000001</v>
      </c>
      <c r="F89" s="97">
        <f>B$23-28.1</f>
        <v>19.153332074197955</v>
      </c>
      <c r="G89" s="98">
        <f>E89*F89*0.00876</f>
        <v>1.1932740399544557</v>
      </c>
      <c r="H89" s="99">
        <f>G89+D89</f>
        <v>23.685446886354455</v>
      </c>
      <c r="I89" s="34"/>
      <c r="J89" s="98">
        <f>H89-I89</f>
        <v>23.685446886354455</v>
      </c>
    </row>
    <row r="90" spans="1:10" x14ac:dyDescent="0.2">
      <c r="A90" s="95" t="s">
        <v>82</v>
      </c>
      <c r="B90" s="96">
        <f>938-B89</f>
        <v>684</v>
      </c>
      <c r="C90" s="97">
        <f>B$23-28.1</f>
        <v>19.153332074197955</v>
      </c>
      <c r="D90" s="98">
        <f>B90*C90*0.00876</f>
        <v>114.76370125546228</v>
      </c>
      <c r="E90" s="97">
        <f>B90*0.028</f>
        <v>19.152000000000001</v>
      </c>
      <c r="F90" s="97">
        <f>B$23-28.1</f>
        <v>19.153332074197955</v>
      </c>
      <c r="G90" s="98">
        <f>E90*F90*0.00876</f>
        <v>3.2133836351529439</v>
      </c>
      <c r="H90" s="99">
        <f>G90+D90</f>
        <v>117.97708489061523</v>
      </c>
      <c r="I90" s="34"/>
      <c r="J90" s="98">
        <f>H90-I90</f>
        <v>117.97708489061523</v>
      </c>
    </row>
    <row r="91" spans="1:10" ht="25.5" x14ac:dyDescent="0.2">
      <c r="A91" s="100" t="s">
        <v>83</v>
      </c>
      <c r="B91" s="101">
        <f>C$23-SUM(B$38:B$39)</f>
        <v>1063.018560385889</v>
      </c>
      <c r="C91" s="102">
        <f>B$23</f>
        <v>47.253332074197957</v>
      </c>
      <c r="D91" s="103">
        <f>B91*C91*0.00876</f>
        <v>440.02504074616439</v>
      </c>
      <c r="E91" s="102">
        <f>B91*0.028</f>
        <v>29.764519690804892</v>
      </c>
      <c r="F91" s="102">
        <f>B$23</f>
        <v>47.253332074197957</v>
      </c>
      <c r="G91" s="103">
        <f>E91*F91*0.00876</f>
        <v>12.320701140892602</v>
      </c>
      <c r="H91" s="104">
        <f>G91+D91</f>
        <v>452.34574188705699</v>
      </c>
      <c r="I91" s="104">
        <f>(B91-46)*0.00876*19.26+46*0.00876*23</f>
        <v>180.85701066376228</v>
      </c>
      <c r="J91" s="103">
        <f>H91-I91</f>
        <v>271.48873122329474</v>
      </c>
    </row>
    <row r="92" spans="1:10" x14ac:dyDescent="0.2">
      <c r="A92" s="105" t="s">
        <v>84</v>
      </c>
      <c r="B92" s="106">
        <f>SUM(B89:B91)</f>
        <v>2001.018560385889</v>
      </c>
      <c r="C92" s="35"/>
      <c r="D92" s="103">
        <f>SUM(D89:D91)</f>
        <v>577.28091484802667</v>
      </c>
      <c r="E92" s="107">
        <f>SUM(E89:E91)</f>
        <v>56.028519690804899</v>
      </c>
      <c r="F92" s="35"/>
      <c r="G92" s="35"/>
      <c r="H92" s="108">
        <f>SUM(H89:H91)</f>
        <v>594.00827366402666</v>
      </c>
      <c r="J92" s="108">
        <f>SUM(J89:J91)</f>
        <v>413.15126300026441</v>
      </c>
    </row>
    <row r="93" spans="1:10" x14ac:dyDescent="0.2">
      <c r="G93" t="s">
        <v>85</v>
      </c>
      <c r="H93" s="109">
        <f>B59</f>
        <v>485.34698146847575</v>
      </c>
      <c r="J93" s="109">
        <f>H93</f>
        <v>485.34698146847575</v>
      </c>
    </row>
    <row r="94" spans="1:10" x14ac:dyDescent="0.2">
      <c r="G94" t="s">
        <v>23</v>
      </c>
      <c r="H94" s="110">
        <f>H92-H93</f>
        <v>108.66129219555091</v>
      </c>
      <c r="J94" s="110">
        <f>J92-J93</f>
        <v>-72.195718468211339</v>
      </c>
    </row>
    <row r="96" spans="1:10" x14ac:dyDescent="0.2">
      <c r="A96" s="37" t="s">
        <v>267</v>
      </c>
      <c r="B96" s="93"/>
      <c r="C96" s="21"/>
    </row>
    <row r="97" spans="1:10" ht="51" x14ac:dyDescent="0.2">
      <c r="A97" s="33"/>
      <c r="B97" s="94" t="s">
        <v>75</v>
      </c>
      <c r="C97" s="94" t="s">
        <v>76</v>
      </c>
      <c r="D97" s="94" t="s">
        <v>77</v>
      </c>
      <c r="E97" s="94" t="s">
        <v>78</v>
      </c>
      <c r="F97" s="94" t="s">
        <v>79</v>
      </c>
      <c r="G97" s="94" t="s">
        <v>80</v>
      </c>
      <c r="H97" s="94" t="s">
        <v>61</v>
      </c>
      <c r="I97" s="94" t="s">
        <v>262</v>
      </c>
      <c r="J97" s="116" t="s">
        <v>263</v>
      </c>
    </row>
    <row r="98" spans="1:10" ht="25.5" x14ac:dyDescent="0.2">
      <c r="A98" s="95" t="s">
        <v>81</v>
      </c>
      <c r="B98" s="96">
        <v>254</v>
      </c>
      <c r="C98" s="97">
        <f>38.20866-28.1</f>
        <v>10.10866</v>
      </c>
      <c r="D98" s="98">
        <f>B98*C98*0.00876</f>
        <v>22.492172846399999</v>
      </c>
      <c r="E98" s="97">
        <f>B98*0.028</f>
        <v>7.1120000000000001</v>
      </c>
      <c r="F98" s="97">
        <f>B$24-28.1</f>
        <v>19.537304122106306</v>
      </c>
      <c r="G98" s="98">
        <f>E98*F98*0.00876</f>
        <v>1.2171959285878398</v>
      </c>
      <c r="H98" s="99">
        <f>G98+D98</f>
        <v>23.709368774987837</v>
      </c>
      <c r="I98" s="34"/>
      <c r="J98" s="98">
        <f>H98-I98</f>
        <v>23.709368774987837</v>
      </c>
    </row>
    <row r="99" spans="1:10" x14ac:dyDescent="0.2">
      <c r="A99" s="95" t="s">
        <v>82</v>
      </c>
      <c r="B99" s="96">
        <f>938-B98</f>
        <v>684</v>
      </c>
      <c r="C99" s="97">
        <f>B$24-28.1</f>
        <v>19.537304122106306</v>
      </c>
      <c r="D99" s="98">
        <f>B99*C99*0.00876</f>
        <v>117.06440033100145</v>
      </c>
      <c r="E99" s="97">
        <f>B99*0.028</f>
        <v>19.152000000000001</v>
      </c>
      <c r="F99" s="97">
        <f>B$24-28.1</f>
        <v>19.537304122106306</v>
      </c>
      <c r="G99" s="98">
        <f>E99*F99*0.00876</f>
        <v>3.2778032092680411</v>
      </c>
      <c r="H99" s="99">
        <f>G99+D99</f>
        <v>120.34220354026949</v>
      </c>
      <c r="I99" s="34"/>
      <c r="J99" s="98">
        <f>H99-I99</f>
        <v>120.34220354026949</v>
      </c>
    </row>
    <row r="100" spans="1:10" ht="25.5" x14ac:dyDescent="0.2">
      <c r="A100" s="100" t="s">
        <v>83</v>
      </c>
      <c r="B100" s="101">
        <f>C$24-SUM(B$38:B$39)</f>
        <v>1211.7580034459493</v>
      </c>
      <c r="C100" s="102">
        <f>B$24</f>
        <v>47.637304122106308</v>
      </c>
      <c r="D100" s="103">
        <f>B100*C100*0.00876</f>
        <v>505.66998850514699</v>
      </c>
      <c r="E100" s="102">
        <f>B100*0.028</f>
        <v>33.929224096486578</v>
      </c>
      <c r="F100" s="102">
        <f>B$24</f>
        <v>47.637304122106308</v>
      </c>
      <c r="G100" s="103">
        <f>E100*F100*0.00876</f>
        <v>14.158759678144117</v>
      </c>
      <c r="H100" s="104">
        <f>G100+D100</f>
        <v>519.82874818329105</v>
      </c>
      <c r="I100" s="104">
        <f>(B100-46)*0.00876*19.26+46*0.00876*23</f>
        <v>205.95197252219231</v>
      </c>
      <c r="J100" s="103">
        <f>H100-I100</f>
        <v>313.87677566109875</v>
      </c>
    </row>
    <row r="101" spans="1:10" x14ac:dyDescent="0.2">
      <c r="A101" s="105" t="s">
        <v>84</v>
      </c>
      <c r="B101" s="106">
        <f>SUM(B98:B100)</f>
        <v>2149.7580034459493</v>
      </c>
      <c r="C101" s="35"/>
      <c r="D101" s="103">
        <f>SUM(D98:D100)</f>
        <v>645.22656168254844</v>
      </c>
      <c r="E101" s="107">
        <f>SUM(E98:E100)</f>
        <v>60.193224096486581</v>
      </c>
      <c r="F101" s="35"/>
      <c r="G101" s="35"/>
      <c r="H101" s="108">
        <f>SUM(H98:H100)</f>
        <v>663.88032049854837</v>
      </c>
      <c r="J101" s="108">
        <f>SUM(J98:J100)</f>
        <v>457.92834797635606</v>
      </c>
    </row>
    <row r="102" spans="1:10" x14ac:dyDescent="0.2">
      <c r="G102" t="s">
        <v>85</v>
      </c>
      <c r="H102" s="109">
        <f>B60</f>
        <v>519.29828963509351</v>
      </c>
      <c r="J102" s="109">
        <f>H102</f>
        <v>519.29828963509351</v>
      </c>
    </row>
    <row r="103" spans="1:10" x14ac:dyDescent="0.2">
      <c r="G103" t="s">
        <v>23</v>
      </c>
      <c r="H103" s="110">
        <f>H101-H102</f>
        <v>144.58203086345486</v>
      </c>
      <c r="J103" s="110">
        <f>J101-J102</f>
        <v>-61.369941658737446</v>
      </c>
    </row>
  </sheetData>
  <mergeCells count="3">
    <mergeCell ref="A2:H2"/>
    <mergeCell ref="A7:H7"/>
    <mergeCell ref="A47:H47"/>
  </mergeCells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3:F12"/>
  <sheetViews>
    <sheetView workbookViewId="0">
      <selection activeCell="D23" sqref="D23"/>
    </sheetView>
  </sheetViews>
  <sheetFormatPr defaultRowHeight="12.75" x14ac:dyDescent="0.2"/>
  <sheetData>
    <row r="3" spans="2:6" x14ac:dyDescent="0.2">
      <c r="B3" s="24" t="s">
        <v>11</v>
      </c>
      <c r="C3" s="24" t="s">
        <v>9</v>
      </c>
      <c r="D3" s="7" t="s">
        <v>10</v>
      </c>
    </row>
    <row r="4" spans="2:6" x14ac:dyDescent="0.2">
      <c r="B4" s="25" t="s">
        <v>17</v>
      </c>
      <c r="C4" s="25" t="s">
        <v>13</v>
      </c>
      <c r="D4" s="8" t="s">
        <v>14</v>
      </c>
    </row>
    <row r="5" spans="2:6" x14ac:dyDescent="0.2">
      <c r="B5" s="16">
        <v>207.52630428246823</v>
      </c>
      <c r="C5" s="91">
        <v>2549.6575308641973</v>
      </c>
      <c r="D5" s="91">
        <v>4179.5363977575344</v>
      </c>
      <c r="F5" t="s">
        <v>258</v>
      </c>
    </row>
    <row r="6" spans="2:6" x14ac:dyDescent="0.2">
      <c r="B6" s="16">
        <v>112.1167129644154</v>
      </c>
      <c r="C6" s="9">
        <v>2287.3465062331256</v>
      </c>
      <c r="D6" s="9">
        <v>1838.9637737880785</v>
      </c>
      <c r="F6" t="s">
        <v>64</v>
      </c>
    </row>
    <row r="7" spans="2:6" x14ac:dyDescent="0.2">
      <c r="B7" s="16">
        <v>44.317271549854695</v>
      </c>
      <c r="C7" s="9">
        <v>2159.8687517146777</v>
      </c>
      <c r="D7" s="9">
        <v>461.402277226965</v>
      </c>
      <c r="F7" t="s">
        <v>259</v>
      </c>
    </row>
    <row r="8" spans="2:6" x14ac:dyDescent="0.2">
      <c r="B8" s="16">
        <v>47.253332074197957</v>
      </c>
      <c r="C8" s="9">
        <v>2001.018560385889</v>
      </c>
      <c r="D8" s="9">
        <v>485.34698146847575</v>
      </c>
    </row>
    <row r="9" spans="2:6" x14ac:dyDescent="0.2">
      <c r="B9" s="17">
        <v>47.637304122106308</v>
      </c>
      <c r="C9" s="10">
        <v>2149.7580034459493</v>
      </c>
      <c r="D9" s="10">
        <v>519.29828963509351</v>
      </c>
    </row>
    <row r="12" spans="2:6" x14ac:dyDescent="0.2">
      <c r="B12" t="s">
        <v>154</v>
      </c>
      <c r="C12" t="s">
        <v>260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Attachment 1A</vt:lpstr>
      <vt:lpstr>1A Notes</vt:lpstr>
      <vt:lpstr>Attachment 1B</vt:lpstr>
      <vt:lpstr>1B Notes</vt:lpstr>
      <vt:lpstr>Attachment 1C</vt:lpstr>
      <vt:lpstr>1C Notes</vt:lpstr>
      <vt:lpstr>Attachment 2</vt:lpstr>
      <vt:lpstr>Attachment 3</vt:lpstr>
      <vt:lpstr>Attachment 3 Notes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Felienne</cp:lastModifiedBy>
  <cp:lastPrinted>2001-03-14T16:48:01Z</cp:lastPrinted>
  <dcterms:created xsi:type="dcterms:W3CDTF">2001-02-27T16:37:57Z</dcterms:created>
  <dcterms:modified xsi:type="dcterms:W3CDTF">2014-09-04T16:26:44Z</dcterms:modified>
</cp:coreProperties>
</file>