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253"/>
  </bookViews>
  <sheets>
    <sheet name="Summary" sheetId="2" r:id="rId1"/>
    <sheet name="Sheet1" sheetId="1" r:id="rId2"/>
  </sheets>
  <definedNames>
    <definedName name="_xlnm.Print_Area" localSheetId="1">Sheet1!$A$1:$T$43</definedName>
    <definedName name="_xlnm.Print_Titles" localSheetId="1">Sheet1!$1:$4</definedName>
  </definedNames>
  <calcPr calcId="152511" fullCalcOnLoad="1"/>
</workbook>
</file>

<file path=xl/calcChain.xml><?xml version="1.0" encoding="utf-8"?>
<calcChain xmlns="http://schemas.openxmlformats.org/spreadsheetml/2006/main">
  <c r="C5" i="1" l="1"/>
  <c r="D5" i="1"/>
  <c r="H5" i="1"/>
  <c r="R5" i="1"/>
  <c r="S5" i="1"/>
  <c r="C6" i="1"/>
  <c r="R6" i="1" s="1"/>
  <c r="H6" i="1"/>
  <c r="K6" i="1"/>
  <c r="K21" i="1" s="1"/>
  <c r="B7" i="1"/>
  <c r="H7" i="1"/>
  <c r="R7" i="1" s="1"/>
  <c r="S7" i="1" s="1"/>
  <c r="K7" i="1"/>
  <c r="N7" i="1"/>
  <c r="N21" i="1" s="1"/>
  <c r="C8" i="1"/>
  <c r="D8" i="1"/>
  <c r="H8" i="1"/>
  <c r="K8" i="1"/>
  <c r="N8" i="1"/>
  <c r="R8" i="1"/>
  <c r="S8" i="1" s="1"/>
  <c r="C9" i="1"/>
  <c r="R9" i="1" s="1"/>
  <c r="S9" i="1" s="1"/>
  <c r="D9" i="1"/>
  <c r="K9" i="1"/>
  <c r="O9" i="1"/>
  <c r="C10" i="1"/>
  <c r="R10" i="1" s="1"/>
  <c r="S10" i="1" s="1"/>
  <c r="D10" i="1"/>
  <c r="H10" i="1"/>
  <c r="N10" i="1"/>
  <c r="B11" i="1"/>
  <c r="B21" i="1" s="1"/>
  <c r="D11" i="1"/>
  <c r="R11" i="1" s="1"/>
  <c r="S11" i="1" s="1"/>
  <c r="H11" i="1"/>
  <c r="N11" i="1"/>
  <c r="C12" i="1"/>
  <c r="D12" i="1"/>
  <c r="H12" i="1"/>
  <c r="N12" i="1"/>
  <c r="R12" i="1"/>
  <c r="S12" i="1" s="1"/>
  <c r="B13" i="1"/>
  <c r="D13" i="1"/>
  <c r="H13" i="1"/>
  <c r="N13" i="1"/>
  <c r="R13" i="1"/>
  <c r="S13" i="1"/>
  <c r="C14" i="1"/>
  <c r="R14" i="1" s="1"/>
  <c r="S14" i="1" s="1"/>
  <c r="D14" i="1"/>
  <c r="H14" i="1"/>
  <c r="N14" i="1"/>
  <c r="C15" i="1"/>
  <c r="D15" i="1"/>
  <c r="R15" i="1" s="1"/>
  <c r="S15" i="1" s="1"/>
  <c r="H15" i="1"/>
  <c r="K15" i="1"/>
  <c r="B16" i="1"/>
  <c r="K16" i="1"/>
  <c r="N16" i="1"/>
  <c r="R16" i="1"/>
  <c r="S16" i="1"/>
  <c r="C17" i="1"/>
  <c r="R17" i="1" s="1"/>
  <c r="S17" i="1" s="1"/>
  <c r="H17" i="1"/>
  <c r="K17" i="1"/>
  <c r="C18" i="1"/>
  <c r="R18" i="1" s="1"/>
  <c r="S18" i="1" s="1"/>
  <c r="H18" i="1"/>
  <c r="K18" i="1"/>
  <c r="C19" i="1"/>
  <c r="D19" i="1"/>
  <c r="H19" i="1"/>
  <c r="K19" i="1"/>
  <c r="N19" i="1"/>
  <c r="R19" i="1"/>
  <c r="S19" i="1" s="1"/>
  <c r="C20" i="1"/>
  <c r="R20" i="1" s="1"/>
  <c r="S20" i="1" s="1"/>
  <c r="D21" i="1"/>
  <c r="D31" i="1" s="1"/>
  <c r="E21" i="1"/>
  <c r="E31" i="1" s="1"/>
  <c r="I21" i="1"/>
  <c r="L21" i="1"/>
  <c r="O21" i="1"/>
  <c r="O31" i="1" s="1"/>
  <c r="C22" i="1"/>
  <c r="R23" i="1"/>
  <c r="S23" i="1" s="1"/>
  <c r="S29" i="1" s="1"/>
  <c r="R24" i="1"/>
  <c r="S24" i="1"/>
  <c r="R25" i="1"/>
  <c r="S25" i="1"/>
  <c r="R26" i="1"/>
  <c r="S26" i="1"/>
  <c r="R27" i="1"/>
  <c r="S27" i="1"/>
  <c r="R28" i="1"/>
  <c r="S28" i="1"/>
  <c r="B29" i="1"/>
  <c r="C29" i="1"/>
  <c r="D29" i="1"/>
  <c r="E29" i="1"/>
  <c r="H29" i="1"/>
  <c r="I29" i="1"/>
  <c r="K29" i="1"/>
  <c r="L29" i="1"/>
  <c r="N29" i="1"/>
  <c r="O29" i="1"/>
  <c r="R29" i="1"/>
  <c r="G31" i="1"/>
  <c r="I31" i="1"/>
  <c r="L31" i="1"/>
  <c r="P31" i="1"/>
  <c r="E9" i="2"/>
  <c r="E11" i="2"/>
  <c r="E14" i="2"/>
  <c r="E17" i="2"/>
  <c r="R21" i="1" l="1"/>
  <c r="S6" i="1"/>
  <c r="S21" i="1" s="1"/>
  <c r="E18" i="2"/>
  <c r="K31" i="1"/>
  <c r="N31" i="1"/>
  <c r="E15" i="2"/>
  <c r="E5" i="2"/>
  <c r="B31" i="1"/>
  <c r="S34" i="1" s="1"/>
  <c r="H21" i="1"/>
  <c r="E8" i="2"/>
  <c r="C21" i="1"/>
  <c r="E21" i="2" l="1"/>
  <c r="R31" i="1"/>
  <c r="C31" i="1"/>
  <c r="E6" i="2"/>
  <c r="H31" i="1"/>
  <c r="H32" i="1" s="1"/>
  <c r="E12" i="2"/>
  <c r="F6" i="2" s="1"/>
  <c r="E20" i="2"/>
  <c r="F5" i="2" s="1"/>
  <c r="G5" i="2" s="1"/>
  <c r="S31" i="1"/>
  <c r="G6" i="2" l="1"/>
  <c r="P32" i="1"/>
  <c r="G32" i="1"/>
  <c r="D32" i="1"/>
  <c r="N32" i="1"/>
  <c r="R32" i="1"/>
  <c r="C32" i="1" l="1"/>
</calcChain>
</file>

<file path=xl/comments1.xml><?xml version="1.0" encoding="utf-8"?>
<comments xmlns="http://schemas.openxmlformats.org/spreadsheetml/2006/main">
  <authors>
    <author>Terrie Wheeler</author>
  </authors>
  <commentList>
    <comment ref="H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Locate receipts or get waiver from  Sr Management.
Document business purpose &amp; attendees.</t>
        </r>
      </text>
    </comment>
    <comment ref="N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O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P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Document business Purpose &amp; attendees.</t>
        </r>
      </text>
    </comment>
    <comment ref="R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  <comment ref="S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</commentList>
</comments>
</file>

<file path=xl/sharedStrings.xml><?xml version="1.0" encoding="utf-8"?>
<sst xmlns="http://schemas.openxmlformats.org/spreadsheetml/2006/main" count="172" uniqueCount="138">
  <si>
    <t>Mo/Yr</t>
  </si>
  <si>
    <t xml:space="preserve"> </t>
  </si>
  <si>
    <t>Due Employee</t>
  </si>
  <si>
    <t>Cost Object</t>
  </si>
  <si>
    <t>Status</t>
  </si>
  <si>
    <t>Paid to ENE</t>
  </si>
  <si>
    <t>Receipt, but no Business Purpose or Attendees Documented</t>
  </si>
  <si>
    <t>@1.21</t>
  </si>
  <si>
    <t>@1.20</t>
  </si>
  <si>
    <t>@1.22</t>
  </si>
  <si>
    <t>@1.87</t>
  </si>
  <si>
    <t>@1.80</t>
  </si>
  <si>
    <t>@1.79</t>
  </si>
  <si>
    <t>@1.78</t>
  </si>
  <si>
    <t>@1.84</t>
  </si>
  <si>
    <t>@1.83</t>
  </si>
  <si>
    <t>@1.86</t>
  </si>
  <si>
    <t>@1.89</t>
  </si>
  <si>
    <t>@1.99</t>
  </si>
  <si>
    <t>@2.01</t>
  </si>
  <si>
    <t>Exchange Rates</t>
  </si>
  <si>
    <t>A</t>
  </si>
  <si>
    <t>B</t>
  </si>
  <si>
    <t>C</t>
  </si>
  <si>
    <t>A:  May have attendees from calendar, but not actual receipt and no business purpose.  Note:  Meal locations may not mirror Diomedes location per his calendar.</t>
  </si>
  <si>
    <t>B:  No travel ticket receipts available so destinations and business purposes unknown.</t>
  </si>
  <si>
    <t>C:  Receipts turned in and acknowledged by Sao Paulo Office</t>
  </si>
  <si>
    <t>Personal Due Company in US$</t>
  </si>
  <si>
    <t>Missing Airline Ticket Receipt in Reais</t>
  </si>
  <si>
    <t>Missing Airline Ticket Receipt in US$</t>
  </si>
  <si>
    <t>Receipts Turned In, or Amex Receipt Available, or Less than $75 in Reais</t>
  </si>
  <si>
    <t>US$</t>
  </si>
  <si>
    <t>Receipts Turned In, or Amex Receipt Available, or Less than $75  IN U.S. $</t>
  </si>
  <si>
    <t>Personal Due Company in Reais</t>
  </si>
  <si>
    <t>Missing Receipts $75 &amp; Over in Reais</t>
  </si>
  <si>
    <t>US AMEX Card</t>
  </si>
  <si>
    <t>1)  Returned Varig tkt for credit US$160.64/R$300.40</t>
  </si>
  <si>
    <t>2) Returned Contl tkt for credit USR17,893.77/R$32,208.79</t>
  </si>
  <si>
    <t>4) &lt;Received Credit US$41614.55/R$74073.90&gt;  Airline ticket returned for credit USR10,470.88</t>
  </si>
  <si>
    <t>5) &lt;Received Credit R$569.25&gt; Returned airline tickets for credit US$41780.38/R$76,875.89</t>
  </si>
  <si>
    <t>6) &lt;Received Credit from Contl US$16293.51&gt; Returned airline tickets for credit USR20,208.42/R$37,183.49</t>
  </si>
  <si>
    <t>3)  Received Credit US$2269.50/R$4062.41 Returned airline tkts for credit $28,897.83</t>
  </si>
  <si>
    <t>1)         1/1/2000</t>
  </si>
  <si>
    <t>2)       2/1/2000</t>
  </si>
  <si>
    <t>3)       3/1/2000</t>
  </si>
  <si>
    <t>4)       4/1/2000</t>
  </si>
  <si>
    <t>5)       5/1/2000</t>
  </si>
  <si>
    <t>6)       6/1/2000</t>
  </si>
  <si>
    <t>7)       7/1/2000</t>
  </si>
  <si>
    <t>7) &lt;Received Credit US$12461.99/R$22805.44&gt;  Returned AA tkt US$3266.25/R$5977.24 for credit</t>
  </si>
  <si>
    <t xml:space="preserve">       8/1/2000</t>
  </si>
  <si>
    <t xml:space="preserve">       9/1/2000</t>
  </si>
  <si>
    <t xml:space="preserve">    10/1/2000</t>
  </si>
  <si>
    <t xml:space="preserve">    12/1/2000</t>
  </si>
  <si>
    <t>Description of Personal charge(s)</t>
  </si>
  <si>
    <t>Neiman-Marcus</t>
  </si>
  <si>
    <t xml:space="preserve">Bar Des Arts SP $69.07;Sushi Square $71.50; Rest. Mitsouko SP $94.88; Ganesh Res.SP  $77.73; Rest. Nagayama SP $141.35; Barbacoa Grill Beer Rest. $51.33; Spaghetti Notte SP $59.68; Sushi Square $111.38; Rest. Mitsouko SP $67.83; Restaurante Sumire $122.50; Rest. Sumire $129.58; </t>
  </si>
  <si>
    <t>Le Champs Elysees RJ $257.83; Taro Rest-Hou. $110.48; Copacabana Palace Hotel RJ $511.63;Omni Hotel $1064.75</t>
  </si>
  <si>
    <t xml:space="preserve">Description of Charges on Missing Receipts $75 &amp; Over (US$) </t>
  </si>
  <si>
    <t>Missing Receipts $75 &amp; Over (US$)</t>
  </si>
  <si>
    <t xml:space="preserve">Varig $493.44; Varig 398.69;Am. Airlines $6397.87; </t>
  </si>
  <si>
    <t xml:space="preserve">Rest. Mitsouko SP $40.91; Barbacoa Grill SP $45.45; Bar des Arts SP $63.69; </t>
  </si>
  <si>
    <t>Neiman Marcus Hou</t>
  </si>
  <si>
    <t>AT&amp;T Comm $76.97</t>
  </si>
  <si>
    <t>Varig (1) $160.64; Varig $80.32; United Airlines $2564.40</t>
  </si>
  <si>
    <t>Decription of Missing Airline Receipts</t>
  </si>
  <si>
    <t>Contl (2) $5370.79; Contl (2) $6419.67;Contl (2) $6103.32; Varig $83.44</t>
  </si>
  <si>
    <t xml:space="preserve">Gift Shop purchases @ Omni $38.89; Gift Shop $4.62 @ Four Seasons Lon.; </t>
  </si>
  <si>
    <t>CW Associates Ltd. London</t>
  </si>
  <si>
    <t>Gift shop purchases @ Omni $26.97</t>
  </si>
  <si>
    <t>Grosvenor House Hotel Lon. $9119.61; Shogun Lon. $87.63</t>
  </si>
  <si>
    <t xml:space="preserve">American Airlines $6973.76;British Air (4) $10,470.88; </t>
  </si>
  <si>
    <t>Grosvenor Hotel Lon $4262.81; Omni Hotel Hou $727.46; Grosvenor Hotel Lon $7839.30; Biscayne Bay Marriot Hotel $190.13;  Grosvenor House Hotel Lon. $5,553.89; Grosvenor House $336.98</t>
  </si>
  <si>
    <t>Kidrun Austermuehle $885.28; Gift Shop @ Omni Hou $18.60; Gift Shop $1.59 @ 4 Seasons; Gift Shop $43.62 @ Omni Hou</t>
  </si>
  <si>
    <t>Massa's $100.00</t>
  </si>
  <si>
    <t>Mirabelle Lon. $268.43; Gift Shop @ Four Seasons $50.80</t>
  </si>
  <si>
    <t>Varig $164.15; American $3266.25</t>
  </si>
  <si>
    <t>Grosvenor House Hotel Lon. $11,006.99;</t>
  </si>
  <si>
    <t>Gift Shop $7.27 @ Dorchester Hotel Lon.; Gift Shop $20.92 @ Omni Hou.; Gift Shop $10.56 @Omni Hou; Gift Shop $33.37 @ Omni Hou.</t>
  </si>
  <si>
    <t>Dorchester Hotel Lon $1,476.32; London Hilton $4,391.24</t>
  </si>
  <si>
    <t>Rio Sul $231.40</t>
  </si>
  <si>
    <t>Rest. Nagayama SP $34.30; Sushi SP $53.82; Badaro SP $38.56; Sushi SP $65.14</t>
  </si>
  <si>
    <t>Eagan Enterprices Cypress TX Computer, battery, adapter, Printer &amp; misc. supplies</t>
  </si>
  <si>
    <t>Ayscough Travel-Town car driver $2897.19; Fortyseven Park Hotel Lon. $2123.02; Hotel Pavillon Courmayer $92.06; Nebresco Hotel-Nice $108.96;Four Seasons Hotel, NY $6931.66</t>
  </si>
  <si>
    <t>Rest. Nagayama $26.34; Sushi SP $28.91; Gran Melia SP $30.95;</t>
  </si>
  <si>
    <t>Fortyseven Park St. Hotel London $1,407.69</t>
  </si>
  <si>
    <t xml:space="preserve">Abbraccio Rest. $8.73; Rest. Nagayama SP $71.91; Sushi SP $61.66; Abbraccio Rest. SP $17.46; Badaro SP $33.06; </t>
  </si>
  <si>
    <t>Gift Shop @Omni Hotel Hou $16.11; Gift Shop @ Hotel Pierre NY $13.15</t>
  </si>
  <si>
    <t xml:space="preserve">Rest. Nagayama $249.61; Shogun Rest. Lon. $90.37; </t>
  </si>
  <si>
    <t xml:space="preserve">Sushi SP $56.59; Barbacao SP $34.70; </t>
  </si>
  <si>
    <t>Contl $2089.48; Contl $1076.25</t>
  </si>
  <si>
    <t>Gift Shop @ Omni Hou $49.68</t>
  </si>
  <si>
    <t>British Air $8,643.03; American $3,725.40</t>
  </si>
  <si>
    <t>Grosvenor House Lon. $85.30</t>
  </si>
  <si>
    <t>Badaro $36.31</t>
  </si>
  <si>
    <t>Rio Sul #2932579466017 $112.57; BA #1252579646986 $3,702.86; BA #1255776698478 $11,209.53;</t>
  </si>
  <si>
    <t>Kai Mayfair-Lon. $81.83; Noura Brassier Lon $83.09; The Met-Lon $158.90; Harrods-Lon $91.01</t>
  </si>
  <si>
    <t>Contl #0057022426587 $4,270.13</t>
  </si>
  <si>
    <t>Personal purchase @ WH Smith Ltd. London $27.68</t>
  </si>
  <si>
    <t xml:space="preserve">Cyprus Hilton Nicosia 709.89 (Diomedes to mail in receipt to G G Garcia) </t>
  </si>
  <si>
    <t>DIOMEDES CHRISTODOULOU</t>
  </si>
  <si>
    <t>EXPENSE REPORT RECAP</t>
  </si>
  <si>
    <t>Personal Due Company in US $</t>
  </si>
  <si>
    <t>Paid Amex Amount in US $</t>
  </si>
  <si>
    <t>Paid Amex Amount in Reais</t>
  </si>
  <si>
    <t>Missing Receipts in US $</t>
  </si>
  <si>
    <t>Missing Receipts in Reais</t>
  </si>
  <si>
    <t>Missing Airline Ticket Receipts in US $</t>
  </si>
  <si>
    <t>Missing Airline Ticket Receipts in Reais</t>
  </si>
  <si>
    <t>Receipts Turned in or &lt; $75 in US $</t>
  </si>
  <si>
    <t>Receipts Turned in or &lt; $75 in Reais</t>
  </si>
  <si>
    <t>Paid Amex Amount in US$</t>
  </si>
  <si>
    <t>Tie Out Amts</t>
  </si>
  <si>
    <t>Diff</t>
  </si>
  <si>
    <t>Per Sheet 1</t>
  </si>
  <si>
    <t>1998 - 2001</t>
  </si>
  <si>
    <t xml:space="preserve">Personal Meals in Sao Paulo </t>
  </si>
  <si>
    <t>Personal Meals in US $</t>
  </si>
  <si>
    <t>Total of Personal Meals in Sao Paulo in US $</t>
  </si>
  <si>
    <t>Total of Personal Meals in Sao Paulo in Reais</t>
  </si>
  <si>
    <t xml:space="preserve">Cyprus Hilton Nicosia $509.99; Dakota Framing (packing &amp; ready for shipping of personal effects to London $1055.44; Fine Arts Express (moving/shipping of personal effects to London $685.00: </t>
  </si>
  <si>
    <t>American Airlines $3512.00</t>
  </si>
  <si>
    <t>Sushi Zen Sao SP $123.55; Spaghetti Notte SP $98.00; Rest. Nagayama SP $71.82; Sushi Zen SP $80.73; House of Siam SP $93.64; Ret. Mitsouko SP $169.55; Caesar Park Hotel $122.87; Hotel Sofitel Hou $223.66; Hotel Villa Magna $2550.43; Pescatori Dover St. Lon. $153.10; Ritz Hotel Lon. $2109.88</t>
  </si>
  <si>
    <t>Omni Hotel Hou $868.24; Omni Hou $501.95; Fortyseven Hotel Lon. $1068.82;Miyako Hou $108.42;</t>
  </si>
  <si>
    <t xml:space="preserve">Gran Melia $241.39; Gran Melia $100.82 SP; Gran Melia SP $136.15; La Tambouille SP $93.55; Rest. Mitsouko $49.59; Rest. Nagayama $163.38; $Rest. Mitsouko SP $36.89; </t>
  </si>
  <si>
    <t xml:space="preserve">Sushi SP $39.65; </t>
  </si>
  <si>
    <t>Copacabana Palace Hotel $369.17</t>
  </si>
  <si>
    <t>Rest. Nagayama SP $33.31; Badaro Rest. SP $18.58: Rst. Mitsouko SP $18.33;</t>
  </si>
  <si>
    <t xml:space="preserve">Gift Shop @ Omni Hou $9.42; Health Spa @ Omni Hou $139.00; Gift Shop $33.32 @ 4 Seasons Hou; Gift Shop $4.00 @ 4 Seasons Hou: Gift Shop $1.00 @ Omni </t>
  </si>
  <si>
    <t>(5)British Airway $8,073.96 returned for credit;(5)British Airways $5,234.97; British Air (5) $11,932.73</t>
  </si>
  <si>
    <t xml:space="preserve">Varig (6) $6687.10; </t>
  </si>
  <si>
    <t>Membership Rewards $39.33; Aeroboutique $597.60; Hotel Kamp Helsinki in Finland $189.06 personal; Alvear Palace Hotel-Argentina (For Joe Kishkill's wedding) $924.95; British Airways $9381.90 travelled to Argentina for Joe Kishkill's wedding</t>
  </si>
  <si>
    <t>Personal Meals in Reais</t>
  </si>
  <si>
    <t>Rest. Nagayama SP $96.25; Sushi SP $55.43; Sea House SP $46.75; Rest. Nagayama SP $41.55; Rest. Nagayama SP $81.30; Sushi SP $66.00; Sushi Bar $65.76</t>
  </si>
  <si>
    <t>Contl (3) $8274.73;         Varig (3) $6628.39</t>
  </si>
  <si>
    <t>BRAZIL AMEX</t>
  </si>
  <si>
    <t>TOTAL US AMEX</t>
  </si>
  <si>
    <t>Paid for Membership Reward w/ck #1365 dated 2/1/01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</si>
</sst>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1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61"/>
      <name val="Arial"/>
      <family val="2"/>
    </font>
    <font>
      <sz val="8"/>
      <color indexed="12"/>
      <name val="Arial"/>
      <family val="2"/>
    </font>
    <font>
      <sz val="8"/>
      <color indexed="61"/>
      <name val="Arial"/>
      <family val="2"/>
    </font>
    <font>
      <sz val="8"/>
      <color indexed="57"/>
      <name val="Arial"/>
      <family val="2"/>
    </font>
    <font>
      <sz val="8"/>
      <color indexed="10"/>
      <name val="Arial"/>
      <family val="2"/>
    </font>
    <font>
      <sz val="8"/>
      <color indexed="11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44" fontId="4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6" fillId="0" borderId="1" xfId="0" applyFont="1" applyBorder="1" applyAlignment="1">
      <alignment horizontal="justify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horizontal="justify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justify"/>
    </xf>
    <xf numFmtId="0" fontId="7" fillId="0" borderId="7" xfId="0" applyFont="1" applyBorder="1" applyAlignment="1">
      <alignment horizontal="justify"/>
    </xf>
    <xf numFmtId="0" fontId="10" fillId="0" borderId="0" xfId="0" applyFont="1"/>
    <xf numFmtId="0" fontId="7" fillId="0" borderId="8" xfId="0" applyFont="1" applyBorder="1" applyAlignment="1">
      <alignment horizontal="justify"/>
    </xf>
    <xf numFmtId="0" fontId="10" fillId="0" borderId="6" xfId="0" applyFont="1" applyBorder="1" applyAlignment="1">
      <alignment horizontal="justify"/>
    </xf>
    <xf numFmtId="0" fontId="4" fillId="0" borderId="6" xfId="0" applyFont="1" applyBorder="1" applyAlignment="1">
      <alignment horizontal="justify"/>
    </xf>
    <xf numFmtId="0" fontId="4" fillId="0" borderId="9" xfId="0" applyFont="1" applyBorder="1" applyAlignment="1">
      <alignment horizontal="justify"/>
    </xf>
    <xf numFmtId="0" fontId="7" fillId="0" borderId="10" xfId="0" applyFont="1" applyBorder="1" applyAlignment="1">
      <alignment horizontal="left"/>
    </xf>
    <xf numFmtId="0" fontId="4" fillId="0" borderId="5" xfId="0" applyFont="1" applyBorder="1" applyAlignment="1">
      <alignment horizontal="justify"/>
    </xf>
    <xf numFmtId="0" fontId="6" fillId="0" borderId="3" xfId="0" applyFont="1" applyBorder="1" applyAlignment="1">
      <alignment horizontal="justify"/>
    </xf>
    <xf numFmtId="0" fontId="5" fillId="0" borderId="1" xfId="0" applyFont="1" applyBorder="1" applyAlignment="1"/>
    <xf numFmtId="0" fontId="7" fillId="0" borderId="8" xfId="0" applyFont="1" applyBorder="1" applyAlignment="1">
      <alignment horizontal="justify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4" fillId="0" borderId="7" xfId="0" applyFont="1" applyBorder="1" applyAlignment="1">
      <alignment horizontal="justify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justify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44" fontId="4" fillId="0" borderId="14" xfId="1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2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4" fillId="0" borderId="15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0" xfId="0" applyFont="1" applyAlignment="1">
      <alignment vertical="top"/>
    </xf>
    <xf numFmtId="44" fontId="4" fillId="0" borderId="0" xfId="1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Fill="1" applyBorder="1" applyAlignment="1">
      <alignment vertical="top"/>
    </xf>
    <xf numFmtId="0" fontId="14" fillId="0" borderId="0" xfId="0" applyFont="1"/>
    <xf numFmtId="0" fontId="14" fillId="0" borderId="0" xfId="0" quotePrefix="1" applyFont="1"/>
    <xf numFmtId="44" fontId="0" fillId="0" borderId="0" xfId="0" applyNumberFormat="1"/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justify"/>
    </xf>
    <xf numFmtId="44" fontId="4" fillId="0" borderId="0" xfId="0" applyNumberFormat="1" applyFont="1" applyAlignment="1">
      <alignment vertical="top"/>
    </xf>
    <xf numFmtId="0" fontId="6" fillId="0" borderId="16" xfId="0" applyFont="1" applyBorder="1" applyAlignment="1"/>
    <xf numFmtId="0" fontId="6" fillId="0" borderId="2" xfId="0" applyFont="1" applyBorder="1" applyAlignment="1">
      <alignment horizontal="justify" wrapText="1"/>
    </xf>
    <xf numFmtId="0" fontId="4" fillId="0" borderId="17" xfId="0" applyFont="1" applyBorder="1" applyAlignment="1">
      <alignment horizontal="justify" vertical="top"/>
    </xf>
    <xf numFmtId="0" fontId="4" fillId="0" borderId="18" xfId="0" applyFont="1" applyBorder="1" applyAlignment="1">
      <alignment horizontal="justify" vertical="top"/>
    </xf>
    <xf numFmtId="0" fontId="4" fillId="0" borderId="19" xfId="0" applyFont="1" applyBorder="1" applyAlignment="1">
      <alignment horizontal="justify" vertical="top"/>
    </xf>
    <xf numFmtId="0" fontId="7" fillId="0" borderId="20" xfId="0" applyFont="1" applyBorder="1" applyAlignment="1">
      <alignment vertical="top"/>
    </xf>
    <xf numFmtId="0" fontId="12" fillId="0" borderId="4" xfId="0" applyFont="1" applyBorder="1" applyAlignment="1">
      <alignment horizontal="justify"/>
    </xf>
    <xf numFmtId="165" fontId="8" fillId="0" borderId="9" xfId="1" applyNumberFormat="1" applyFont="1" applyBorder="1" applyAlignment="1">
      <alignment horizontal="right"/>
    </xf>
    <xf numFmtId="165" fontId="7" fillId="0" borderId="21" xfId="1" applyNumberFormat="1" applyFont="1" applyBorder="1" applyAlignment="1"/>
    <xf numFmtId="165" fontId="8" fillId="0" borderId="21" xfId="1" applyNumberFormat="1" applyFont="1" applyBorder="1" applyAlignment="1"/>
    <xf numFmtId="165" fontId="8" fillId="0" borderId="21" xfId="1" applyNumberFormat="1" applyFont="1" applyBorder="1" applyAlignment="1">
      <alignment horizontal="justify"/>
    </xf>
    <xf numFmtId="165" fontId="7" fillId="0" borderId="21" xfId="1" applyNumberFormat="1" applyFont="1" applyBorder="1" applyAlignment="1">
      <alignment horizontal="justify"/>
    </xf>
    <xf numFmtId="165" fontId="9" fillId="0" borderId="21" xfId="1" applyNumberFormat="1" applyFont="1" applyBorder="1" applyAlignment="1"/>
    <xf numFmtId="165" fontId="7" fillId="0" borderId="21" xfId="0" applyNumberFormat="1" applyFont="1" applyBorder="1" applyAlignment="1">
      <alignment horizontal="justify"/>
    </xf>
    <xf numFmtId="165" fontId="8" fillId="0" borderId="22" xfId="1" applyNumberFormat="1" applyFont="1" applyBorder="1" applyAlignment="1"/>
    <xf numFmtId="165" fontId="8" fillId="0" borderId="23" xfId="0" quotePrefix="1" applyNumberFormat="1" applyFont="1" applyBorder="1" applyAlignment="1">
      <alignment horizontal="justify"/>
    </xf>
    <xf numFmtId="165" fontId="8" fillId="0" borderId="7" xfId="1" applyNumberFormat="1" applyFont="1" applyBorder="1" applyAlignment="1">
      <alignment horizontal="right"/>
    </xf>
    <xf numFmtId="165" fontId="7" fillId="0" borderId="22" xfId="1" applyNumberFormat="1" applyFont="1" applyBorder="1" applyAlignment="1"/>
    <xf numFmtId="165" fontId="7" fillId="0" borderId="22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justify"/>
    </xf>
    <xf numFmtId="165" fontId="8" fillId="0" borderId="24" xfId="0" quotePrefix="1" applyNumberFormat="1" applyFont="1" applyBorder="1" applyAlignment="1">
      <alignment horizontal="justify"/>
    </xf>
    <xf numFmtId="165" fontId="8" fillId="0" borderId="17" xfId="1" applyNumberFormat="1" applyFont="1" applyBorder="1" applyAlignment="1">
      <alignment horizontal="right"/>
    </xf>
    <xf numFmtId="165" fontId="7" fillId="0" borderId="17" xfId="1" applyNumberFormat="1" applyFont="1" applyBorder="1" applyAlignment="1"/>
    <xf numFmtId="165" fontId="7" fillId="0" borderId="25" xfId="1" applyNumberFormat="1" applyFont="1" applyBorder="1" applyAlignment="1"/>
    <xf numFmtId="165" fontId="8" fillId="0" borderId="25" xfId="1" applyNumberFormat="1" applyFont="1" applyBorder="1" applyAlignment="1"/>
    <xf numFmtId="165" fontId="8" fillId="0" borderId="25" xfId="1" applyNumberFormat="1" applyFont="1" applyBorder="1" applyAlignment="1">
      <alignment horizontal="justify"/>
    </xf>
    <xf numFmtId="165" fontId="7" fillId="0" borderId="25" xfId="1" applyNumberFormat="1" applyFont="1" applyBorder="1" applyAlignment="1">
      <alignment horizontal="justify"/>
    </xf>
    <xf numFmtId="165" fontId="8" fillId="0" borderId="26" xfId="0" quotePrefix="1" applyNumberFormat="1" applyFont="1" applyBorder="1" applyAlignment="1">
      <alignment horizontal="justify"/>
    </xf>
    <xf numFmtId="165" fontId="7" fillId="0" borderId="7" xfId="1" applyNumberFormat="1" applyFont="1" applyBorder="1" applyAlignment="1"/>
    <xf numFmtId="165" fontId="7" fillId="0" borderId="25" xfId="0" applyNumberFormat="1" applyFont="1" applyBorder="1" applyAlignment="1"/>
    <xf numFmtId="165" fontId="8" fillId="0" borderId="25" xfId="0" applyNumberFormat="1" applyFont="1" applyBorder="1" applyAlignment="1"/>
    <xf numFmtId="165" fontId="7" fillId="0" borderId="17" xfId="0" applyNumberFormat="1" applyFont="1" applyBorder="1" applyAlignment="1">
      <alignment horizontal="justify"/>
    </xf>
    <xf numFmtId="165" fontId="8" fillId="0" borderId="26" xfId="1" quotePrefix="1" applyNumberFormat="1" applyFont="1" applyBorder="1" applyAlignment="1">
      <alignment horizontal="justify"/>
    </xf>
    <xf numFmtId="165" fontId="8" fillId="0" borderId="19" xfId="0" applyNumberFormat="1" applyFont="1" applyBorder="1" applyAlignment="1"/>
    <xf numFmtId="165" fontId="7" fillId="0" borderId="19" xfId="0" applyNumberFormat="1" applyFont="1" applyBorder="1" applyAlignment="1"/>
    <xf numFmtId="165" fontId="7" fillId="0" borderId="19" xfId="0" applyNumberFormat="1" applyFont="1" applyBorder="1" applyAlignment="1">
      <alignment horizontal="justify"/>
    </xf>
    <xf numFmtId="165" fontId="7" fillId="0" borderId="19" xfId="1" applyNumberFormat="1" applyFont="1" applyBorder="1" applyAlignment="1"/>
    <xf numFmtId="165" fontId="8" fillId="0" borderId="19" xfId="1" applyNumberFormat="1" applyFont="1" applyBorder="1" applyAlignment="1"/>
    <xf numFmtId="165" fontId="8" fillId="0" borderId="19" xfId="1" quotePrefix="1" applyNumberFormat="1" applyFont="1" applyBorder="1" applyAlignment="1">
      <alignment horizontal="justify"/>
    </xf>
    <xf numFmtId="165" fontId="7" fillId="0" borderId="20" xfId="0" applyNumberFormat="1" applyFont="1" applyBorder="1" applyAlignment="1"/>
    <xf numFmtId="165" fontId="8" fillId="0" borderId="21" xfId="1" applyNumberFormat="1" applyFont="1" applyBorder="1" applyAlignment="1">
      <alignment horizontal="left"/>
    </xf>
    <xf numFmtId="165" fontId="7" fillId="0" borderId="14" xfId="1" applyNumberFormat="1" applyFont="1" applyBorder="1" applyAlignment="1"/>
    <xf numFmtId="165" fontId="8" fillId="0" borderId="23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left"/>
    </xf>
    <xf numFmtId="165" fontId="7" fillId="0" borderId="20" xfId="1" applyNumberFormat="1" applyFont="1" applyBorder="1" applyAlignment="1"/>
    <xf numFmtId="165" fontId="8" fillId="0" borderId="24" xfId="1" applyNumberFormat="1" applyFont="1" applyBorder="1" applyAlignment="1">
      <alignment horizontal="justify"/>
    </xf>
    <xf numFmtId="165" fontId="8" fillId="0" borderId="24" xfId="0" applyNumberFormat="1" applyFont="1" applyBorder="1" applyAlignment="1">
      <alignment horizontal="justify"/>
    </xf>
    <xf numFmtId="165" fontId="4" fillId="0" borderId="12" xfId="0" applyNumberFormat="1" applyFont="1" applyBorder="1" applyAlignment="1">
      <alignment horizontal="right"/>
    </xf>
    <xf numFmtId="165" fontId="8" fillId="0" borderId="27" xfId="1" applyNumberFormat="1" applyFont="1" applyBorder="1" applyAlignment="1">
      <alignment horizontal="left"/>
    </xf>
    <xf numFmtId="165" fontId="7" fillId="0" borderId="14" xfId="1" applyNumberFormat="1" applyFont="1" applyBorder="1" applyAlignment="1">
      <alignment horizontal="justify"/>
    </xf>
    <xf numFmtId="165" fontId="8" fillId="0" borderId="20" xfId="1" applyNumberFormat="1" applyFont="1" applyBorder="1" applyAlignment="1"/>
    <xf numFmtId="165" fontId="4" fillId="0" borderId="14" xfId="1" applyNumberFormat="1" applyFont="1" applyBorder="1" applyAlignment="1"/>
    <xf numFmtId="165" fontId="8" fillId="0" borderId="14" xfId="1" applyNumberFormat="1" applyFont="1" applyBorder="1" applyAlignment="1"/>
    <xf numFmtId="165" fontId="4" fillId="0" borderId="28" xfId="0" applyNumberFormat="1" applyFont="1" applyBorder="1" applyAlignment="1"/>
    <xf numFmtId="165" fontId="4" fillId="0" borderId="20" xfId="0" applyNumberFormat="1" applyFont="1" applyBorder="1" applyAlignment="1"/>
    <xf numFmtId="165" fontId="7" fillId="0" borderId="14" xfId="0" applyNumberFormat="1" applyFont="1" applyBorder="1" applyAlignment="1">
      <alignment horizontal="justify"/>
    </xf>
    <xf numFmtId="165" fontId="8" fillId="0" borderId="29" xfId="0" applyNumberFormat="1" applyFont="1" applyBorder="1" applyAlignment="1">
      <alignment horizontal="left"/>
    </xf>
    <xf numFmtId="165" fontId="4" fillId="0" borderId="30" xfId="0" applyNumberFormat="1" applyFont="1" applyBorder="1" applyAlignment="1">
      <alignment horizontal="right"/>
    </xf>
    <xf numFmtId="165" fontId="8" fillId="0" borderId="31" xfId="1" applyNumberFormat="1" applyFont="1" applyBorder="1" applyAlignment="1">
      <alignment horizontal="left"/>
    </xf>
    <xf numFmtId="165" fontId="7" fillId="0" borderId="31" xfId="1" applyNumberFormat="1" applyFont="1" applyBorder="1" applyAlignment="1">
      <alignment horizontal="left"/>
    </xf>
    <xf numFmtId="165" fontId="7" fillId="0" borderId="32" xfId="1" applyNumberFormat="1" applyFont="1" applyBorder="1" applyAlignment="1"/>
    <xf numFmtId="165" fontId="4" fillId="0" borderId="32" xfId="1" applyNumberFormat="1" applyFont="1" applyBorder="1" applyAlignment="1"/>
    <xf numFmtId="165" fontId="8" fillId="0" borderId="32" xfId="1" applyNumberFormat="1" applyFont="1" applyBorder="1" applyAlignment="1"/>
    <xf numFmtId="165" fontId="4" fillId="0" borderId="33" xfId="0" applyNumberFormat="1" applyFont="1" applyBorder="1" applyAlignment="1"/>
    <xf numFmtId="165" fontId="4" fillId="0" borderId="31" xfId="0" applyNumberFormat="1" applyFont="1" applyBorder="1" applyAlignment="1"/>
    <xf numFmtId="165" fontId="8" fillId="0" borderId="34" xfId="0" applyNumberFormat="1" applyFont="1" applyBorder="1" applyAlignment="1">
      <alignment horizontal="left"/>
    </xf>
    <xf numFmtId="165" fontId="4" fillId="0" borderId="35" xfId="0" applyNumberFormat="1" applyFont="1" applyBorder="1" applyAlignment="1">
      <alignment horizontal="right"/>
    </xf>
    <xf numFmtId="165" fontId="8" fillId="0" borderId="36" xfId="1" applyNumberFormat="1" applyFont="1" applyBorder="1" applyAlignment="1">
      <alignment horizontal="left"/>
    </xf>
    <xf numFmtId="165" fontId="7" fillId="0" borderId="37" xfId="1" applyNumberFormat="1" applyFont="1" applyBorder="1" applyAlignment="1">
      <alignment horizontal="justify"/>
    </xf>
    <xf numFmtId="165" fontId="7" fillId="0" borderId="37" xfId="1" applyNumberFormat="1" applyFont="1" applyBorder="1" applyAlignment="1"/>
    <xf numFmtId="165" fontId="8" fillId="0" borderId="37" xfId="1" applyNumberFormat="1" applyFont="1" applyBorder="1" applyAlignment="1"/>
    <xf numFmtId="165" fontId="4" fillId="0" borderId="37" xfId="1" applyNumberFormat="1" applyFont="1" applyBorder="1" applyAlignment="1"/>
    <xf numFmtId="165" fontId="4" fillId="0" borderId="38" xfId="0" applyNumberFormat="1" applyFont="1" applyBorder="1" applyAlignment="1"/>
    <xf numFmtId="165" fontId="4" fillId="0" borderId="36" xfId="0" applyNumberFormat="1" applyFont="1" applyBorder="1" applyAlignment="1"/>
    <xf numFmtId="165" fontId="7" fillId="0" borderId="37" xfId="0" applyNumberFormat="1" applyFont="1" applyBorder="1" applyAlignment="1">
      <alignment horizontal="justify"/>
    </xf>
    <xf numFmtId="165" fontId="8" fillId="0" borderId="39" xfId="0" applyNumberFormat="1" applyFont="1" applyBorder="1" applyAlignment="1">
      <alignment horizontal="left"/>
    </xf>
    <xf numFmtId="165" fontId="7" fillId="0" borderId="30" xfId="0" applyNumberFormat="1" applyFont="1" applyBorder="1" applyAlignment="1"/>
    <xf numFmtId="165" fontId="7" fillId="0" borderId="33" xfId="1" applyNumberFormat="1" applyFont="1" applyBorder="1" applyAlignment="1"/>
    <xf numFmtId="165" fontId="7" fillId="0" borderId="31" xfId="1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5" fontId="7" fillId="0" borderId="14" xfId="1" applyNumberFormat="1" applyFont="1" applyBorder="1" applyAlignment="1">
      <alignment horizontal="center"/>
    </xf>
    <xf numFmtId="165" fontId="7" fillId="0" borderId="14" xfId="2" applyNumberFormat="1" applyFont="1" applyBorder="1" applyAlignment="1">
      <alignment horizontal="center"/>
    </xf>
    <xf numFmtId="165" fontId="8" fillId="0" borderId="14" xfId="2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left"/>
    </xf>
    <xf numFmtId="14" fontId="7" fillId="0" borderId="40" xfId="0" applyNumberFormat="1" applyFont="1" applyBorder="1" applyAlignment="1">
      <alignment horizontal="right"/>
    </xf>
    <xf numFmtId="14" fontId="7" fillId="0" borderId="41" xfId="0" applyNumberFormat="1" applyFont="1" applyBorder="1" applyAlignment="1">
      <alignment horizontal="right"/>
    </xf>
    <xf numFmtId="14" fontId="7" fillId="0" borderId="42" xfId="0" applyNumberFormat="1" applyFont="1" applyBorder="1" applyAlignment="1">
      <alignment horizontal="right"/>
    </xf>
    <xf numFmtId="14" fontId="7" fillId="0" borderId="43" xfId="0" applyNumberFormat="1" applyFont="1" applyBorder="1" applyAlignment="1"/>
    <xf numFmtId="14" fontId="7" fillId="0" borderId="44" xfId="0" applyNumberFormat="1" applyFont="1" applyBorder="1" applyAlignment="1">
      <alignment horizontal="left"/>
    </xf>
    <xf numFmtId="14" fontId="7" fillId="0" borderId="44" xfId="0" applyNumberFormat="1" applyFont="1" applyBorder="1" applyAlignment="1">
      <alignment horizontal="right"/>
    </xf>
    <xf numFmtId="14" fontId="7" fillId="0" borderId="44" xfId="0" applyNumberFormat="1" applyFont="1" applyBorder="1" applyAlignment="1">
      <alignment horizontal="center"/>
    </xf>
    <xf numFmtId="0" fontId="7" fillId="0" borderId="20" xfId="1" applyNumberFormat="1" applyFont="1" applyBorder="1" applyAlignment="1">
      <alignment horizontal="justify"/>
    </xf>
    <xf numFmtId="0" fontId="15" fillId="0" borderId="0" xfId="0" applyFont="1"/>
    <xf numFmtId="44" fontId="15" fillId="0" borderId="0" xfId="0" applyNumberFormat="1" applyFont="1"/>
    <xf numFmtId="0" fontId="16" fillId="0" borderId="0" xfId="0" applyFont="1"/>
    <xf numFmtId="44" fontId="1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2.75" x14ac:dyDescent="0.2"/>
  <cols>
    <col min="5" max="5" width="12.28515625" bestFit="1" customWidth="1"/>
    <col min="6" max="6" width="12.28515625" hidden="1" customWidth="1"/>
    <col min="7" max="7" width="11.85546875" hidden="1" customWidth="1"/>
  </cols>
  <sheetData>
    <row r="1" spans="1:7" ht="15" x14ac:dyDescent="0.25">
      <c r="A1" s="45" t="s">
        <v>100</v>
      </c>
    </row>
    <row r="2" spans="1:7" ht="15" x14ac:dyDescent="0.25">
      <c r="A2" s="45" t="s">
        <v>101</v>
      </c>
    </row>
    <row r="3" spans="1:7" ht="15" x14ac:dyDescent="0.25">
      <c r="A3" s="46" t="s">
        <v>115</v>
      </c>
    </row>
    <row r="4" spans="1:7" x14ac:dyDescent="0.2">
      <c r="E4" s="48" t="s">
        <v>114</v>
      </c>
      <c r="F4" s="48" t="s">
        <v>112</v>
      </c>
      <c r="G4" s="48" t="s">
        <v>113</v>
      </c>
    </row>
    <row r="5" spans="1:7" x14ac:dyDescent="0.2">
      <c r="A5" t="s">
        <v>103</v>
      </c>
      <c r="E5" s="47">
        <f>+Sheet1!B21</f>
        <v>463494.09717388375</v>
      </c>
      <c r="F5" s="47">
        <f>+E8+E11+E14+E20+E17</f>
        <v>463494.103542094</v>
      </c>
      <c r="G5" s="47">
        <f>+E5-F5</f>
        <v>-6.368210248183459E-3</v>
      </c>
    </row>
    <row r="6" spans="1:7" x14ac:dyDescent="0.2">
      <c r="A6" t="s">
        <v>104</v>
      </c>
      <c r="E6" s="47">
        <f>+Sheet1!C21</f>
        <v>836337.19180000015</v>
      </c>
      <c r="F6" s="47">
        <f>+E9+E12+E15+E21+E18</f>
        <v>836337.19180000003</v>
      </c>
      <c r="G6" s="47">
        <f>+E6-F6</f>
        <v>0</v>
      </c>
    </row>
    <row r="8" spans="1:7" x14ac:dyDescent="0.2">
      <c r="A8" s="147" t="s">
        <v>102</v>
      </c>
      <c r="B8" s="147"/>
      <c r="C8" s="147"/>
      <c r="D8" s="147"/>
      <c r="E8" s="148">
        <f>+Sheet1!E21</f>
        <v>23974.84</v>
      </c>
    </row>
    <row r="9" spans="1:7" x14ac:dyDescent="0.2">
      <c r="A9" s="147" t="s">
        <v>33</v>
      </c>
      <c r="B9" s="147"/>
      <c r="C9" s="147"/>
      <c r="D9" s="147"/>
      <c r="E9" s="148">
        <f>+Sheet1!D21</f>
        <v>40543.304299999996</v>
      </c>
    </row>
    <row r="10" spans="1:7" x14ac:dyDescent="0.2">
      <c r="A10" s="147"/>
      <c r="B10" s="147"/>
      <c r="C10" s="147"/>
      <c r="D10" s="147"/>
      <c r="E10" s="147"/>
    </row>
    <row r="11" spans="1:7" x14ac:dyDescent="0.2">
      <c r="A11" s="147" t="s">
        <v>105</v>
      </c>
      <c r="B11" s="147"/>
      <c r="C11" s="147"/>
      <c r="D11" s="147"/>
      <c r="E11" s="148">
        <f>+Sheet1!I21</f>
        <v>70070.339999999982</v>
      </c>
    </row>
    <row r="12" spans="1:7" x14ac:dyDescent="0.2">
      <c r="A12" s="147" t="s">
        <v>106</v>
      </c>
      <c r="B12" s="147"/>
      <c r="C12" s="147"/>
      <c r="D12" s="147"/>
      <c r="E12" s="148">
        <f>+Sheet1!H21</f>
        <v>123202.8656</v>
      </c>
    </row>
    <row r="13" spans="1:7" x14ac:dyDescent="0.2">
      <c r="A13" s="147"/>
      <c r="B13" s="147"/>
      <c r="C13" s="147"/>
      <c r="D13" s="147"/>
      <c r="E13" s="147"/>
    </row>
    <row r="14" spans="1:7" x14ac:dyDescent="0.2">
      <c r="A14" s="147" t="s">
        <v>107</v>
      </c>
      <c r="B14" s="147"/>
      <c r="C14" s="147"/>
      <c r="D14" s="147"/>
      <c r="E14" s="148">
        <f>+Sheet1!O21</f>
        <v>99176.626666666663</v>
      </c>
    </row>
    <row r="15" spans="1:7" x14ac:dyDescent="0.2">
      <c r="A15" s="147" t="s">
        <v>108</v>
      </c>
      <c r="B15" s="147"/>
      <c r="C15" s="147"/>
      <c r="D15" s="147"/>
      <c r="E15" s="148">
        <f>+Sheet1!N21</f>
        <v>176046.92890000003</v>
      </c>
    </row>
    <row r="16" spans="1:7" x14ac:dyDescent="0.2">
      <c r="A16" s="147"/>
      <c r="B16" s="147"/>
      <c r="C16" s="147"/>
      <c r="D16" s="147"/>
      <c r="E16" s="147"/>
    </row>
    <row r="17" spans="1:5" x14ac:dyDescent="0.2">
      <c r="A17" s="147" t="s">
        <v>117</v>
      </c>
      <c r="B17" s="147"/>
      <c r="C17" s="147"/>
      <c r="D17" s="147"/>
      <c r="E17" s="148">
        <f>+Sheet1!L21</f>
        <v>2096.8599999999997</v>
      </c>
    </row>
    <row r="18" spans="1:5" x14ac:dyDescent="0.2">
      <c r="A18" s="147" t="s">
        <v>132</v>
      </c>
      <c r="B18" s="147"/>
      <c r="C18" s="147"/>
      <c r="D18" s="147"/>
      <c r="E18" s="148">
        <f>+Sheet1!K21</f>
        <v>3294.5009000000005</v>
      </c>
    </row>
    <row r="20" spans="1:5" x14ac:dyDescent="0.2">
      <c r="A20" s="145" t="s">
        <v>109</v>
      </c>
      <c r="B20" s="145"/>
      <c r="C20" s="145"/>
      <c r="D20" s="145"/>
      <c r="E20" s="146">
        <f>+Sheet1!S21</f>
        <v>268175.43687542737</v>
      </c>
    </row>
    <row r="21" spans="1:5" x14ac:dyDescent="0.2">
      <c r="A21" s="145" t="s">
        <v>110</v>
      </c>
      <c r="B21" s="145"/>
      <c r="C21" s="145"/>
      <c r="D21" s="145"/>
      <c r="E21" s="146">
        <f>+Sheet1!R21</f>
        <v>493249.59210000007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zoomScaleNormal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45" sqref="A45"/>
    </sheetView>
  </sheetViews>
  <sheetFormatPr defaultRowHeight="11.25" x14ac:dyDescent="0.2"/>
  <cols>
    <col min="1" max="1" width="11.28515625" style="2" customWidth="1"/>
    <col min="2" max="2" width="11.42578125" style="2" customWidth="1"/>
    <col min="3" max="3" width="10.42578125" style="1" customWidth="1"/>
    <col min="4" max="5" width="11.5703125" style="1" customWidth="1"/>
    <col min="6" max="6" width="20.7109375" style="1" customWidth="1"/>
    <col min="7" max="7" width="11.28515625" style="2" hidden="1" customWidth="1"/>
    <col min="8" max="8" width="12.140625" style="2" customWidth="1"/>
    <col min="9" max="9" width="10.5703125" style="2" customWidth="1"/>
    <col min="10" max="10" width="20.7109375" style="2" customWidth="1"/>
    <col min="11" max="11" width="10" style="2" customWidth="1"/>
    <col min="12" max="12" width="9.5703125" style="2" customWidth="1"/>
    <col min="13" max="13" width="20.7109375" style="2" customWidth="1"/>
    <col min="14" max="15" width="10.5703125" style="2" customWidth="1"/>
    <col min="16" max="16" width="12.7109375" style="2" hidden="1" customWidth="1"/>
    <col min="17" max="17" width="20.7109375" style="2" customWidth="1"/>
    <col min="18" max="18" width="12.7109375" style="2" customWidth="1"/>
    <col min="19" max="19" width="12.5703125" style="2" customWidth="1"/>
    <col min="20" max="20" width="8.140625" style="2" customWidth="1"/>
    <col min="21" max="21" width="7.7109375" style="2" hidden="1" customWidth="1"/>
    <col min="22" max="22" width="8.5703125" style="2" hidden="1" customWidth="1"/>
    <col min="23" max="16384" width="9.140625" style="2"/>
  </cols>
  <sheetData>
    <row r="1" spans="1:24" x14ac:dyDescent="0.2">
      <c r="C1" s="2"/>
      <c r="D1" s="2"/>
      <c r="E1" s="2"/>
      <c r="F1" s="2"/>
      <c r="H1" s="3"/>
      <c r="I1" s="3"/>
      <c r="J1" s="3"/>
      <c r="K1" s="3"/>
      <c r="L1" s="3"/>
      <c r="M1" s="3"/>
      <c r="N1" s="3"/>
      <c r="O1" s="3"/>
    </row>
    <row r="2" spans="1:24" x14ac:dyDescent="0.2">
      <c r="C2" s="2"/>
      <c r="D2" s="2"/>
      <c r="E2" s="2"/>
      <c r="F2" s="2"/>
      <c r="H2" s="3"/>
      <c r="I2" s="3"/>
      <c r="J2" s="3"/>
      <c r="K2" s="3"/>
      <c r="L2" s="3"/>
      <c r="M2" s="3"/>
      <c r="N2" s="3"/>
      <c r="O2" s="3"/>
      <c r="T2" s="4" t="s">
        <v>1</v>
      </c>
    </row>
    <row r="3" spans="1:24" ht="12" thickBot="1" x14ac:dyDescent="0.25">
      <c r="C3" s="2"/>
      <c r="D3" s="2"/>
      <c r="E3" s="2"/>
      <c r="F3" s="2"/>
    </row>
    <row r="4" spans="1:24" ht="68.25" thickBot="1" x14ac:dyDescent="0.25">
      <c r="A4" s="52" t="s">
        <v>0</v>
      </c>
      <c r="B4" s="5" t="s">
        <v>111</v>
      </c>
      <c r="C4" s="50" t="s">
        <v>104</v>
      </c>
      <c r="D4" s="50" t="s">
        <v>33</v>
      </c>
      <c r="E4" s="21" t="s">
        <v>27</v>
      </c>
      <c r="F4" s="58" t="s">
        <v>54</v>
      </c>
      <c r="G4" s="22" t="s">
        <v>2</v>
      </c>
      <c r="H4" s="49" t="s">
        <v>34</v>
      </c>
      <c r="I4" s="7" t="s">
        <v>59</v>
      </c>
      <c r="J4" s="7" t="s">
        <v>58</v>
      </c>
      <c r="K4" s="49" t="s">
        <v>119</v>
      </c>
      <c r="L4" s="7" t="s">
        <v>118</v>
      </c>
      <c r="M4" s="7" t="s">
        <v>116</v>
      </c>
      <c r="N4" s="49" t="s">
        <v>28</v>
      </c>
      <c r="O4" s="7" t="s">
        <v>29</v>
      </c>
      <c r="P4" s="6" t="s">
        <v>6</v>
      </c>
      <c r="Q4" s="53" t="s">
        <v>65</v>
      </c>
      <c r="R4" s="49" t="s">
        <v>30</v>
      </c>
      <c r="S4" s="8" t="s">
        <v>32</v>
      </c>
      <c r="T4" s="9" t="s">
        <v>20</v>
      </c>
      <c r="U4" s="10" t="s">
        <v>4</v>
      </c>
      <c r="V4" s="20" t="s">
        <v>3</v>
      </c>
      <c r="X4" s="2" t="s">
        <v>1</v>
      </c>
    </row>
    <row r="5" spans="1:24" s="11" customFormat="1" ht="146.25" x14ac:dyDescent="0.2">
      <c r="A5" s="142">
        <v>36069</v>
      </c>
      <c r="B5" s="59">
        <v>26432.05</v>
      </c>
      <c r="C5" s="60">
        <f>+B5*1.2</f>
        <v>31718.46</v>
      </c>
      <c r="D5" s="60">
        <f>+E5*1.2</f>
        <v>6850.26</v>
      </c>
      <c r="E5" s="61">
        <v>5708.55</v>
      </c>
      <c r="F5" s="60" t="s">
        <v>55</v>
      </c>
      <c r="G5" s="60">
        <v>0</v>
      </c>
      <c r="H5" s="60">
        <f>+I5*1.2</f>
        <v>2333.6280000000002</v>
      </c>
      <c r="I5" s="61">
        <v>1944.69</v>
      </c>
      <c r="J5" s="62" t="s">
        <v>57</v>
      </c>
      <c r="K5" s="63">
        <v>1196.2</v>
      </c>
      <c r="L5" s="62">
        <v>996.83</v>
      </c>
      <c r="M5" s="62" t="s">
        <v>56</v>
      </c>
      <c r="N5" s="60">
        <v>4214.3999999999996</v>
      </c>
      <c r="O5" s="61">
        <v>3512</v>
      </c>
      <c r="P5" s="64">
        <v>0</v>
      </c>
      <c r="Q5" s="62" t="s">
        <v>121</v>
      </c>
      <c r="R5" s="65">
        <f t="shared" ref="R5:R28" si="0">+C5-D5-H5-K5-N5</f>
        <v>17123.971999999994</v>
      </c>
      <c r="S5" s="66">
        <f>+R5/1.2</f>
        <v>14269.976666666662</v>
      </c>
      <c r="T5" s="67" t="s">
        <v>8</v>
      </c>
      <c r="U5" s="12" t="s">
        <v>1</v>
      </c>
      <c r="V5" s="19">
        <v>102082</v>
      </c>
    </row>
    <row r="6" spans="1:24" s="11" customFormat="1" ht="135" x14ac:dyDescent="0.2">
      <c r="A6" s="142">
        <v>36100</v>
      </c>
      <c r="B6" s="59">
        <v>11840.54</v>
      </c>
      <c r="C6" s="60">
        <f>+B6*1.21</f>
        <v>14327.053400000001</v>
      </c>
      <c r="D6" s="60">
        <v>0</v>
      </c>
      <c r="E6" s="61">
        <v>0</v>
      </c>
      <c r="F6" s="60"/>
      <c r="G6" s="60">
        <v>0</v>
      </c>
      <c r="H6" s="60">
        <f>+I6*1.21</f>
        <v>7014.6482999999989</v>
      </c>
      <c r="I6" s="61">
        <v>5797.23</v>
      </c>
      <c r="J6" s="62" t="s">
        <v>122</v>
      </c>
      <c r="K6" s="63">
        <f>+L6*1.21</f>
        <v>181.56050000000002</v>
      </c>
      <c r="L6" s="61">
        <v>150.05000000000001</v>
      </c>
      <c r="M6" s="62" t="s">
        <v>61</v>
      </c>
      <c r="N6" s="60">
        <v>0</v>
      </c>
      <c r="O6" s="61"/>
      <c r="P6" s="60">
        <v>0</v>
      </c>
      <c r="Q6" s="60"/>
      <c r="R6" s="65">
        <f t="shared" si="0"/>
        <v>7130.8446000000022</v>
      </c>
      <c r="S6" s="66">
        <f>+R6/1.21</f>
        <v>5893.260000000002</v>
      </c>
      <c r="T6" s="67" t="s">
        <v>7</v>
      </c>
      <c r="U6" s="12" t="s">
        <v>1</v>
      </c>
      <c r="V6" s="19">
        <v>102082</v>
      </c>
    </row>
    <row r="7" spans="1:24" s="11" customFormat="1" ht="78.75" x14ac:dyDescent="0.2">
      <c r="A7" s="142">
        <v>36130</v>
      </c>
      <c r="B7" s="59">
        <f>+C7/1.22</f>
        <v>23945.10655737705</v>
      </c>
      <c r="C7" s="60">
        <v>29213.03</v>
      </c>
      <c r="D7" s="60">
        <v>6286.29</v>
      </c>
      <c r="E7" s="61">
        <v>5152.7</v>
      </c>
      <c r="F7" s="63" t="s">
        <v>62</v>
      </c>
      <c r="G7" s="60">
        <v>0</v>
      </c>
      <c r="H7" s="60">
        <f>+I7*1.22</f>
        <v>3107.8524000000002</v>
      </c>
      <c r="I7" s="61">
        <v>2547.42</v>
      </c>
      <c r="J7" s="62" t="s">
        <v>123</v>
      </c>
      <c r="K7" s="63">
        <f>+L7*1.22</f>
        <v>1002.5594</v>
      </c>
      <c r="L7" s="61">
        <v>821.77</v>
      </c>
      <c r="M7" s="62" t="s">
        <v>124</v>
      </c>
      <c r="N7" s="60">
        <f>+O7*1.22</f>
        <v>8893.7999999999993</v>
      </c>
      <c r="O7" s="61">
        <v>7290</v>
      </c>
      <c r="P7" s="60">
        <v>0</v>
      </c>
      <c r="Q7" s="63" t="s">
        <v>60</v>
      </c>
      <c r="R7" s="65">
        <f t="shared" si="0"/>
        <v>9922.5282000000007</v>
      </c>
      <c r="S7" s="66">
        <f>+R7/1.22</f>
        <v>8133.2198360655748</v>
      </c>
      <c r="T7" s="67" t="s">
        <v>9</v>
      </c>
      <c r="U7" s="12" t="s">
        <v>1</v>
      </c>
      <c r="V7" s="19">
        <v>102082</v>
      </c>
    </row>
    <row r="8" spans="1:24" s="11" customFormat="1" ht="33.75" x14ac:dyDescent="0.2">
      <c r="A8" s="143" t="s">
        <v>42</v>
      </c>
      <c r="B8" s="59">
        <v>10647.95</v>
      </c>
      <c r="C8" s="60">
        <f>+B8*1.87</f>
        <v>19911.666500000003</v>
      </c>
      <c r="D8" s="60">
        <f>+E8*1.87</f>
        <v>745.84950000000003</v>
      </c>
      <c r="E8" s="61">
        <v>398.85</v>
      </c>
      <c r="F8" s="63" t="s">
        <v>62</v>
      </c>
      <c r="G8" s="60">
        <v>0</v>
      </c>
      <c r="H8" s="60">
        <f>+I8*1.87</f>
        <v>143.93389999999999</v>
      </c>
      <c r="I8" s="61">
        <v>76.97</v>
      </c>
      <c r="J8" s="62" t="s">
        <v>63</v>
      </c>
      <c r="K8" s="63">
        <f>+L8*1.87</f>
        <v>74.145499999999998</v>
      </c>
      <c r="L8" s="61">
        <v>39.65</v>
      </c>
      <c r="M8" s="62" t="s">
        <v>125</v>
      </c>
      <c r="N8" s="60">
        <f>+O8*1.87</f>
        <v>5246.0232000000005</v>
      </c>
      <c r="O8" s="61">
        <v>2805.36</v>
      </c>
      <c r="P8" s="60">
        <v>0</v>
      </c>
      <c r="Q8" s="63" t="s">
        <v>64</v>
      </c>
      <c r="R8" s="65">
        <f t="shared" si="0"/>
        <v>13701.714400000004</v>
      </c>
      <c r="S8" s="66">
        <f>+R8/1.87</f>
        <v>7327.1200000000017</v>
      </c>
      <c r="T8" s="67" t="s">
        <v>10</v>
      </c>
      <c r="U8" s="15" t="s">
        <v>1</v>
      </c>
      <c r="V8" s="19">
        <v>102082</v>
      </c>
      <c r="X8" s="11" t="s">
        <v>1</v>
      </c>
    </row>
    <row r="9" spans="1:24" s="11" customFormat="1" ht="78.75" x14ac:dyDescent="0.2">
      <c r="A9" s="137" t="s">
        <v>43</v>
      </c>
      <c r="B9" s="68">
        <v>35348.01</v>
      </c>
      <c r="C9" s="69">
        <f>+B9*1.8</f>
        <v>63626.418000000005</v>
      </c>
      <c r="D9" s="69">
        <f>+E9*1.8</f>
        <v>336.13200000000001</v>
      </c>
      <c r="E9" s="66">
        <v>186.74</v>
      </c>
      <c r="F9" s="70" t="s">
        <v>128</v>
      </c>
      <c r="G9" s="69">
        <v>0</v>
      </c>
      <c r="H9" s="69">
        <v>664.5</v>
      </c>
      <c r="I9" s="66">
        <v>369.17</v>
      </c>
      <c r="J9" s="71" t="s">
        <v>126</v>
      </c>
      <c r="K9" s="70">
        <f>+L9*1.8</f>
        <v>126.396</v>
      </c>
      <c r="L9" s="66">
        <v>70.22</v>
      </c>
      <c r="M9" s="71" t="s">
        <v>127</v>
      </c>
      <c r="N9" s="69">
        <v>32358.99</v>
      </c>
      <c r="O9" s="66">
        <f>+N9/1.8</f>
        <v>17977.216666666667</v>
      </c>
      <c r="P9" s="69">
        <v>0</v>
      </c>
      <c r="Q9" s="63" t="s">
        <v>66</v>
      </c>
      <c r="R9" s="65">
        <f t="shared" si="0"/>
        <v>30140.400000000005</v>
      </c>
      <c r="S9" s="66">
        <f>+R9/1.8</f>
        <v>16744.666666666668</v>
      </c>
      <c r="T9" s="67" t="s">
        <v>11</v>
      </c>
      <c r="U9" s="13" t="s">
        <v>1</v>
      </c>
      <c r="V9" s="19">
        <v>102082</v>
      </c>
    </row>
    <row r="10" spans="1:24" s="11" customFormat="1" ht="45" x14ac:dyDescent="0.2">
      <c r="A10" s="137" t="s">
        <v>44</v>
      </c>
      <c r="B10" s="68">
        <v>33668.81</v>
      </c>
      <c r="C10" s="69">
        <f>+B10*1.79</f>
        <v>60267.169899999994</v>
      </c>
      <c r="D10" s="69">
        <f>+E10*1.79</f>
        <v>77.882899999999992</v>
      </c>
      <c r="E10" s="66">
        <v>43.51</v>
      </c>
      <c r="F10" s="70" t="s">
        <v>67</v>
      </c>
      <c r="G10" s="69">
        <v>0</v>
      </c>
      <c r="H10" s="69">
        <f>+I10*1.79</f>
        <v>4093.0677000000001</v>
      </c>
      <c r="I10" s="66">
        <v>2286.63</v>
      </c>
      <c r="J10" s="71" t="s">
        <v>68</v>
      </c>
      <c r="K10" s="70">
        <v>0</v>
      </c>
      <c r="L10" s="66">
        <v>0</v>
      </c>
      <c r="M10" s="66"/>
      <c r="N10" s="69">
        <f>+O10*1.79</f>
        <v>26676.584800000001</v>
      </c>
      <c r="O10" s="66">
        <v>14903.12</v>
      </c>
      <c r="P10" s="69">
        <v>0</v>
      </c>
      <c r="Q10" s="63" t="s">
        <v>134</v>
      </c>
      <c r="R10" s="65">
        <f t="shared" si="0"/>
        <v>29419.634499999996</v>
      </c>
      <c r="S10" s="66">
        <f>+R10/1.79</f>
        <v>16435.55</v>
      </c>
      <c r="T10" s="72" t="s">
        <v>12</v>
      </c>
      <c r="U10" s="15" t="s">
        <v>1</v>
      </c>
      <c r="V10" s="19">
        <v>102082</v>
      </c>
    </row>
    <row r="11" spans="1:24" s="14" customFormat="1" ht="112.5" x14ac:dyDescent="0.2">
      <c r="A11" s="137" t="s">
        <v>45</v>
      </c>
      <c r="B11" s="68">
        <f>+C11/1.78</f>
        <v>45413.011235955055</v>
      </c>
      <c r="C11" s="69">
        <v>80835.16</v>
      </c>
      <c r="D11" s="69">
        <f>+E11*1.78</f>
        <v>19816.4552</v>
      </c>
      <c r="E11" s="66">
        <v>11132.84</v>
      </c>
      <c r="F11" s="70" t="s">
        <v>131</v>
      </c>
      <c r="G11" s="69">
        <v>0</v>
      </c>
      <c r="H11" s="69">
        <f>+I11*1.78</f>
        <v>33660.814599999998</v>
      </c>
      <c r="I11" s="66">
        <v>18910.57</v>
      </c>
      <c r="J11" s="71" t="s">
        <v>72</v>
      </c>
      <c r="K11" s="70">
        <v>0</v>
      </c>
      <c r="L11" s="66">
        <v>0</v>
      </c>
      <c r="M11" s="66"/>
      <c r="N11" s="69">
        <f>+O11*1.78</f>
        <v>31051.459200000001</v>
      </c>
      <c r="O11" s="66">
        <v>17444.64</v>
      </c>
      <c r="P11" s="69">
        <v>0</v>
      </c>
      <c r="Q11" s="63" t="s">
        <v>71</v>
      </c>
      <c r="R11" s="65">
        <f t="shared" si="0"/>
        <v>-3693.5689999999922</v>
      </c>
      <c r="S11" s="66">
        <f>+R11/1.78</f>
        <v>-2075.0387640449394</v>
      </c>
      <c r="T11" s="67" t="s">
        <v>13</v>
      </c>
      <c r="U11" s="16" t="s">
        <v>1</v>
      </c>
      <c r="V11" s="19">
        <v>102082</v>
      </c>
    </row>
    <row r="12" spans="1:24" ht="45" x14ac:dyDescent="0.2">
      <c r="A12" s="137" t="s">
        <v>46</v>
      </c>
      <c r="B12" s="68">
        <v>83501.289999999994</v>
      </c>
      <c r="C12" s="69">
        <f>+B12*1.84</f>
        <v>153642.37359999999</v>
      </c>
      <c r="D12" s="69">
        <f>+E12*1.84</f>
        <v>49.6248</v>
      </c>
      <c r="E12" s="66">
        <v>26.97</v>
      </c>
      <c r="F12" s="70" t="s">
        <v>69</v>
      </c>
      <c r="G12" s="69">
        <v>0</v>
      </c>
      <c r="H12" s="69">
        <f>+I12*1.84</f>
        <v>16941.321599999999</v>
      </c>
      <c r="I12" s="66">
        <v>9207.24</v>
      </c>
      <c r="J12" s="71" t="s">
        <v>70</v>
      </c>
      <c r="K12" s="70">
        <v>0</v>
      </c>
      <c r="L12" s="66">
        <v>0</v>
      </c>
      <c r="M12" s="66"/>
      <c r="N12" s="69">
        <f>+O12*1.84</f>
        <v>46444.654399999999</v>
      </c>
      <c r="O12" s="66">
        <v>25241.66</v>
      </c>
      <c r="P12" s="69">
        <v>0</v>
      </c>
      <c r="Q12" s="63" t="s">
        <v>129</v>
      </c>
      <c r="R12" s="65">
        <f t="shared" si="0"/>
        <v>90206.772800000006</v>
      </c>
      <c r="S12" s="66">
        <f>+R12/1.84</f>
        <v>49025.42</v>
      </c>
      <c r="T12" s="72" t="s">
        <v>14</v>
      </c>
      <c r="U12" s="17"/>
      <c r="V12" s="19">
        <v>102082</v>
      </c>
    </row>
    <row r="13" spans="1:24" ht="56.25" x14ac:dyDescent="0.2">
      <c r="A13" s="137" t="s">
        <v>47</v>
      </c>
      <c r="B13" s="68">
        <f>+C13/1.84</f>
        <v>36619.842391304344</v>
      </c>
      <c r="C13" s="69">
        <v>67380.509999999995</v>
      </c>
      <c r="D13" s="69">
        <f>+E13*1.84</f>
        <v>1746.3256000000001</v>
      </c>
      <c r="E13" s="66">
        <v>949.09</v>
      </c>
      <c r="F13" s="70" t="s">
        <v>73</v>
      </c>
      <c r="G13" s="69">
        <v>0</v>
      </c>
      <c r="H13" s="69">
        <f>+I13*1.84</f>
        <v>184</v>
      </c>
      <c r="I13" s="66">
        <v>100</v>
      </c>
      <c r="J13" s="71" t="s">
        <v>74</v>
      </c>
      <c r="K13" s="70">
        <v>0</v>
      </c>
      <c r="L13" s="66">
        <v>0</v>
      </c>
      <c r="M13" s="66"/>
      <c r="N13" s="69">
        <f>+O13*1.84</f>
        <v>12304.264000000001</v>
      </c>
      <c r="O13" s="66">
        <v>6687.1</v>
      </c>
      <c r="P13" s="69">
        <v>0</v>
      </c>
      <c r="Q13" s="63" t="s">
        <v>130</v>
      </c>
      <c r="R13" s="65">
        <f t="shared" si="0"/>
        <v>53145.920399999995</v>
      </c>
      <c r="S13" s="66">
        <f>+R13/1.84</f>
        <v>28883.652391304346</v>
      </c>
      <c r="T13" s="72" t="s">
        <v>14</v>
      </c>
      <c r="U13" s="17"/>
      <c r="V13" s="19">
        <v>102082</v>
      </c>
    </row>
    <row r="14" spans="1:24" ht="33.75" x14ac:dyDescent="0.2">
      <c r="A14" s="142" t="s">
        <v>48</v>
      </c>
      <c r="B14" s="59">
        <v>27001.16</v>
      </c>
      <c r="C14" s="60">
        <f>+B14*1.83</f>
        <v>49412.122800000005</v>
      </c>
      <c r="D14" s="60">
        <f>+E14*1.83</f>
        <v>584.19090000000006</v>
      </c>
      <c r="E14" s="61">
        <v>319.23</v>
      </c>
      <c r="F14" s="63" t="s">
        <v>75</v>
      </c>
      <c r="G14" s="60">
        <v>0</v>
      </c>
      <c r="H14" s="60">
        <f>+I14*1.83</f>
        <v>20142.791700000002</v>
      </c>
      <c r="I14" s="61">
        <v>11006.99</v>
      </c>
      <c r="J14" s="62" t="s">
        <v>77</v>
      </c>
      <c r="K14" s="63">
        <v>0</v>
      </c>
      <c r="L14" s="61">
        <v>0</v>
      </c>
      <c r="M14" s="61"/>
      <c r="N14" s="60">
        <f>+O14*1.83</f>
        <v>6277.6320000000005</v>
      </c>
      <c r="O14" s="61">
        <v>3430.4</v>
      </c>
      <c r="P14" s="60">
        <v>0</v>
      </c>
      <c r="Q14" s="63" t="s">
        <v>76</v>
      </c>
      <c r="R14" s="65">
        <f t="shared" si="0"/>
        <v>22407.5082</v>
      </c>
      <c r="S14" s="66">
        <f>+R14/1.83</f>
        <v>12244.539999999999</v>
      </c>
      <c r="T14" s="67" t="s">
        <v>15</v>
      </c>
      <c r="U14" s="18"/>
      <c r="V14" s="19">
        <v>102082</v>
      </c>
    </row>
    <row r="15" spans="1:24" s="11" customFormat="1" ht="78.75" x14ac:dyDescent="0.2">
      <c r="A15" s="137" t="s">
        <v>50</v>
      </c>
      <c r="B15" s="68">
        <v>30386.5</v>
      </c>
      <c r="C15" s="69">
        <f>+B15*1.84</f>
        <v>55911.16</v>
      </c>
      <c r="D15" s="69">
        <f>+E15*1.84</f>
        <v>132.70080000000002</v>
      </c>
      <c r="E15" s="66">
        <v>72.12</v>
      </c>
      <c r="F15" s="70" t="s">
        <v>78</v>
      </c>
      <c r="G15" s="69">
        <v>0</v>
      </c>
      <c r="H15" s="69">
        <f>+I15*1.84</f>
        <v>10796.3104</v>
      </c>
      <c r="I15" s="66">
        <v>5867.56</v>
      </c>
      <c r="J15" s="71" t="s">
        <v>79</v>
      </c>
      <c r="K15" s="70">
        <f>+L15*1.84</f>
        <v>833.59360000000004</v>
      </c>
      <c r="L15" s="66">
        <v>453.04</v>
      </c>
      <c r="M15" s="71" t="s">
        <v>133</v>
      </c>
      <c r="N15" s="69">
        <v>0</v>
      </c>
      <c r="O15" s="66">
        <v>0</v>
      </c>
      <c r="P15" s="69">
        <v>0</v>
      </c>
      <c r="Q15" s="60"/>
      <c r="R15" s="65">
        <f t="shared" si="0"/>
        <v>44148.555200000003</v>
      </c>
      <c r="S15" s="66">
        <f>+R15/1.84</f>
        <v>23993.78</v>
      </c>
      <c r="T15" s="72" t="s">
        <v>14</v>
      </c>
      <c r="U15" s="15" t="s">
        <v>1</v>
      </c>
      <c r="V15" s="19">
        <v>102082</v>
      </c>
    </row>
    <row r="16" spans="1:24" s="11" customFormat="1" ht="33.75" x14ac:dyDescent="0.2">
      <c r="A16" s="137" t="s">
        <v>51</v>
      </c>
      <c r="B16" s="68">
        <f>+C16/1.86</f>
        <v>37252.956989247308</v>
      </c>
      <c r="C16" s="69">
        <v>69290.5</v>
      </c>
      <c r="D16" s="69">
        <v>0</v>
      </c>
      <c r="E16" s="66">
        <v>0</v>
      </c>
      <c r="F16" s="70"/>
      <c r="G16" s="69">
        <v>0</v>
      </c>
      <c r="H16" s="69">
        <v>0</v>
      </c>
      <c r="I16" s="66">
        <v>0</v>
      </c>
      <c r="J16" s="71"/>
      <c r="K16" s="70">
        <f>+L16*1.86</f>
        <v>356.78520000000003</v>
      </c>
      <c r="L16" s="66">
        <v>191.82</v>
      </c>
      <c r="M16" s="71" t="s">
        <v>81</v>
      </c>
      <c r="N16" s="69">
        <f>+O16*1.86</f>
        <v>430.40400000000005</v>
      </c>
      <c r="O16" s="66">
        <v>231.4</v>
      </c>
      <c r="P16" s="69">
        <v>0</v>
      </c>
      <c r="Q16" s="63" t="s">
        <v>80</v>
      </c>
      <c r="R16" s="65">
        <f t="shared" si="0"/>
        <v>68503.310800000007</v>
      </c>
      <c r="S16" s="66">
        <f>+R16/1.86</f>
        <v>36829.736989247314</v>
      </c>
      <c r="T16" s="72" t="s">
        <v>16</v>
      </c>
      <c r="U16" s="15" t="s">
        <v>1</v>
      </c>
      <c r="V16" s="19">
        <v>102082</v>
      </c>
    </row>
    <row r="17" spans="1:22" s="25" customFormat="1" ht="90" x14ac:dyDescent="0.2">
      <c r="A17" s="137" t="s">
        <v>52</v>
      </c>
      <c r="B17" s="68">
        <v>29110.81</v>
      </c>
      <c r="C17" s="69">
        <f>+B17*1.89</f>
        <v>55019.430899999999</v>
      </c>
      <c r="D17" s="69">
        <v>10610.18</v>
      </c>
      <c r="E17" s="66">
        <v>5613.85</v>
      </c>
      <c r="F17" s="70" t="s">
        <v>82</v>
      </c>
      <c r="G17" s="69">
        <v>0</v>
      </c>
      <c r="H17" s="69">
        <f>+I17*1.89</f>
        <v>22968.962099999997</v>
      </c>
      <c r="I17" s="66">
        <v>12152.89</v>
      </c>
      <c r="J17" s="71" t="s">
        <v>83</v>
      </c>
      <c r="K17" s="70">
        <f>+L17*1.89</f>
        <v>364.42979999999994</v>
      </c>
      <c r="L17" s="71">
        <v>192.82</v>
      </c>
      <c r="M17" s="71" t="s">
        <v>86</v>
      </c>
      <c r="N17" s="69">
        <v>0</v>
      </c>
      <c r="O17" s="66">
        <v>0</v>
      </c>
      <c r="P17" s="69">
        <v>0</v>
      </c>
      <c r="Q17" s="60"/>
      <c r="R17" s="65">
        <f t="shared" si="0"/>
        <v>21075.859</v>
      </c>
      <c r="S17" s="66">
        <f>+R17/1.89</f>
        <v>11151.248148148148</v>
      </c>
      <c r="T17" s="72" t="s">
        <v>17</v>
      </c>
      <c r="U17" s="23" t="s">
        <v>1</v>
      </c>
      <c r="V17" s="24">
        <v>102082</v>
      </c>
    </row>
    <row r="18" spans="1:22" s="25" customFormat="1" ht="33.75" x14ac:dyDescent="0.2">
      <c r="A18" s="137">
        <v>36831</v>
      </c>
      <c r="B18" s="73">
        <v>27397.52</v>
      </c>
      <c r="C18" s="74">
        <f>+B18*1.99</f>
        <v>54521.0648</v>
      </c>
      <c r="D18" s="75">
        <v>0</v>
      </c>
      <c r="E18" s="76">
        <v>0</v>
      </c>
      <c r="F18" s="75"/>
      <c r="G18" s="75">
        <v>0</v>
      </c>
      <c r="H18" s="75">
        <f>+I18*1.99</f>
        <v>2801.3031000000001</v>
      </c>
      <c r="I18" s="76">
        <v>1407.69</v>
      </c>
      <c r="J18" s="77" t="s">
        <v>85</v>
      </c>
      <c r="K18" s="78">
        <f>+L18*1.99</f>
        <v>171.53800000000001</v>
      </c>
      <c r="L18" s="77">
        <v>86.2</v>
      </c>
      <c r="M18" s="77" t="s">
        <v>84</v>
      </c>
      <c r="N18" s="75">
        <v>0</v>
      </c>
      <c r="O18" s="76">
        <v>0</v>
      </c>
      <c r="P18" s="75">
        <v>0</v>
      </c>
      <c r="Q18" s="69"/>
      <c r="R18" s="65">
        <f t="shared" si="0"/>
        <v>51548.223700000002</v>
      </c>
      <c r="S18" s="66">
        <f>+R18/1.99</f>
        <v>25903.63</v>
      </c>
      <c r="T18" s="79" t="s">
        <v>18</v>
      </c>
      <c r="U18" s="23" t="s">
        <v>1</v>
      </c>
      <c r="V18" s="24">
        <v>102082</v>
      </c>
    </row>
    <row r="19" spans="1:22" s="27" customFormat="1" ht="33.75" x14ac:dyDescent="0.2">
      <c r="A19" s="137" t="s">
        <v>53</v>
      </c>
      <c r="B19" s="68">
        <v>28597.89</v>
      </c>
      <c r="C19" s="80">
        <f>+B19*2.01</f>
        <v>57481.758899999993</v>
      </c>
      <c r="D19" s="69">
        <f>+E19*2.01</f>
        <v>58.812599999999996</v>
      </c>
      <c r="E19" s="66">
        <v>29.26</v>
      </c>
      <c r="F19" s="70" t="s">
        <v>87</v>
      </c>
      <c r="G19" s="69">
        <v>0</v>
      </c>
      <c r="H19" s="69">
        <f>+I19*2.01</f>
        <v>683.35979999999995</v>
      </c>
      <c r="I19" s="66">
        <v>339.98</v>
      </c>
      <c r="J19" s="71" t="s">
        <v>88</v>
      </c>
      <c r="K19" s="70">
        <f>+L19*2.01</f>
        <v>183.49289999999999</v>
      </c>
      <c r="L19" s="66">
        <v>91.29</v>
      </c>
      <c r="M19" s="71" t="s">
        <v>89</v>
      </c>
      <c r="N19" s="69">
        <f>+O19*2.01</f>
        <v>6363.117299999999</v>
      </c>
      <c r="O19" s="66">
        <v>3165.73</v>
      </c>
      <c r="P19" s="69">
        <v>0</v>
      </c>
      <c r="Q19" s="63" t="s">
        <v>90</v>
      </c>
      <c r="R19" s="65">
        <f t="shared" si="0"/>
        <v>50192.976300000002</v>
      </c>
      <c r="S19" s="66">
        <f>+R19/2.01</f>
        <v>24971.630000000005</v>
      </c>
      <c r="T19" s="72" t="s">
        <v>19</v>
      </c>
      <c r="U19" s="26"/>
      <c r="V19" s="24">
        <v>102082</v>
      </c>
    </row>
    <row r="20" spans="1:22" s="27" customFormat="1" ht="23.25" thickBot="1" x14ac:dyDescent="0.25">
      <c r="A20" s="138">
        <v>36892</v>
      </c>
      <c r="B20" s="75">
        <v>2762.7</v>
      </c>
      <c r="C20" s="81">
        <f>+B20*1.99</f>
        <v>5497.7729999999992</v>
      </c>
      <c r="D20" s="81">
        <v>98.86</v>
      </c>
      <c r="E20" s="82">
        <v>49.68</v>
      </c>
      <c r="F20" s="83" t="s">
        <v>91</v>
      </c>
      <c r="G20" s="75"/>
      <c r="H20" s="75">
        <v>0</v>
      </c>
      <c r="I20" s="76">
        <v>0</v>
      </c>
      <c r="J20" s="76"/>
      <c r="K20" s="78">
        <v>0</v>
      </c>
      <c r="L20" s="76">
        <v>0</v>
      </c>
      <c r="M20" s="76"/>
      <c r="N20" s="75">
        <v>0</v>
      </c>
      <c r="O20" s="76">
        <v>0</v>
      </c>
      <c r="P20" s="75"/>
      <c r="Q20" s="75"/>
      <c r="R20" s="75">
        <f>+C20-D20-H20-K20-N20</f>
        <v>5398.9129999999996</v>
      </c>
      <c r="S20" s="76">
        <f>+R20/1.99</f>
        <v>2713.0216080402006</v>
      </c>
      <c r="T20" s="84" t="s">
        <v>18</v>
      </c>
      <c r="U20" s="54"/>
      <c r="V20" s="55"/>
    </row>
    <row r="21" spans="1:22" s="27" customFormat="1" x14ac:dyDescent="0.2">
      <c r="A21" s="139" t="s">
        <v>135</v>
      </c>
      <c r="B21" s="85">
        <f>SUM(B6:B20)</f>
        <v>463494.09717388375</v>
      </c>
      <c r="C21" s="86">
        <f>SUM(C6:C20)</f>
        <v>836337.19180000015</v>
      </c>
      <c r="D21" s="86">
        <f>SUM(D6:D20)</f>
        <v>40543.304299999996</v>
      </c>
      <c r="E21" s="85">
        <f>SUM(E6:E20)</f>
        <v>23974.84</v>
      </c>
      <c r="F21" s="87"/>
      <c r="G21" s="88"/>
      <c r="H21" s="86">
        <f>SUM(H6:H20)</f>
        <v>123202.8656</v>
      </c>
      <c r="I21" s="85">
        <f>SUM(I6:I20)</f>
        <v>70070.339999999982</v>
      </c>
      <c r="J21" s="89"/>
      <c r="K21" s="86">
        <f>SUM(K6:K20)</f>
        <v>3294.5009000000005</v>
      </c>
      <c r="L21" s="85">
        <f>SUM(L6:L20)</f>
        <v>2096.8599999999997</v>
      </c>
      <c r="M21" s="89"/>
      <c r="N21" s="86">
        <f>SUM(N6:N20)</f>
        <v>176046.92890000003</v>
      </c>
      <c r="O21" s="85">
        <f>SUM(O6:O20)</f>
        <v>99176.626666666663</v>
      </c>
      <c r="P21" s="88"/>
      <c r="Q21" s="88"/>
      <c r="R21" s="86">
        <f>SUM(R6:R20)</f>
        <v>493249.59210000007</v>
      </c>
      <c r="S21" s="85">
        <f>SUM(S6:S20)</f>
        <v>268175.43687542737</v>
      </c>
      <c r="T21" s="90"/>
      <c r="U21" s="56"/>
      <c r="V21" s="56"/>
    </row>
    <row r="22" spans="1:22" s="25" customFormat="1" ht="12" thickBot="1" x14ac:dyDescent="0.25">
      <c r="A22" s="140"/>
      <c r="B22" s="91"/>
      <c r="C22" s="91">
        <f>SUM(D22:R22)</f>
        <v>0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57"/>
      <c r="V22" s="57"/>
    </row>
    <row r="23" spans="1:22" s="25" customFormat="1" ht="12" thickBot="1" x14ac:dyDescent="0.25">
      <c r="A23" s="141" t="s">
        <v>35</v>
      </c>
      <c r="B23" s="92">
        <v>0</v>
      </c>
      <c r="C23" s="60">
        <v>0</v>
      </c>
      <c r="D23" s="60">
        <v>0</v>
      </c>
      <c r="E23" s="61">
        <v>0</v>
      </c>
      <c r="F23" s="60"/>
      <c r="G23" s="60"/>
      <c r="H23" s="60">
        <v>0</v>
      </c>
      <c r="I23" s="61">
        <v>0</v>
      </c>
      <c r="J23" s="61" t="s">
        <v>1</v>
      </c>
      <c r="K23" s="63">
        <v>0</v>
      </c>
      <c r="L23" s="61">
        <v>0</v>
      </c>
      <c r="M23" s="61" t="s">
        <v>1</v>
      </c>
      <c r="N23" s="60">
        <v>0</v>
      </c>
      <c r="O23" s="61">
        <v>0</v>
      </c>
      <c r="P23" s="60"/>
      <c r="Q23" s="60" t="s">
        <v>1</v>
      </c>
      <c r="R23" s="93">
        <f t="shared" si="0"/>
        <v>0</v>
      </c>
      <c r="S23" s="61">
        <f>+R23/1.99</f>
        <v>0</v>
      </c>
      <c r="T23" s="94"/>
      <c r="U23" s="28"/>
      <c r="V23" s="28"/>
    </row>
    <row r="24" spans="1:22" s="25" customFormat="1" ht="23.25" thickBot="1" x14ac:dyDescent="0.25">
      <c r="A24" s="137">
        <v>36861</v>
      </c>
      <c r="B24" s="95">
        <v>16245.42</v>
      </c>
      <c r="C24" s="69">
        <v>0</v>
      </c>
      <c r="D24" s="69">
        <v>0</v>
      </c>
      <c r="E24" s="66">
        <v>75</v>
      </c>
      <c r="F24" s="69"/>
      <c r="G24" s="69"/>
      <c r="H24" s="70">
        <v>0</v>
      </c>
      <c r="I24" s="66">
        <v>85.3</v>
      </c>
      <c r="J24" s="71" t="s">
        <v>93</v>
      </c>
      <c r="K24" s="70">
        <v>0</v>
      </c>
      <c r="L24" s="66">
        <v>36.31</v>
      </c>
      <c r="M24" s="66" t="s">
        <v>94</v>
      </c>
      <c r="N24" s="69">
        <v>0</v>
      </c>
      <c r="O24" s="66">
        <v>12368.43</v>
      </c>
      <c r="P24" s="69"/>
      <c r="Q24" s="70" t="s">
        <v>92</v>
      </c>
      <c r="R24" s="96">
        <f t="shared" si="0"/>
        <v>0</v>
      </c>
      <c r="S24" s="66">
        <f>+B24-E24-I24-L24-O24</f>
        <v>3680.380000000001</v>
      </c>
      <c r="T24" s="97"/>
      <c r="U24" s="28"/>
      <c r="V24" s="28"/>
    </row>
    <row r="25" spans="1:22" s="25" customFormat="1" ht="68.25" thickBot="1" x14ac:dyDescent="0.25">
      <c r="A25" s="137">
        <v>36892</v>
      </c>
      <c r="B25" s="95">
        <v>25569.41</v>
      </c>
      <c r="C25" s="69">
        <v>0</v>
      </c>
      <c r="D25" s="69">
        <v>0</v>
      </c>
      <c r="E25" s="66">
        <v>0</v>
      </c>
      <c r="F25" s="69"/>
      <c r="G25" s="69"/>
      <c r="H25" s="69">
        <v>0</v>
      </c>
      <c r="I25" s="66">
        <v>414.83</v>
      </c>
      <c r="J25" s="71" t="s">
        <v>96</v>
      </c>
      <c r="K25" s="70">
        <v>0</v>
      </c>
      <c r="L25" s="66">
        <v>0</v>
      </c>
      <c r="M25" s="66" t="s">
        <v>1</v>
      </c>
      <c r="N25" s="69">
        <v>0</v>
      </c>
      <c r="O25" s="66">
        <v>15024.96</v>
      </c>
      <c r="P25" s="69"/>
      <c r="Q25" s="70" t="s">
        <v>95</v>
      </c>
      <c r="R25" s="96">
        <f t="shared" si="0"/>
        <v>0</v>
      </c>
      <c r="S25" s="66">
        <f>+B25-E25-I25-L25-O25</f>
        <v>10129.619999999999</v>
      </c>
      <c r="T25" s="97"/>
      <c r="U25" s="28"/>
      <c r="V25" s="28"/>
    </row>
    <row r="26" spans="1:22" s="25" customFormat="1" ht="102" thickBot="1" x14ac:dyDescent="0.25">
      <c r="A26" s="137">
        <v>36923</v>
      </c>
      <c r="B26" s="95">
        <v>21466.46</v>
      </c>
      <c r="C26" s="69">
        <v>0</v>
      </c>
      <c r="D26" s="69">
        <v>0</v>
      </c>
      <c r="E26" s="66">
        <v>27.68</v>
      </c>
      <c r="F26" s="70" t="s">
        <v>98</v>
      </c>
      <c r="G26" s="69"/>
      <c r="H26" s="69">
        <v>0</v>
      </c>
      <c r="I26" s="66">
        <v>2250.4299999999998</v>
      </c>
      <c r="J26" s="71" t="s">
        <v>120</v>
      </c>
      <c r="K26" s="70">
        <v>0</v>
      </c>
      <c r="L26" s="66">
        <v>0</v>
      </c>
      <c r="M26" s="66"/>
      <c r="N26" s="69">
        <v>0</v>
      </c>
      <c r="O26" s="66">
        <v>4270.13</v>
      </c>
      <c r="P26" s="69"/>
      <c r="Q26" s="70" t="s">
        <v>97</v>
      </c>
      <c r="R26" s="96">
        <f t="shared" si="0"/>
        <v>0</v>
      </c>
      <c r="S26" s="66">
        <f>+B26-E26-I26-L26-O26</f>
        <v>14918.219999999998</v>
      </c>
      <c r="T26" s="98"/>
      <c r="U26" s="28"/>
      <c r="V26" s="28"/>
    </row>
    <row r="27" spans="1:22" s="25" customFormat="1" ht="33.75" x14ac:dyDescent="0.2">
      <c r="A27" s="137">
        <v>36951</v>
      </c>
      <c r="B27" s="95">
        <v>2028.21</v>
      </c>
      <c r="C27" s="69">
        <v>0</v>
      </c>
      <c r="D27" s="69">
        <v>0</v>
      </c>
      <c r="E27" s="66">
        <v>0</v>
      </c>
      <c r="F27" s="69"/>
      <c r="G27" s="69"/>
      <c r="H27" s="69">
        <v>0</v>
      </c>
      <c r="I27" s="66">
        <v>709.8</v>
      </c>
      <c r="J27" s="71" t="s">
        <v>99</v>
      </c>
      <c r="K27" s="70">
        <v>0</v>
      </c>
      <c r="L27" s="66">
        <v>0</v>
      </c>
      <c r="M27" s="66"/>
      <c r="N27" s="69">
        <v>0</v>
      </c>
      <c r="O27" s="66">
        <v>0</v>
      </c>
      <c r="P27" s="69"/>
      <c r="Q27" s="69"/>
      <c r="R27" s="65">
        <f t="shared" si="0"/>
        <v>0</v>
      </c>
      <c r="S27" s="66">
        <f>+B27-E27-I27-L27-O27</f>
        <v>1318.41</v>
      </c>
      <c r="T27" s="98"/>
      <c r="U27" s="28"/>
      <c r="V27" s="28"/>
    </row>
    <row r="28" spans="1:22" s="30" customFormat="1" ht="34.5" thickBot="1" x14ac:dyDescent="0.25">
      <c r="A28" s="99" t="s">
        <v>5</v>
      </c>
      <c r="B28" s="100">
        <v>-75</v>
      </c>
      <c r="C28" s="101">
        <v>0</v>
      </c>
      <c r="D28" s="96">
        <v>0</v>
      </c>
      <c r="E28" s="102">
        <v>-75</v>
      </c>
      <c r="F28" s="144" t="s">
        <v>137</v>
      </c>
      <c r="G28" s="103"/>
      <c r="H28" s="93">
        <v>0</v>
      </c>
      <c r="I28" s="104">
        <v>0</v>
      </c>
      <c r="J28" s="104"/>
      <c r="K28" s="101">
        <v>0</v>
      </c>
      <c r="L28" s="104">
        <v>0</v>
      </c>
      <c r="M28" s="104"/>
      <c r="N28" s="93">
        <v>0</v>
      </c>
      <c r="O28" s="104">
        <v>0</v>
      </c>
      <c r="P28" s="105"/>
      <c r="Q28" s="106"/>
      <c r="R28" s="107">
        <f t="shared" si="0"/>
        <v>0</v>
      </c>
      <c r="S28" s="104">
        <f>+B28-E28-I28-L28-O28</f>
        <v>0</v>
      </c>
      <c r="T28" s="108"/>
      <c r="U28" s="29"/>
      <c r="V28" s="29"/>
    </row>
    <row r="29" spans="1:22" s="30" customFormat="1" x14ac:dyDescent="0.2">
      <c r="A29" s="109" t="s">
        <v>136</v>
      </c>
      <c r="B29" s="110">
        <f>SUM(B23:B28)</f>
        <v>65234.5</v>
      </c>
      <c r="C29" s="111">
        <f>SUM(C23:C28)</f>
        <v>0</v>
      </c>
      <c r="D29" s="111">
        <f>SUM(D23:D28)</f>
        <v>0</v>
      </c>
      <c r="E29" s="110">
        <f>SUM(E23:E28)</f>
        <v>27.680000000000007</v>
      </c>
      <c r="F29" s="112"/>
      <c r="G29" s="113"/>
      <c r="H29" s="111">
        <f>SUM(H23:H28)</f>
        <v>0</v>
      </c>
      <c r="I29" s="110">
        <f>SUM(I23:I28)</f>
        <v>3460.3599999999997</v>
      </c>
      <c r="J29" s="114"/>
      <c r="K29" s="111">
        <f>SUM(K23:K28)</f>
        <v>0</v>
      </c>
      <c r="L29" s="110">
        <f>SUM(L23:L28)</f>
        <v>36.31</v>
      </c>
      <c r="M29" s="114"/>
      <c r="N29" s="111">
        <f>SUM(N23:N28)</f>
        <v>0</v>
      </c>
      <c r="O29" s="110">
        <f>SUM(O23:O28)</f>
        <v>31663.52</v>
      </c>
      <c r="P29" s="115"/>
      <c r="Q29" s="116"/>
      <c r="R29" s="111">
        <f>SUM(R23:R28)</f>
        <v>0</v>
      </c>
      <c r="S29" s="110">
        <f>SUM(S23:S28)</f>
        <v>30046.629999999997</v>
      </c>
      <c r="T29" s="117"/>
      <c r="U29" s="31"/>
      <c r="V29" s="31"/>
    </row>
    <row r="30" spans="1:22" s="30" customFormat="1" ht="12" thickBot="1" x14ac:dyDescent="0.25">
      <c r="A30" s="118"/>
      <c r="B30" s="119"/>
      <c r="C30" s="120"/>
      <c r="D30" s="121"/>
      <c r="E30" s="122"/>
      <c r="F30" s="121"/>
      <c r="G30" s="123"/>
      <c r="H30" s="121"/>
      <c r="I30" s="122"/>
      <c r="J30" s="122"/>
      <c r="K30" s="120"/>
      <c r="L30" s="122"/>
      <c r="M30" s="122"/>
      <c r="N30" s="121"/>
      <c r="O30" s="122"/>
      <c r="P30" s="124"/>
      <c r="Q30" s="125"/>
      <c r="R30" s="126"/>
      <c r="S30" s="122"/>
      <c r="T30" s="127"/>
      <c r="U30" s="31"/>
      <c r="V30" s="31"/>
    </row>
    <row r="31" spans="1:22" s="27" customFormat="1" ht="12" thickTop="1" x14ac:dyDescent="0.2">
      <c r="A31" s="128"/>
      <c r="B31" s="114">
        <f>+B21+B24+B25+B26+B27+B28</f>
        <v>528728.5971738837</v>
      </c>
      <c r="C31" s="112">
        <f>+C21+C24+C25+C26+C27+C28</f>
        <v>836337.19180000015</v>
      </c>
      <c r="D31" s="112">
        <f>+D21+D24+D25+D26+D27+D28</f>
        <v>40543.304299999996</v>
      </c>
      <c r="E31" s="114">
        <f>+E21+E24+E25+E26+E27+E28</f>
        <v>24002.52</v>
      </c>
      <c r="F31" s="112"/>
      <c r="G31" s="112">
        <f>SUM(G5:G27)</f>
        <v>0</v>
      </c>
      <c r="H31" s="112">
        <f>+H21+H24+H25+H26+H27+H28</f>
        <v>123202.8656</v>
      </c>
      <c r="I31" s="114">
        <f>+I21+I24+I25+I26+I27+I28</f>
        <v>73530.699999999983</v>
      </c>
      <c r="J31" s="114"/>
      <c r="K31" s="112">
        <f>+K21+K24+K25+K26+K27+K28</f>
        <v>3294.5009000000005</v>
      </c>
      <c r="L31" s="114">
        <f>+L21+L24+L25+L26+L27+L28</f>
        <v>2133.1699999999996</v>
      </c>
      <c r="M31" s="114"/>
      <c r="N31" s="112">
        <f>+N21+N24+N25+N26+N27+N28</f>
        <v>176046.92890000003</v>
      </c>
      <c r="O31" s="114">
        <f>+O21+O24+O25+O26+O27+O28</f>
        <v>130840.14666666667</v>
      </c>
      <c r="P31" s="129">
        <f>SUM(P5:P27)</f>
        <v>0</v>
      </c>
      <c r="Q31" s="130"/>
      <c r="R31" s="112">
        <f>+R21+R24+R25+R26+R27+R28</f>
        <v>493249.59210000007</v>
      </c>
      <c r="S31" s="114">
        <f>+S21+S24+S25+S26+S27+S28</f>
        <v>298222.06687542732</v>
      </c>
      <c r="T31" s="117">
        <v>0</v>
      </c>
      <c r="U31" s="31"/>
      <c r="V31" s="31"/>
    </row>
    <row r="32" spans="1:22" s="27" customFormat="1" ht="12" thickBot="1" x14ac:dyDescent="0.25">
      <c r="A32" s="131"/>
      <c r="B32" s="132" t="s">
        <v>31</v>
      </c>
      <c r="C32" s="133">
        <f>SUM(D32:R32)</f>
        <v>0.99606079828530703</v>
      </c>
      <c r="D32" s="134">
        <f>+D31/C31</f>
        <v>4.8477222700979004E-2</v>
      </c>
      <c r="E32" s="135" t="s">
        <v>31</v>
      </c>
      <c r="F32" s="134"/>
      <c r="G32" s="134">
        <f>+G31/C31</f>
        <v>0</v>
      </c>
      <c r="H32" s="134">
        <f>+H31/C31</f>
        <v>0.14731243188508406</v>
      </c>
      <c r="I32" s="135" t="s">
        <v>31</v>
      </c>
      <c r="J32" s="135"/>
      <c r="K32" s="134" t="s">
        <v>1</v>
      </c>
      <c r="L32" s="135" t="s">
        <v>1</v>
      </c>
      <c r="M32" s="135"/>
      <c r="N32" s="134">
        <f>+N31/C31</f>
        <v>0.21049754886674885</v>
      </c>
      <c r="O32" s="135" t="s">
        <v>31</v>
      </c>
      <c r="P32" s="134">
        <f>+P31/C31</f>
        <v>0</v>
      </c>
      <c r="Q32" s="134"/>
      <c r="R32" s="134">
        <f>+R31/C31</f>
        <v>0.58977359483249514</v>
      </c>
      <c r="S32" s="135" t="s">
        <v>31</v>
      </c>
      <c r="T32" s="136"/>
      <c r="U32" s="29"/>
      <c r="V32" s="29"/>
    </row>
    <row r="33" spans="1:22" s="27" customFormat="1" ht="12" thickBot="1" x14ac:dyDescent="0.25">
      <c r="A33" s="32"/>
      <c r="B33" s="33"/>
      <c r="C33" s="34"/>
      <c r="D33" s="34"/>
      <c r="E33" s="34"/>
      <c r="F33" s="34"/>
      <c r="G33" s="35"/>
      <c r="H33" s="36" t="s">
        <v>21</v>
      </c>
      <c r="I33" s="37" t="s">
        <v>21</v>
      </c>
      <c r="J33" s="37"/>
      <c r="K33" s="37"/>
      <c r="L33" s="37"/>
      <c r="M33" s="37"/>
      <c r="N33" s="36" t="s">
        <v>22</v>
      </c>
      <c r="O33" s="37" t="s">
        <v>22</v>
      </c>
      <c r="P33" s="38"/>
      <c r="Q33" s="38"/>
      <c r="R33" s="36" t="s">
        <v>23</v>
      </c>
      <c r="S33" s="37" t="s">
        <v>23</v>
      </c>
      <c r="T33" s="39"/>
      <c r="U33" s="40"/>
      <c r="V33" s="40"/>
    </row>
    <row r="34" spans="1:22" s="27" customFormat="1" x14ac:dyDescent="0.2">
      <c r="A34" s="41" t="s">
        <v>24</v>
      </c>
      <c r="B34" s="41"/>
      <c r="C34" s="42"/>
      <c r="D34" s="42"/>
      <c r="E34" s="42"/>
      <c r="F34" s="42"/>
      <c r="O34" s="43"/>
      <c r="S34" s="51">
        <f>+B31-E31-I31-L31-O31</f>
        <v>298222.06050721707</v>
      </c>
    </row>
    <row r="35" spans="1:22" s="27" customFormat="1" x14ac:dyDescent="0.2">
      <c r="A35" s="41" t="s">
        <v>25</v>
      </c>
      <c r="B35" s="41"/>
      <c r="C35" s="42"/>
      <c r="D35" s="42"/>
      <c r="E35" s="42"/>
      <c r="F35" s="42"/>
    </row>
    <row r="36" spans="1:22" s="27" customFormat="1" x14ac:dyDescent="0.2">
      <c r="A36" s="41" t="s">
        <v>26</v>
      </c>
      <c r="C36" s="42"/>
      <c r="D36" s="42"/>
      <c r="E36" s="42"/>
      <c r="F36" s="42" t="s">
        <v>1</v>
      </c>
      <c r="H36" s="51" t="s">
        <v>1</v>
      </c>
    </row>
    <row r="37" spans="1:22" s="27" customFormat="1" x14ac:dyDescent="0.2">
      <c r="A37" s="41" t="s">
        <v>36</v>
      </c>
      <c r="C37" s="42"/>
      <c r="D37" s="42"/>
      <c r="E37" s="42"/>
      <c r="F37" s="42"/>
    </row>
    <row r="38" spans="1:22" s="27" customFormat="1" x14ac:dyDescent="0.2">
      <c r="A38" s="41" t="s">
        <v>37</v>
      </c>
      <c r="C38" s="42"/>
      <c r="D38" s="42"/>
      <c r="E38" s="42"/>
      <c r="F38" s="42"/>
    </row>
    <row r="39" spans="1:22" s="27" customFormat="1" x14ac:dyDescent="0.2">
      <c r="A39" s="44" t="s">
        <v>41</v>
      </c>
      <c r="C39" s="42"/>
      <c r="D39" s="42"/>
      <c r="E39" s="42"/>
      <c r="F39" s="42"/>
    </row>
    <row r="40" spans="1:22" s="27" customFormat="1" x14ac:dyDescent="0.2">
      <c r="A40" s="44" t="s">
        <v>38</v>
      </c>
      <c r="C40" s="42"/>
      <c r="D40" s="42"/>
      <c r="E40" s="42"/>
      <c r="F40" s="42"/>
    </row>
    <row r="41" spans="1:22" s="27" customFormat="1" x14ac:dyDescent="0.2">
      <c r="A41" s="44" t="s">
        <v>39</v>
      </c>
      <c r="C41" s="42"/>
      <c r="D41" s="42"/>
      <c r="E41" s="42"/>
      <c r="F41" s="42"/>
    </row>
    <row r="42" spans="1:22" s="27" customFormat="1" x14ac:dyDescent="0.2">
      <c r="A42" s="44" t="s">
        <v>40</v>
      </c>
      <c r="C42" s="42"/>
      <c r="D42" s="42"/>
      <c r="E42" s="42"/>
      <c r="F42" s="42"/>
    </row>
    <row r="43" spans="1:22" s="27" customFormat="1" x14ac:dyDescent="0.2">
      <c r="A43" s="41" t="s">
        <v>49</v>
      </c>
      <c r="C43" s="42"/>
      <c r="D43" s="42"/>
      <c r="E43" s="42"/>
      <c r="F43" s="42"/>
    </row>
  </sheetData>
  <phoneticPr fontId="0" type="noConversion"/>
  <pageMargins left="0.45" right="0.23" top="0.27" bottom="0.5" header="0.28999999999999998" footer="0.5"/>
  <pageSetup paperSize="5" scale="72" orientation="landscape" r:id="rId1"/>
  <headerFooter alignWithMargins="0">
    <oddHeader>&amp;LPage &amp;P&amp;CDiomedes Christodoulou
Expense Report Recap&amp;R&amp;D</oddHeader>
  </headerFooter>
  <rowBreaks count="1" manualBreakCount="1">
    <brk id="22" max="1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Gricelda Garcia</dc:creator>
  <cp:lastModifiedBy>Felienne</cp:lastModifiedBy>
  <cp:lastPrinted>2001-08-24T15:14:31Z</cp:lastPrinted>
  <dcterms:created xsi:type="dcterms:W3CDTF">2001-05-02T17:55:05Z</dcterms:created>
  <dcterms:modified xsi:type="dcterms:W3CDTF">2014-09-04T09:40:23Z</dcterms:modified>
</cp:coreProperties>
</file>