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599"/>
    <workbookView xWindow="360" yWindow="90" windowWidth="11340" windowHeight="6795" tabRatio="601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burlington" sheetId="69" r:id="rId25"/>
  </sheets>
  <externalReferences>
    <externalReference r:id="rId26"/>
    <externalReference r:id="rId27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Duke!$A$2:$C$49</definedName>
    <definedName name="_xlnm.Print_Area" localSheetId="6">'El Paso'!$A$2:$H$38</definedName>
    <definedName name="_xlnm.Print_Area" localSheetId="21">EOG!$A$1:$J$41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17">NNG!$A$1:$D$25</definedName>
    <definedName name="_xlnm.Print_Area" localSheetId="12">NW!$M$345:$R$385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B7" i="8"/>
  <c r="D7" i="8" s="1"/>
  <c r="D18" i="8" s="1"/>
  <c r="D8" i="8"/>
  <c r="B9" i="8"/>
  <c r="D9" i="8"/>
  <c r="D10" i="8"/>
  <c r="D11" i="8"/>
  <c r="D12" i="8"/>
  <c r="D13" i="8"/>
  <c r="D14" i="8"/>
  <c r="D15" i="8"/>
  <c r="D16" i="8"/>
  <c r="D17" i="8"/>
  <c r="D6" i="12"/>
  <c r="D7" i="12"/>
  <c r="D8" i="12"/>
  <c r="D9" i="12"/>
  <c r="D37" i="12" s="1"/>
  <c r="D40" i="12" s="1"/>
  <c r="C36" i="63" s="1"/>
  <c r="B36" i="63" s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8" i="18"/>
  <c r="D39" i="18" s="1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7" i="69"/>
  <c r="D8" i="69"/>
  <c r="D9" i="69"/>
  <c r="D10" i="69"/>
  <c r="D38" i="69" s="1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6" i="13" s="1"/>
  <c r="C35" i="13"/>
  <c r="D35" i="13"/>
  <c r="E36" i="13" s="1"/>
  <c r="E35" i="13"/>
  <c r="F35" i="13" s="1"/>
  <c r="F40" i="13"/>
  <c r="F8" i="71"/>
  <c r="F39" i="71" s="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B10" i="20"/>
  <c r="B16" i="20" s="1"/>
  <c r="B11" i="20"/>
  <c r="B12" i="20"/>
  <c r="B13" i="20"/>
  <c r="B14" i="20"/>
  <c r="B15" i="20"/>
  <c r="B29" i="20"/>
  <c r="B44" i="20"/>
  <c r="H5" i="11"/>
  <c r="H6" i="11"/>
  <c r="E7" i="11"/>
  <c r="H7" i="11"/>
  <c r="H36" i="11" s="1"/>
  <c r="H38" i="11" s="1"/>
  <c r="C12" i="63" s="1"/>
  <c r="E8" i="11"/>
  <c r="H8" i="11"/>
  <c r="AB8" i="11"/>
  <c r="AC8" i="11" s="1"/>
  <c r="AF8" i="11"/>
  <c r="AI8" i="11"/>
  <c r="AL8" i="11"/>
  <c r="AM8" i="11"/>
  <c r="AO8" i="11"/>
  <c r="AP8" i="11"/>
  <c r="E9" i="11"/>
  <c r="H9" i="11"/>
  <c r="AC9" i="11"/>
  <c r="AF9" i="11"/>
  <c r="AI9" i="11"/>
  <c r="AL9" i="11"/>
  <c r="AM9" i="11"/>
  <c r="AN9" i="11"/>
  <c r="AO9" i="11"/>
  <c r="AP9" i="11"/>
  <c r="E10" i="11"/>
  <c r="H10" i="11" s="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C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8" i="11" s="1"/>
  <c r="E36" i="11"/>
  <c r="F36" i="11"/>
  <c r="G36" i="11"/>
  <c r="AC36" i="11"/>
  <c r="AE36" i="11"/>
  <c r="AF36" i="11" s="1"/>
  <c r="AI36" i="11"/>
  <c r="AL36" i="11"/>
  <c r="AM36" i="11"/>
  <c r="AN36" i="11"/>
  <c r="AO36" i="11"/>
  <c r="AP36" i="11"/>
  <c r="H37" i="11"/>
  <c r="AA37" i="11"/>
  <c r="AM37" i="11" s="1"/>
  <c r="AC37" i="11"/>
  <c r="AF37" i="11"/>
  <c r="AI37" i="11"/>
  <c r="AL37" i="11"/>
  <c r="AN37" i="11"/>
  <c r="AO37" i="11"/>
  <c r="AP37" i="11"/>
  <c r="C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P47" i="11" s="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D66" i="70"/>
  <c r="D67" i="70"/>
  <c r="D68" i="70"/>
  <c r="D69" i="70" s="1"/>
  <c r="D75" i="70"/>
  <c r="D6" i="22"/>
  <c r="D37" i="22" s="1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F5" i="5"/>
  <c r="F6" i="5"/>
  <c r="F7" i="5"/>
  <c r="F36" i="5" s="1"/>
  <c r="F42" i="5" s="1"/>
  <c r="C23" i="63" s="1"/>
  <c r="B23" i="63" s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6" i="5"/>
  <c r="E37" i="5" s="1"/>
  <c r="J8" i="17"/>
  <c r="J9" i="17"/>
  <c r="J39" i="17" s="1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B4" i="68"/>
  <c r="D4" i="68" s="1"/>
  <c r="D35" i="68" s="1"/>
  <c r="D40" i="68" s="1"/>
  <c r="C15" i="63" s="1"/>
  <c r="B15" i="63" s="1"/>
  <c r="B5" i="68"/>
  <c r="D5" i="68"/>
  <c r="D6" i="68"/>
  <c r="D7" i="68"/>
  <c r="B8" i="68"/>
  <c r="D8" i="68"/>
  <c r="B9" i="68"/>
  <c r="D9" i="68" s="1"/>
  <c r="B10" i="68"/>
  <c r="D10" i="68"/>
  <c r="B11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C35" i="68"/>
  <c r="F3" i="67"/>
  <c r="F4" i="67"/>
  <c r="F5" i="67"/>
  <c r="F6" i="67"/>
  <c r="F7" i="67"/>
  <c r="F34" i="67" s="1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D6" i="65"/>
  <c r="D18" i="65" s="1"/>
  <c r="D7" i="65"/>
  <c r="D8" i="65"/>
  <c r="D9" i="65"/>
  <c r="D10" i="65"/>
  <c r="D11" i="65"/>
  <c r="D12" i="65"/>
  <c r="D13" i="65"/>
  <c r="D14" i="65"/>
  <c r="C5" i="7"/>
  <c r="F5" i="7"/>
  <c r="Z5" i="7"/>
  <c r="AD5" i="7"/>
  <c r="AG5" i="7" s="1"/>
  <c r="AG6" i="7" s="1"/>
  <c r="C6" i="7"/>
  <c r="F6" i="7"/>
  <c r="Z6" i="7"/>
  <c r="AD6" i="7"/>
  <c r="AF6" i="7"/>
  <c r="F7" i="7"/>
  <c r="Z7" i="7"/>
  <c r="AD7" i="7" s="1"/>
  <c r="AF7" i="7" s="1"/>
  <c r="F8" i="7"/>
  <c r="Z8" i="7"/>
  <c r="AD8" i="7"/>
  <c r="AF8" i="7" s="1"/>
  <c r="F9" i="7"/>
  <c r="Z9" i="7"/>
  <c r="AD9" i="7"/>
  <c r="AF9" i="7"/>
  <c r="C10" i="7"/>
  <c r="F10" i="7"/>
  <c r="Z10" i="7"/>
  <c r="AD10" i="7"/>
  <c r="AF10" i="7"/>
  <c r="C11" i="7"/>
  <c r="F11" i="7"/>
  <c r="Z11" i="7"/>
  <c r="AD11" i="7"/>
  <c r="AF11" i="7"/>
  <c r="C12" i="7"/>
  <c r="F12" i="7"/>
  <c r="Z12" i="7"/>
  <c r="AD12" i="7"/>
  <c r="AF12" i="7"/>
  <c r="C13" i="7"/>
  <c r="F13" i="7"/>
  <c r="Z13" i="7"/>
  <c r="AD13" i="7"/>
  <c r="AF13" i="7"/>
  <c r="F14" i="7"/>
  <c r="Z14" i="7"/>
  <c r="AD14" i="7"/>
  <c r="AF14" i="7"/>
  <c r="F15" i="7"/>
  <c r="F36" i="7" s="1"/>
  <c r="F41" i="7" s="1"/>
  <c r="C32" i="63" s="1"/>
  <c r="Z15" i="7"/>
  <c r="AD15" i="7"/>
  <c r="AF15" i="7"/>
  <c r="F16" i="7"/>
  <c r="Z16" i="7"/>
  <c r="AD16" i="7" s="1"/>
  <c r="AF16" i="7" s="1"/>
  <c r="F17" i="7"/>
  <c r="Z17" i="7"/>
  <c r="AD17" i="7"/>
  <c r="AF17" i="7" s="1"/>
  <c r="F18" i="7"/>
  <c r="AI18" i="7"/>
  <c r="F19" i="7"/>
  <c r="Z19" i="7"/>
  <c r="AD19" i="7" s="1"/>
  <c r="F20" i="7"/>
  <c r="Z20" i="7"/>
  <c r="AD20" i="7"/>
  <c r="AF20" i="7" s="1"/>
  <c r="F21" i="7"/>
  <c r="Z21" i="7"/>
  <c r="AD21" i="7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 s="1"/>
  <c r="C19" i="63" s="1"/>
  <c r="B19" i="63" s="1"/>
  <c r="D4" i="28"/>
  <c r="D5" i="28"/>
  <c r="D6" i="28"/>
  <c r="D7" i="28"/>
  <c r="D35" i="28" s="1"/>
  <c r="D40" i="28" s="1"/>
  <c r="C13" i="63" s="1"/>
  <c r="B13" i="63" s="1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35" i="9" s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D5" i="64"/>
  <c r="D17" i="64" s="1"/>
  <c r="D6" i="64"/>
  <c r="D7" i="64"/>
  <c r="D8" i="64"/>
  <c r="D9" i="64"/>
  <c r="D10" i="64"/>
  <c r="D11" i="64"/>
  <c r="B12" i="64"/>
  <c r="C12" i="64"/>
  <c r="D12" i="64"/>
  <c r="D13" i="64"/>
  <c r="E40" i="64"/>
  <c r="E43" i="64" s="1"/>
  <c r="D43" i="64" s="1"/>
  <c r="E41" i="64"/>
  <c r="E42" i="64"/>
  <c r="C43" i="64"/>
  <c r="E44" i="64"/>
  <c r="D8" i="15"/>
  <c r="AD8" i="15"/>
  <c r="AD39" i="15" s="1"/>
  <c r="AD45" i="15" s="1"/>
  <c r="AH8" i="15"/>
  <c r="AL8" i="15"/>
  <c r="AL39" i="15" s="1"/>
  <c r="AP8" i="15"/>
  <c r="AT8" i="15"/>
  <c r="D9" i="15"/>
  <c r="AD9" i="15"/>
  <c r="AH9" i="15"/>
  <c r="AL9" i="15"/>
  <c r="AP9" i="15"/>
  <c r="AT9" i="15"/>
  <c r="D10" i="15"/>
  <c r="D39" i="15" s="1"/>
  <c r="AD10" i="15"/>
  <c r="AH10" i="15"/>
  <c r="AL10" i="15"/>
  <c r="AP10" i="15"/>
  <c r="AT10" i="15"/>
  <c r="D11" i="15"/>
  <c r="AD11" i="15"/>
  <c r="AH11" i="15"/>
  <c r="AH39" i="15" s="1"/>
  <c r="AH45" i="15" s="1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 s="1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 s="1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 s="1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 s="1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S39" i="15" s="1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AB39" i="15"/>
  <c r="AC39" i="15"/>
  <c r="AF39" i="15"/>
  <c r="AG39" i="15"/>
  <c r="AJ39" i="15"/>
  <c r="AK39" i="15"/>
  <c r="AN39" i="15"/>
  <c r="AR39" i="15"/>
  <c r="D45" i="15"/>
  <c r="D46" i="15"/>
  <c r="AF52" i="15"/>
  <c r="AF54" i="15"/>
  <c r="AF57" i="15" s="1"/>
  <c r="AF56" i="15"/>
  <c r="D86" i="15"/>
  <c r="I86" i="15"/>
  <c r="D87" i="15"/>
  <c r="I87" i="15"/>
  <c r="D88" i="15"/>
  <c r="I88" i="15"/>
  <c r="D89" i="15"/>
  <c r="D101" i="15" s="1"/>
  <c r="C101" i="15" s="1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I101" i="15"/>
  <c r="I102" i="15"/>
  <c r="I103" i="15"/>
  <c r="I104" i="15"/>
  <c r="I105" i="15"/>
  <c r="I106" i="15"/>
  <c r="I107" i="15"/>
  <c r="D108" i="15"/>
  <c r="I108" i="15"/>
  <c r="I109" i="15"/>
  <c r="I110" i="15"/>
  <c r="I111" i="15"/>
  <c r="I112" i="15"/>
  <c r="G113" i="15"/>
  <c r="I113" i="15" s="1"/>
  <c r="D126" i="15"/>
  <c r="D133" i="15" s="1"/>
  <c r="C133" i="15" s="1"/>
  <c r="D127" i="15"/>
  <c r="D128" i="15"/>
  <c r="D129" i="15"/>
  <c r="D130" i="15"/>
  <c r="D131" i="15"/>
  <c r="B132" i="15"/>
  <c r="D132" i="15"/>
  <c r="B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B168" i="15" s="1"/>
  <c r="B174" i="15" s="1"/>
  <c r="B176" i="15" s="1"/>
  <c r="C166" i="15"/>
  <c r="C168" i="15"/>
  <c r="C174" i="15" s="1"/>
  <c r="D169" i="15"/>
  <c r="D170" i="15"/>
  <c r="D171" i="15"/>
  <c r="D172" i="15"/>
  <c r="D173" i="15"/>
  <c r="C175" i="15"/>
  <c r="C176" i="15" s="1"/>
  <c r="D176" i="15" s="1"/>
  <c r="B178" i="15"/>
  <c r="C178" i="15"/>
  <c r="B180" i="15"/>
  <c r="D4" i="6"/>
  <c r="D5" i="6"/>
  <c r="D6" i="6"/>
  <c r="D7" i="6"/>
  <c r="D8" i="6"/>
  <c r="D9" i="6"/>
  <c r="D10" i="6"/>
  <c r="D11" i="6"/>
  <c r="D12" i="6"/>
  <c r="D13" i="6"/>
  <c r="D35" i="6" s="1"/>
  <c r="D40" i="6" s="1"/>
  <c r="C18" i="63" s="1"/>
  <c r="B18" i="63" s="1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12" i="63"/>
  <c r="P12" i="63"/>
  <c r="D40" i="15" s="1"/>
  <c r="D41" i="15" s="1"/>
  <c r="D43" i="15" s="1"/>
  <c r="B38" i="63" s="1"/>
  <c r="C38" i="63" s="1"/>
  <c r="D13" i="63"/>
  <c r="P13" i="63"/>
  <c r="D19" i="8" s="1"/>
  <c r="D20" i="8" s="1"/>
  <c r="D24" i="8" s="1"/>
  <c r="B35" i="63" s="1"/>
  <c r="C35" i="63" s="1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32" i="63"/>
  <c r="B33" i="63"/>
  <c r="C33" i="63" s="1"/>
  <c r="D34" i="63"/>
  <c r="D35" i="63"/>
  <c r="D36" i="63"/>
  <c r="D37" i="63"/>
  <c r="D38" i="63"/>
  <c r="D39" i="63"/>
  <c r="D8" i="19"/>
  <c r="D39" i="19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J4" i="2"/>
  <c r="J5" i="2"/>
  <c r="J35" i="2" s="1"/>
  <c r="J40" i="2" s="1"/>
  <c r="C22" i="63" s="1"/>
  <c r="B22" i="63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66" i="2"/>
  <c r="D67" i="2"/>
  <c r="D68" i="2"/>
  <c r="D69" i="2" s="1"/>
  <c r="D75" i="2"/>
  <c r="AP39" i="15" l="1"/>
  <c r="AP45" i="15" s="1"/>
  <c r="AG7" i="7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L45" i="15"/>
  <c r="B102" i="15"/>
  <c r="B32" i="63"/>
  <c r="I114" i="15"/>
  <c r="AF19" i="7"/>
  <c r="AH19" i="7" s="1"/>
  <c r="AG19" i="7"/>
  <c r="AG20" i="7" s="1"/>
  <c r="AG21" i="7" s="1"/>
  <c r="F38" i="67"/>
  <c r="C14" i="63" s="1"/>
  <c r="B14" i="63" s="1"/>
  <c r="B12" i="63"/>
  <c r="AF5" i="7"/>
  <c r="AH5" i="7" s="1"/>
  <c r="J36" i="70"/>
  <c r="J37" i="70" s="1"/>
  <c r="J41" i="70" s="1"/>
  <c r="B34" i="63" s="1"/>
  <c r="C34" i="63" s="1"/>
  <c r="C37" i="13"/>
  <c r="C180" i="15"/>
  <c r="AO39" i="15"/>
  <c r="AT35" i="15"/>
  <c r="AT39" i="15" s="1"/>
  <c r="AL47" i="11"/>
  <c r="AL48" i="11" s="1"/>
  <c r="AN8" i="11"/>
  <c r="D39" i="69"/>
  <c r="D40" i="69" s="1"/>
  <c r="D42" i="69" s="1"/>
  <c r="B21" i="63" s="1"/>
  <c r="C21" i="63" s="1"/>
  <c r="B35" i="68"/>
  <c r="J40" i="17"/>
  <c r="J41" i="17" s="1"/>
  <c r="J43" i="17" s="1"/>
  <c r="B20" i="63" s="1"/>
  <c r="C20" i="63" s="1"/>
  <c r="F40" i="71"/>
  <c r="F41" i="71" s="1"/>
  <c r="F43" i="71" s="1"/>
  <c r="H36" i="9"/>
  <c r="H37" i="9" s="1"/>
  <c r="H39" i="9" s="1"/>
  <c r="B27" i="63" s="1"/>
  <c r="C27" i="63" s="1"/>
  <c r="AF34" i="11"/>
  <c r="AF27" i="11"/>
  <c r="AF20" i="11"/>
  <c r="D40" i="19"/>
  <c r="D41" i="19" s="1"/>
  <c r="D43" i="19" s="1"/>
  <c r="B26" i="63" s="1"/>
  <c r="C26" i="63" s="1"/>
  <c r="G114" i="15"/>
  <c r="D18" i="64"/>
  <c r="D19" i="64" s="1"/>
  <c r="D23" i="64" s="1"/>
  <c r="B17" i="63" s="1"/>
  <c r="C17" i="63" s="1"/>
  <c r="D38" i="22"/>
  <c r="D39" i="22" s="1"/>
  <c r="D41" i="22" s="1"/>
  <c r="B24" i="63" s="1"/>
  <c r="C24" i="63" s="1"/>
  <c r="B30" i="20"/>
  <c r="D19" i="65"/>
  <c r="D20" i="65" s="1"/>
  <c r="D24" i="65" s="1"/>
  <c r="B25" i="63" s="1"/>
  <c r="C25" i="63" s="1"/>
  <c r="D40" i="18"/>
  <c r="D41" i="18" s="1"/>
  <c r="D43" i="18" s="1"/>
  <c r="B39" i="63" s="1"/>
  <c r="C39" i="63" s="1"/>
  <c r="AH6" i="7" l="1"/>
  <c r="AI5" i="7"/>
  <c r="D102" i="15"/>
  <c r="D103" i="15" s="1"/>
  <c r="C103" i="15" s="1"/>
  <c r="B103" i="15"/>
  <c r="B105" i="15" s="1"/>
  <c r="D105" i="15" s="1"/>
  <c r="C30" i="20"/>
  <c r="C31" i="20" s="1"/>
  <c r="B17" i="20"/>
  <c r="C17" i="20" s="1"/>
  <c r="C18" i="20" s="1"/>
  <c r="C62" i="20" s="1"/>
  <c r="B16" i="63" s="1"/>
  <c r="C16" i="63" s="1"/>
  <c r="C28" i="63" s="1"/>
  <c r="B45" i="20"/>
  <c r="C45" i="20" s="1"/>
  <c r="C46" i="20" s="1"/>
  <c r="AH20" i="7"/>
  <c r="AI19" i="7"/>
  <c r="C38" i="13"/>
  <c r="C41" i="13" s="1"/>
  <c r="E37" i="13"/>
  <c r="E38" i="13" s="1"/>
  <c r="AP51" i="15"/>
  <c r="AP48" i="15"/>
  <c r="B28" i="63" l="1"/>
  <c r="F38" i="13"/>
  <c r="E41" i="13"/>
  <c r="F41" i="13" s="1"/>
  <c r="B37" i="63" s="1"/>
  <c r="AH21" i="7"/>
  <c r="AI21" i="7" s="1"/>
  <c r="AI20" i="7"/>
  <c r="AH7" i="7"/>
  <c r="AI6" i="7"/>
  <c r="AI7" i="7" l="1"/>
  <c r="AH8" i="7"/>
  <c r="C37" i="63"/>
  <c r="C40" i="63" s="1"/>
  <c r="C43" i="63" s="1"/>
  <c r="B40" i="63"/>
  <c r="B43" i="63" s="1"/>
  <c r="AI8" i="7" l="1"/>
  <c r="AH9" i="7"/>
  <c r="AH10" i="7" l="1"/>
  <c r="AI9" i="7"/>
  <c r="AH11" i="7" l="1"/>
  <c r="AI10" i="7"/>
  <c r="AH12" i="7" l="1"/>
  <c r="AI11" i="7"/>
  <c r="AH13" i="7" l="1"/>
  <c r="AI12" i="7"/>
  <c r="AH14" i="7" l="1"/>
  <c r="AI13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<sst xmlns="http://schemas.openxmlformats.org/spreadsheetml/2006/main" count="352" uniqueCount="129">
  <si>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</si>
  <si>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</si>
  <si>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</si>
  <si>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</si>
  <si>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</si>
  <si>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</si>
  <si>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</si>
  <si>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</si>
  <si>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</si>
  <si>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</si>
  <si>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</si>
  <si>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</si>
  <si>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</si>
  <si>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</si>
  <si>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</si>
  <si>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</si>
  <si>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</si>
  <si>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</si>
  <si>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</si>
  <si>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</si>
  <si>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</si>
  <si>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</si>
  <si>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</si>
  <si>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</si>
  <si>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</si>
  <si>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</si>
  <si>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</si>
  <si>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</si>
  <si>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</si>
  <si>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</si>
  <si>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</si>
  <si>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</si>
  <si>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</si>
  <si>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</si>
  <si>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</si>
  <si>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</si>
  <si>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</si>
  <si>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</si>
  <si>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</si>
  <si>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</si>
  <si>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</si>
  <si>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</si>
  <si>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</si>
  <si>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</si>
  <si>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</si>
  <si>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</si>
  <si>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</si>
  <si>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</si>
  <si>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</si>
  <si>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</si>
  <si>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</si>
  <si>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</si>
  <si>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</si>
  <si>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</si>
  <si>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</si>
  <si>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</si>
  <si>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</si>
  <si>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</si>
  <si>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</si>
  <si>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</si>
  <si>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</si>
  <si>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</si>
  <si>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</si>
  <si>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</si>
  <si>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</si>
  <si>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</si>
  <si>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</si>
  <si>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</si>
  <si>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</si>
  <si>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</si>
  <si>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</si>
  <si>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</si>
  <si>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</si>
  <si>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</si>
  <si>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</si>
  <si>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</si>
  <si>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</si>
  <si>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</si>
  <si>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</si>
  <si>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</si>
  <si>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</si>
  <si>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</si>
  <si>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</si>
  <si>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</si>
  <si>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</si>
  <si>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</si>
  <si>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</si>
  <si>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</si>
  <si>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</si>
  <si>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</si>
  <si>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</si>
  <si>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</si>
  <si>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</si>
  <si>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</si>
  <si>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</si>
  <si>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</si>
  <si>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</si>
  <si>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</si>
  <si>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</si>
  <si>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</si>
  <si>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</si>
  <si>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</si>
  <si>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</si>
  <si>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</si>
  <si>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</si>
  <si>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</si>
  <si>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</si>
  <si>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</si>
  <si>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</si>
  <si>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</si>
  <si>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</si>
  <si>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</si>
  <si>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</si>
  <si>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</si>
  <si>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</si>
  <si>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</si>
  <si>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</si>
  <si>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</si>
  <si>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</si>
  <si>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</si>
  <si>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</si>
  <si>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</si>
  <si>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</si>
  <si>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</si>
  <si>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</si>
  <si>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</si>
  <si>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no payback to date</t>
  </si>
  <si>
    <t>This balance is cashed out every month $214,357 is the 11/30/00 balance</t>
  </si>
  <si>
    <t>Contintental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</si>
</sst>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sz val="9"/>
      <color indexed="60"/>
      <name val="Arial"/>
      <family val="2"/>
    </font>
    <font>
      <sz val="9"/>
      <color indexed="14"/>
      <name val="Arial"/>
      <family val="2"/>
    </font>
    <font>
      <sz val="8"/>
      <color indexed="60"/>
      <name val="Arial"/>
      <family val="2"/>
    </font>
    <font>
      <sz val="8"/>
      <color indexed="5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37" fontId="14" fillId="0" borderId="0" xfId="1" applyNumberFormat="1" applyFont="1" applyBorder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3" fillId="0" borderId="0" xfId="1" applyNumberFormat="1" applyFont="1" applyFill="1"/>
    <xf numFmtId="37" fontId="34" fillId="0" borderId="0" xfId="1" applyNumberFormat="1" applyFont="1" applyFill="1"/>
    <xf numFmtId="37" fontId="34" fillId="0" borderId="0" xfId="1" applyNumberFormat="1" applyFont="1"/>
    <xf numFmtId="166" fontId="35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6" fillId="0" borderId="0" xfId="1" applyNumberFormat="1" applyFont="1" applyFill="1"/>
    <xf numFmtId="7" fontId="22" fillId="0" borderId="0" xfId="0" applyNumberFormat="1" applyFont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00"/>
    </sheetNames>
    <sheetDataSet>
      <sheetData sheetId="0">
        <row r="39">
          <cell r="K39">
            <v>7.31</v>
          </cell>
          <cell r="M39">
            <v>7.42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6"/>
  <sheetViews>
    <sheetView tabSelected="1" topLeftCell="A10" workbookViewId="0">
      <selection activeCell="B15" sqref="B15"/>
    </sheetView>
    <sheetView tabSelected="1" topLeftCell="A8" workbookViewId="1">
      <selection activeCell="B43" sqref="B43"/>
    </sheetView>
  </sheetViews>
  <sheetFormatPr defaultRowHeight="12.75" x14ac:dyDescent="0.2"/>
  <cols>
    <col min="1" max="1" width="20.5703125" style="302" customWidth="1"/>
    <col min="2" max="2" width="11.85546875" style="254" customWidth="1"/>
    <col min="3" max="3" width="11.28515625" style="303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98</v>
      </c>
    </row>
    <row r="3" spans="1:16" ht="15.75" x14ac:dyDescent="0.25">
      <c r="A3" s="53" t="s">
        <v>93</v>
      </c>
    </row>
    <row r="4" spans="1:16" ht="15" customHeight="1" x14ac:dyDescent="0.25">
      <c r="A4" s="53" t="s">
        <v>95</v>
      </c>
    </row>
    <row r="5" spans="1:16" ht="15" customHeight="1" x14ac:dyDescent="0.25">
      <c r="A5" s="53" t="s">
        <v>94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</row>
    <row r="10" spans="1:16" ht="18" customHeight="1" x14ac:dyDescent="0.2"/>
    <row r="11" spans="1:16" ht="18" customHeight="1" x14ac:dyDescent="0.2">
      <c r="A11" s="308" t="s">
        <v>100</v>
      </c>
      <c r="B11" s="309" t="s">
        <v>18</v>
      </c>
      <c r="C11" s="310" t="s">
        <v>0</v>
      </c>
      <c r="D11" s="311" t="s">
        <v>87</v>
      </c>
      <c r="E11" s="308" t="s">
        <v>101</v>
      </c>
      <c r="F11" s="349" t="s">
        <v>116</v>
      </c>
      <c r="G11" s="308" t="s">
        <v>109</v>
      </c>
      <c r="O11" s="312" t="s">
        <v>84</v>
      </c>
      <c r="P11" s="313"/>
    </row>
    <row r="12" spans="1:16" ht="18" customHeight="1" x14ac:dyDescent="0.2">
      <c r="A12" s="302" t="s">
        <v>37</v>
      </c>
      <c r="B12" s="320">
        <f>+C12*$P$13</f>
        <v>1770181.98</v>
      </c>
      <c r="C12" s="321">
        <f>+'El Paso'!H38</f>
        <v>238569</v>
      </c>
      <c r="D12" s="65">
        <f>+'El Paso'!A38</f>
        <v>36869</v>
      </c>
      <c r="E12" t="s">
        <v>91</v>
      </c>
      <c r="F12" t="s">
        <v>113</v>
      </c>
      <c r="O12" s="314" t="s">
        <v>31</v>
      </c>
      <c r="P12" s="316">
        <f>+'[2]1100'!$K$39</f>
        <v>7.31</v>
      </c>
    </row>
    <row r="13" spans="1:16" ht="18" customHeight="1" x14ac:dyDescent="0.2">
      <c r="A13" s="302" t="s">
        <v>34</v>
      </c>
      <c r="B13" s="254">
        <f>+C13*$P$13</f>
        <v>1373479.1</v>
      </c>
      <c r="C13" s="303">
        <f>+'PG&amp;E'!D40</f>
        <v>185105</v>
      </c>
      <c r="D13" s="65">
        <f>+'PG&amp;E'!A40</f>
        <v>36869</v>
      </c>
      <c r="E13" t="s">
        <v>91</v>
      </c>
      <c r="F13" t="s">
        <v>117</v>
      </c>
      <c r="O13" s="315" t="s">
        <v>32</v>
      </c>
      <c r="P13" s="317">
        <f>+'[2]1100'!$M$39</f>
        <v>7.42</v>
      </c>
    </row>
    <row r="14" spans="1:16" ht="18" customHeight="1" x14ac:dyDescent="0.2">
      <c r="A14" s="302" t="s">
        <v>99</v>
      </c>
      <c r="B14" s="320">
        <f>+C14*$P$13</f>
        <v>1143281.02</v>
      </c>
      <c r="C14" s="321">
        <f>+NGPL!F38</f>
        <v>154081</v>
      </c>
      <c r="D14" s="65">
        <f>+NGPL!A38</f>
        <v>36869</v>
      </c>
      <c r="E14" t="s">
        <v>91</v>
      </c>
      <c r="F14" t="s">
        <v>114</v>
      </c>
    </row>
    <row r="15" spans="1:16" ht="18" customHeight="1" x14ac:dyDescent="0.2">
      <c r="A15" s="302" t="s">
        <v>105</v>
      </c>
      <c r="B15" s="254">
        <f>+C15*$P$13</f>
        <v>676540.76</v>
      </c>
      <c r="C15" s="303">
        <f>+Mojave!D40</f>
        <v>91178</v>
      </c>
      <c r="D15" s="65">
        <f>+Mojave!A40</f>
        <v>36869</v>
      </c>
      <c r="E15" t="s">
        <v>91</v>
      </c>
      <c r="F15" t="s">
        <v>113</v>
      </c>
    </row>
    <row r="16" spans="1:16" ht="18" customHeight="1" x14ac:dyDescent="0.2">
      <c r="A16" s="302" t="s">
        <v>119</v>
      </c>
      <c r="B16" s="254">
        <f>+Duke!C62</f>
        <v>600090.68000000005</v>
      </c>
      <c r="C16" s="303">
        <f>+B16/$P$13</f>
        <v>80874.754716981144</v>
      </c>
      <c r="D16" s="65">
        <f>+Duke!A40</f>
        <v>36869</v>
      </c>
      <c r="E16" t="s">
        <v>92</v>
      </c>
      <c r="F16" t="s">
        <v>112</v>
      </c>
    </row>
    <row r="17" spans="1:7" ht="18" customHeight="1" x14ac:dyDescent="0.2">
      <c r="A17" s="302" t="s">
        <v>89</v>
      </c>
      <c r="B17" s="320">
        <f>+PNM!$D$23</f>
        <v>596781.07999999996</v>
      </c>
      <c r="C17" s="321">
        <f>+B17/$P$13</f>
        <v>80428.716981132064</v>
      </c>
      <c r="D17" s="65">
        <f>+PNM!A23</f>
        <v>36869</v>
      </c>
      <c r="E17" t="s">
        <v>92</v>
      </c>
      <c r="F17" t="s">
        <v>113</v>
      </c>
    </row>
    <row r="18" spans="1:7" ht="18" customHeight="1" x14ac:dyDescent="0.2">
      <c r="A18" s="302" t="s">
        <v>35</v>
      </c>
      <c r="B18" s="320">
        <f>+C18*$P$13</f>
        <v>506852.77999999997</v>
      </c>
      <c r="C18" s="321">
        <f>+SoCal!D40</f>
        <v>68309</v>
      </c>
      <c r="D18" s="65">
        <f>+SoCal!A40</f>
        <v>36869</v>
      </c>
      <c r="E18" t="s">
        <v>91</v>
      </c>
      <c r="F18" t="s">
        <v>113</v>
      </c>
    </row>
    <row r="19" spans="1:7" ht="18" customHeight="1" x14ac:dyDescent="0.2">
      <c r="A19" s="302" t="s">
        <v>8</v>
      </c>
      <c r="B19" s="320">
        <f>+C19*$P$13</f>
        <v>504738.08</v>
      </c>
      <c r="C19" s="321">
        <f>+Oasis!D40</f>
        <v>68024</v>
      </c>
      <c r="D19" s="65">
        <f>+Oasis!B40</f>
        <v>36869</v>
      </c>
      <c r="E19" t="s">
        <v>91</v>
      </c>
      <c r="F19" t="s">
        <v>117</v>
      </c>
    </row>
    <row r="20" spans="1:7" ht="18" customHeight="1" x14ac:dyDescent="0.2">
      <c r="A20" s="302" t="s">
        <v>2</v>
      </c>
      <c r="B20" s="320">
        <f>+mewborne!$J$43</f>
        <v>499173.97</v>
      </c>
      <c r="C20" s="321">
        <f>+B20/$P$13</f>
        <v>67274.11994609164</v>
      </c>
      <c r="D20" s="65">
        <f>+mewborne!A43</f>
        <v>36869</v>
      </c>
      <c r="E20" t="s">
        <v>92</v>
      </c>
      <c r="F20" t="s">
        <v>114</v>
      </c>
    </row>
    <row r="21" spans="1:7" ht="18" customHeight="1" x14ac:dyDescent="0.2">
      <c r="A21" s="352" t="s">
        <v>106</v>
      </c>
      <c r="B21" s="320">
        <f>+burlington!D42</f>
        <v>360717.81999999995</v>
      </c>
      <c r="C21" s="321">
        <f>+B21/$P$12</f>
        <v>49345.803009575917</v>
      </c>
      <c r="D21" s="328">
        <f>+burlington!A42</f>
        <v>36869</v>
      </c>
      <c r="E21" s="325" t="s">
        <v>92</v>
      </c>
      <c r="F21" t="s">
        <v>114</v>
      </c>
      <c r="G21" t="s">
        <v>127</v>
      </c>
    </row>
    <row r="22" spans="1:7" ht="18" customHeight="1" x14ac:dyDescent="0.2">
      <c r="A22" s="302" t="s">
        <v>30</v>
      </c>
      <c r="B22" s="320">
        <f>+C22*$P$12</f>
        <v>181690.05</v>
      </c>
      <c r="C22" s="321">
        <f>+williams!J40</f>
        <v>24855</v>
      </c>
      <c r="D22" s="65">
        <f>+williams!A40</f>
        <v>36869</v>
      </c>
      <c r="E22" t="s">
        <v>91</v>
      </c>
      <c r="F22" t="s">
        <v>118</v>
      </c>
    </row>
    <row r="23" spans="1:7" ht="18" customHeight="1" x14ac:dyDescent="0.2">
      <c r="A23" s="302" t="s">
        <v>33</v>
      </c>
      <c r="B23" s="320">
        <f>+C23*$P$13</f>
        <v>176751.82</v>
      </c>
      <c r="C23" s="321">
        <f>+Lonestar!F42</f>
        <v>23821</v>
      </c>
      <c r="D23" s="328">
        <f>+Lonestar!B42</f>
        <v>36869</v>
      </c>
      <c r="E23" t="s">
        <v>91</v>
      </c>
      <c r="F23" t="s">
        <v>117</v>
      </c>
    </row>
    <row r="24" spans="1:7" ht="18" customHeight="1" x14ac:dyDescent="0.2">
      <c r="A24" s="302" t="s">
        <v>124</v>
      </c>
      <c r="B24" s="320">
        <f>+KN_Westar!D41</f>
        <v>151660.08000000002</v>
      </c>
      <c r="C24" s="321">
        <f>+B24/$P$13</f>
        <v>20439.363881401619</v>
      </c>
      <c r="D24" s="65">
        <f>+KN_Westar!A41</f>
        <v>36869</v>
      </c>
      <c r="E24" t="s">
        <v>92</v>
      </c>
      <c r="F24" t="s">
        <v>115</v>
      </c>
    </row>
    <row r="25" spans="1:7" ht="18" customHeight="1" x14ac:dyDescent="0.2">
      <c r="A25" s="302" t="s">
        <v>97</v>
      </c>
      <c r="B25" s="320">
        <f>+NNG!$D$24</f>
        <v>99428.950000000012</v>
      </c>
      <c r="C25" s="321">
        <f>+B25/$P$13</f>
        <v>13400.128032345016</v>
      </c>
      <c r="D25" s="65">
        <f>+NNG!A24</f>
        <v>36869</v>
      </c>
      <c r="E25" t="s">
        <v>92</v>
      </c>
      <c r="F25" t="s">
        <v>115</v>
      </c>
    </row>
    <row r="26" spans="1:7" ht="18" customHeight="1" x14ac:dyDescent="0.2">
      <c r="A26" s="302" t="s">
        <v>77</v>
      </c>
      <c r="B26" s="360">
        <f>+transcol!$D$43</f>
        <v>92530.75</v>
      </c>
      <c r="C26" s="321">
        <f>+B26/$P$13</f>
        <v>12470.451482479784</v>
      </c>
      <c r="D26" s="65">
        <f>+transcol!A43</f>
        <v>36869</v>
      </c>
      <c r="E26" t="s">
        <v>92</v>
      </c>
      <c r="F26" t="s">
        <v>114</v>
      </c>
    </row>
    <row r="27" spans="1:7" ht="18" customHeight="1" x14ac:dyDescent="0.2">
      <c r="A27" s="302" t="s">
        <v>36</v>
      </c>
      <c r="B27" s="359">
        <f>+PGETX!$H$39</f>
        <v>18017.740000000002</v>
      </c>
      <c r="C27" s="345">
        <f>+B27/$P$13</f>
        <v>2428.2668463611863</v>
      </c>
      <c r="D27" s="65">
        <f>+PGETX!E39</f>
        <v>36869</v>
      </c>
      <c r="E27" t="s">
        <v>92</v>
      </c>
      <c r="F27" t="s">
        <v>117</v>
      </c>
      <c r="G27" t="s">
        <v>111</v>
      </c>
    </row>
    <row r="28" spans="1:7" ht="18" customHeight="1" x14ac:dyDescent="0.2">
      <c r="A28" s="302" t="s">
        <v>107</v>
      </c>
      <c r="B28" s="254">
        <f>SUM(B12:B27)</f>
        <v>8751916.6599999983</v>
      </c>
      <c r="C28" s="303">
        <f>SUM(C12:C27)</f>
        <v>1180603.6048963685</v>
      </c>
    </row>
    <row r="29" spans="1:7" ht="18" customHeight="1" x14ac:dyDescent="0.2"/>
    <row r="30" spans="1:7" ht="18" customHeight="1" x14ac:dyDescent="0.2"/>
    <row r="31" spans="1:7" ht="18" customHeight="1" x14ac:dyDescent="0.2">
      <c r="A31" s="308" t="s">
        <v>100</v>
      </c>
      <c r="B31" s="309" t="s">
        <v>18</v>
      </c>
      <c r="C31" s="310" t="s">
        <v>0</v>
      </c>
      <c r="D31" s="311" t="s">
        <v>87</v>
      </c>
      <c r="E31" s="308" t="s">
        <v>101</v>
      </c>
      <c r="F31" s="349" t="s">
        <v>116</v>
      </c>
      <c r="G31" s="308" t="s">
        <v>109</v>
      </c>
    </row>
    <row r="32" spans="1:7" ht="18" customHeight="1" x14ac:dyDescent="0.2">
      <c r="A32" s="302" t="s">
        <v>1</v>
      </c>
      <c r="B32" s="320">
        <f>+C32*$P$12</f>
        <v>-755751.65999999992</v>
      </c>
      <c r="C32" s="321">
        <f>+NW!$F$41</f>
        <v>-103386</v>
      </c>
      <c r="D32" s="328">
        <f>+NW!B41</f>
        <v>36869</v>
      </c>
      <c r="E32" t="s">
        <v>91</v>
      </c>
      <c r="F32" t="s">
        <v>113</v>
      </c>
    </row>
    <row r="33" spans="1:7" ht="18" customHeight="1" x14ac:dyDescent="0.2">
      <c r="A33" s="34" t="s">
        <v>125</v>
      </c>
      <c r="B33" s="320">
        <f>+[1]summary!$C$42+[1]summary!$C$43</f>
        <v>-653589.80000000005</v>
      </c>
      <c r="C33" s="321">
        <f>+B33/$P$13</f>
        <v>-88084.878706199466</v>
      </c>
      <c r="D33" s="65">
        <v>36860</v>
      </c>
      <c r="E33" t="s">
        <v>92</v>
      </c>
      <c r="F33" t="s">
        <v>112</v>
      </c>
      <c r="G33" s="34" t="s">
        <v>126</v>
      </c>
    </row>
    <row r="34" spans="1:7" ht="18" customHeight="1" x14ac:dyDescent="0.2">
      <c r="A34" s="302" t="s">
        <v>120</v>
      </c>
      <c r="B34" s="320">
        <f>+EOG!J41</f>
        <v>-595826.07999999996</v>
      </c>
      <c r="C34" s="321">
        <f>+B34/$P$13</f>
        <v>-80300.010781671153</v>
      </c>
      <c r="D34" s="328">
        <f>+EOG!A41</f>
        <v>36869</v>
      </c>
      <c r="E34" t="s">
        <v>92</v>
      </c>
      <c r="F34" t="s">
        <v>117</v>
      </c>
    </row>
    <row r="35" spans="1:7" ht="18" customHeight="1" x14ac:dyDescent="0.2">
      <c r="A35" s="352" t="s">
        <v>85</v>
      </c>
      <c r="B35" s="320">
        <f>+Agave!$D$24</f>
        <v>-344257.54</v>
      </c>
      <c r="C35" s="321">
        <f>+B35/$P$13</f>
        <v>-46395.894878706196</v>
      </c>
      <c r="D35" s="328">
        <f>+Agave!A24</f>
        <v>36869</v>
      </c>
      <c r="E35" s="325" t="s">
        <v>92</v>
      </c>
      <c r="F35" t="s">
        <v>117</v>
      </c>
    </row>
    <row r="36" spans="1:7" ht="18" customHeight="1" x14ac:dyDescent="0.2">
      <c r="A36" s="302" t="s">
        <v>7</v>
      </c>
      <c r="B36" s="320">
        <f>+C36*$P$12</f>
        <v>-241551.63999999998</v>
      </c>
      <c r="C36" s="321">
        <f>+Amoco!D40</f>
        <v>-33044</v>
      </c>
      <c r="D36" s="65">
        <f>+Amoco!A40</f>
        <v>36869</v>
      </c>
      <c r="E36" t="s">
        <v>91</v>
      </c>
      <c r="F36" t="s">
        <v>114</v>
      </c>
    </row>
    <row r="37" spans="1:7" ht="18" customHeight="1" x14ac:dyDescent="0.2">
      <c r="A37" s="302" t="s">
        <v>86</v>
      </c>
      <c r="B37" s="320">
        <f>+Conoco!$F$41</f>
        <v>-222386.69999999995</v>
      </c>
      <c r="C37" s="321">
        <f>+B37/$P$12</f>
        <v>-30422.257181942539</v>
      </c>
      <c r="D37" s="65">
        <f>+Conoco!A41</f>
        <v>36869</v>
      </c>
      <c r="E37" t="s">
        <v>92</v>
      </c>
      <c r="F37" t="s">
        <v>114</v>
      </c>
    </row>
    <row r="38" spans="1:7" ht="18" customHeight="1" x14ac:dyDescent="0.2">
      <c r="A38" s="302" t="s">
        <v>25</v>
      </c>
      <c r="B38" s="360">
        <f>+'Red C'!$D$43</f>
        <v>-39049.71</v>
      </c>
      <c r="C38" s="367">
        <f>+B38/$P$12</f>
        <v>-5341.9575923392613</v>
      </c>
      <c r="D38" s="328">
        <f>+'Red C'!B43</f>
        <v>36869</v>
      </c>
      <c r="E38" t="s">
        <v>92</v>
      </c>
      <c r="F38" t="s">
        <v>114</v>
      </c>
    </row>
    <row r="39" spans="1:7" ht="18" customHeight="1" x14ac:dyDescent="0.2">
      <c r="A39" s="302" t="s">
        <v>3</v>
      </c>
      <c r="B39" s="359">
        <f>+'Amoco Abo'!$D$43</f>
        <v>-4774.2900000000009</v>
      </c>
      <c r="C39" s="345">
        <f>+B39/$P$13</f>
        <v>-643.43530997304595</v>
      </c>
      <c r="D39" s="65">
        <f>+'Amoco Abo'!A43</f>
        <v>36869</v>
      </c>
      <c r="E39" t="s">
        <v>92</v>
      </c>
      <c r="F39" t="s">
        <v>112</v>
      </c>
    </row>
    <row r="40" spans="1:7" ht="18" customHeight="1" x14ac:dyDescent="0.2">
      <c r="A40" s="302" t="s">
        <v>108</v>
      </c>
      <c r="B40" s="320">
        <f>SUM(B32:B39)</f>
        <v>-2857187.42</v>
      </c>
      <c r="C40" s="321">
        <f>SUM(C32:C39)</f>
        <v>-387618.43445083161</v>
      </c>
      <c r="D40" s="325"/>
    </row>
    <row r="41" spans="1:7" ht="18" customHeight="1" x14ac:dyDescent="0.2">
      <c r="B41" s="320"/>
      <c r="C41" s="321"/>
    </row>
    <row r="42" spans="1:7" ht="18" customHeight="1" x14ac:dyDescent="0.2"/>
    <row r="43" spans="1:7" ht="18" customHeight="1" thickBot="1" x14ac:dyDescent="0.25">
      <c r="A43" s="34" t="s">
        <v>102</v>
      </c>
      <c r="B43" s="318">
        <f>+B40+B28</f>
        <v>5894729.2399999984</v>
      </c>
      <c r="C43" s="319">
        <f>+C40+C28</f>
        <v>792985.17044553685</v>
      </c>
    </row>
    <row r="44" spans="1:7" ht="18" customHeight="1" thickTop="1" x14ac:dyDescent="0.2"/>
    <row r="45" spans="1:7" x14ac:dyDescent="0.2">
      <c r="C45" s="368"/>
    </row>
    <row r="51" spans="1:5" x14ac:dyDescent="0.2">
      <c r="C51" s="261"/>
      <c r="E51" s="364"/>
    </row>
    <row r="55" spans="1:5" x14ac:dyDescent="0.2">
      <c r="A55" s="34" t="s">
        <v>103</v>
      </c>
    </row>
    <row r="58" spans="1:5" x14ac:dyDescent="0.2">
      <c r="B58" s="322"/>
      <c r="C58" s="344"/>
    </row>
    <row r="59" spans="1:5" x14ac:dyDescent="0.2">
      <c r="B59" s="261"/>
    </row>
    <row r="60" spans="1:5" x14ac:dyDescent="0.2">
      <c r="B60" s="261"/>
    </row>
    <row r="61" spans="1:5" x14ac:dyDescent="0.2">
      <c r="B61" s="261"/>
    </row>
    <row r="62" spans="1:5" x14ac:dyDescent="0.2">
      <c r="B62" s="261"/>
      <c r="D62" s="64"/>
    </row>
    <row r="63" spans="1:5" x14ac:dyDescent="0.2">
      <c r="B63" s="261"/>
      <c r="C63" s="368"/>
    </row>
    <row r="64" spans="1:5" x14ac:dyDescent="0.2">
      <c r="B64" s="261"/>
      <c r="C64" s="368"/>
      <c r="D64" s="357"/>
      <c r="E64" s="370"/>
    </row>
    <row r="65" spans="2:4" x14ac:dyDescent="0.2">
      <c r="B65" s="261"/>
      <c r="C65" s="368"/>
      <c r="D65" s="272"/>
    </row>
    <row r="66" spans="2:4" x14ac:dyDescent="0.2">
      <c r="B66" s="261"/>
      <c r="C66" s="368"/>
      <c r="D66" s="272"/>
    </row>
    <row r="67" spans="2:4" x14ac:dyDescent="0.2">
      <c r="B67" s="261"/>
      <c r="C67" s="368"/>
      <c r="D67" s="31"/>
    </row>
    <row r="68" spans="2:4" x14ac:dyDescent="0.2">
      <c r="B68" s="261"/>
      <c r="C68" s="368"/>
      <c r="D68" s="371"/>
    </row>
    <row r="69" spans="2:4" x14ac:dyDescent="0.2">
      <c r="B69" s="358"/>
    </row>
    <row r="70" spans="2:4" x14ac:dyDescent="0.2">
      <c r="B70" s="358"/>
      <c r="D70" s="64"/>
    </row>
    <row r="71" spans="2:4" x14ac:dyDescent="0.2">
      <c r="B71" s="357"/>
      <c r="C71" s="261"/>
    </row>
    <row r="72" spans="2:4" x14ac:dyDescent="0.2">
      <c r="B72" s="357"/>
      <c r="C72" s="261"/>
    </row>
    <row r="73" spans="2:4" x14ac:dyDescent="0.2">
      <c r="B73" s="358"/>
      <c r="C73" s="261"/>
      <c r="D73" s="64"/>
    </row>
    <row r="74" spans="2:4" x14ac:dyDescent="0.2">
      <c r="B74" s="358"/>
      <c r="D74" s="64"/>
    </row>
    <row r="75" spans="2:4" x14ac:dyDescent="0.2">
      <c r="B75" s="358"/>
    </row>
    <row r="76" spans="2:4" x14ac:dyDescent="0.2">
      <c r="B76" s="322"/>
      <c r="C76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D47" sqref="D44:D47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5"/>
      <c r="W34" s="325"/>
      <c r="X34" s="325"/>
      <c r="Y34" s="325"/>
      <c r="Z34" s="149"/>
      <c r="AA34" s="150"/>
      <c r="AB34" s="150"/>
      <c r="AC34" s="150"/>
      <c r="AD34" s="325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  <c r="BG34" s="325"/>
      <c r="BH34" s="325"/>
      <c r="BI34" s="325"/>
      <c r="BJ34" s="325"/>
      <c r="BK34" s="325"/>
      <c r="BL34" s="325"/>
      <c r="BM34" s="325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5"/>
      <c r="W35" s="325"/>
      <c r="X35" s="325"/>
      <c r="Y35" s="325"/>
      <c r="Z35" s="149"/>
      <c r="AA35" s="150"/>
      <c r="AB35" s="150"/>
      <c r="AC35" s="150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  <c r="BH35" s="325"/>
      <c r="BI35" s="325"/>
      <c r="BJ35" s="325"/>
      <c r="BK35" s="325"/>
      <c r="BL35" s="325"/>
      <c r="BM35" s="325"/>
    </row>
    <row r="36" spans="1:65" ht="14.1" customHeight="1" x14ac:dyDescent="0.2">
      <c r="A36" s="12"/>
      <c r="B36" s="24">
        <f>SUM(B5:B35)</f>
        <v>117186</v>
      </c>
      <c r="C36" s="24">
        <f>SUM(C5:C35)</f>
        <v>115151</v>
      </c>
      <c r="D36" s="24">
        <f t="shared" si="0"/>
        <v>-2035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5"/>
      <c r="W36" s="325"/>
      <c r="X36" s="325"/>
      <c r="Y36" s="325"/>
      <c r="Z36" s="149"/>
      <c r="AA36" s="150"/>
      <c r="AB36" s="150"/>
      <c r="AC36" s="150"/>
      <c r="AD36" s="325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  <c r="BL36" s="325"/>
      <c r="BM36" s="325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5"/>
      <c r="W37" s="325"/>
      <c r="X37" s="325"/>
      <c r="Y37" s="325"/>
      <c r="Z37" s="206"/>
      <c r="AA37" s="208"/>
      <c r="AB37" s="208"/>
      <c r="AC37" s="208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  <c r="BL37" s="325"/>
      <c r="BM37" s="325"/>
    </row>
    <row r="38" spans="1:65" x14ac:dyDescent="0.2">
      <c r="B38" s="257">
        <v>36860</v>
      </c>
      <c r="C38" s="24"/>
      <c r="D38" s="378">
        <v>70059</v>
      </c>
      <c r="E38" s="2"/>
      <c r="G38" s="24"/>
      <c r="H38" s="24"/>
      <c r="I38" s="150"/>
      <c r="J38" s="325"/>
      <c r="K38" s="150"/>
      <c r="L38" s="150"/>
      <c r="M38" s="150"/>
      <c r="N38" s="325"/>
      <c r="O38" s="150"/>
      <c r="P38" s="150"/>
      <c r="Q38" s="150"/>
      <c r="R38" s="325"/>
      <c r="S38" s="150"/>
      <c r="T38" s="150"/>
      <c r="U38" s="150"/>
      <c r="V38" s="325"/>
      <c r="W38" s="325"/>
      <c r="X38" s="325"/>
      <c r="Y38" s="325"/>
      <c r="Z38" s="325"/>
      <c r="AA38" s="150"/>
      <c r="AB38" s="150"/>
      <c r="AC38" s="150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  <c r="BG38" s="325"/>
      <c r="BH38" s="325"/>
      <c r="BI38" s="325"/>
      <c r="BJ38" s="325"/>
      <c r="BK38" s="325"/>
      <c r="BL38" s="325"/>
      <c r="BM38" s="325"/>
    </row>
    <row r="39" spans="1:65" x14ac:dyDescent="0.2">
      <c r="B39" s="257"/>
      <c r="C39" s="24"/>
      <c r="D39" s="24"/>
      <c r="E39" s="2"/>
      <c r="G39" s="24"/>
      <c r="H39" s="24"/>
      <c r="I39" s="150"/>
      <c r="J39" s="325"/>
      <c r="K39" s="150"/>
      <c r="L39" s="150"/>
      <c r="M39" s="150"/>
      <c r="N39" s="325"/>
      <c r="O39" s="150"/>
      <c r="P39" s="150"/>
      <c r="Q39" s="150"/>
      <c r="R39" s="325"/>
      <c r="S39" s="150"/>
      <c r="T39" s="150"/>
      <c r="U39" s="150"/>
      <c r="V39" s="325"/>
      <c r="W39" s="325"/>
      <c r="X39" s="325"/>
      <c r="Y39" s="325"/>
      <c r="Z39" s="325"/>
      <c r="AA39" s="150"/>
      <c r="AB39" s="150"/>
      <c r="AC39" s="150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  <c r="BG39" s="325"/>
      <c r="BH39" s="325"/>
      <c r="BI39" s="325"/>
      <c r="BJ39" s="325"/>
      <c r="BK39" s="325"/>
      <c r="BL39" s="325"/>
      <c r="BM39" s="325"/>
    </row>
    <row r="40" spans="1:65" ht="13.5" thickBot="1" x14ac:dyDescent="0.25">
      <c r="B40" s="257">
        <v>36869</v>
      </c>
      <c r="C40" s="24"/>
      <c r="D40" s="195">
        <f>+D36+D38</f>
        <v>68024</v>
      </c>
      <c r="E40" s="196"/>
      <c r="G40" s="24"/>
      <c r="H40" s="24"/>
      <c r="I40" s="150"/>
      <c r="J40" s="325"/>
      <c r="K40" s="150"/>
      <c r="L40" s="150"/>
      <c r="M40" s="150"/>
      <c r="N40" s="325"/>
      <c r="O40" s="150"/>
      <c r="P40" s="150"/>
      <c r="Q40" s="169"/>
      <c r="R40" s="325"/>
      <c r="S40" s="150"/>
      <c r="T40" s="150"/>
      <c r="U40" s="169"/>
      <c r="V40" s="325"/>
      <c r="W40" s="325"/>
      <c r="X40" s="325"/>
      <c r="Y40" s="325"/>
      <c r="Z40" s="325"/>
      <c r="AA40" s="150"/>
      <c r="AB40" s="150"/>
      <c r="AC40" s="169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5"/>
      <c r="BJ40" s="325"/>
      <c r="BK40" s="325"/>
      <c r="BL40" s="325"/>
      <c r="BM40" s="325"/>
    </row>
    <row r="41" spans="1:65" ht="13.5" thickTop="1" x14ac:dyDescent="0.2">
      <c r="B41" s="258"/>
      <c r="C41"/>
      <c r="D41"/>
      <c r="E41" s="2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  <c r="BL41" s="325"/>
      <c r="BM41" s="325"/>
    </row>
    <row r="42" spans="1:65" x14ac:dyDescent="0.2">
      <c r="B42" s="2"/>
      <c r="C42"/>
      <c r="D42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5"/>
      <c r="BJ42" s="325"/>
      <c r="BK42" s="325"/>
      <c r="BL42" s="325"/>
      <c r="BM42" s="325"/>
    </row>
    <row r="43" spans="1:65" x14ac:dyDescent="0.2">
      <c r="B43"/>
      <c r="C43"/>
      <c r="D43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  <c r="BG43" s="325"/>
      <c r="BH43" s="325"/>
      <c r="BI43" s="325"/>
      <c r="BJ43" s="325"/>
      <c r="BK43" s="325"/>
      <c r="BL43" s="325"/>
      <c r="BM43" s="325"/>
    </row>
    <row r="44" spans="1:65" x14ac:dyDescent="0.2">
      <c r="B44"/>
      <c r="C44"/>
      <c r="D44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  <c r="BL44" s="325"/>
      <c r="BM44" s="325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15" workbookViewId="1">
      <selection activeCell="E40" sqref="E40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35161</v>
      </c>
      <c r="E10" s="11">
        <v>25000</v>
      </c>
      <c r="F10" s="25">
        <f t="shared" si="0"/>
        <v>-6923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36121</v>
      </c>
      <c r="E11" s="11">
        <v>32222</v>
      </c>
      <c r="F11" s="25">
        <f t="shared" si="0"/>
        <v>-3343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33578</v>
      </c>
      <c r="E12" s="11">
        <v>25000</v>
      </c>
      <c r="F12" s="25">
        <f t="shared" si="0"/>
        <v>-7980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234689</v>
      </c>
      <c r="C35" s="11">
        <f>SUM(C4:C34)</f>
        <v>269682</v>
      </c>
      <c r="D35" s="11">
        <f>SUM(D4:D34)</f>
        <v>239426</v>
      </c>
      <c r="E35" s="11">
        <f>SUM(E4:E34)</f>
        <v>232215</v>
      </c>
      <c r="F35" s="11">
        <f>+E35-D35+C35-B35</f>
        <v>27782</v>
      </c>
    </row>
    <row r="36" spans="1:7" x14ac:dyDescent="0.2">
      <c r="A36" s="45"/>
      <c r="C36" s="14">
        <f>+C35-B35</f>
        <v>34993</v>
      </c>
      <c r="D36" s="14"/>
      <c r="E36" s="14">
        <f>+E35-D35</f>
        <v>-7211</v>
      </c>
      <c r="F36" s="47"/>
    </row>
    <row r="37" spans="1:7" x14ac:dyDescent="0.2">
      <c r="C37" s="15">
        <f>+summary!P13</f>
        <v>7.42</v>
      </c>
      <c r="D37" s="15"/>
      <c r="E37" s="15">
        <f>+C37</f>
        <v>7.42</v>
      </c>
      <c r="F37" s="24"/>
    </row>
    <row r="38" spans="1:7" x14ac:dyDescent="0.2">
      <c r="C38" s="48">
        <f>+C37*C36</f>
        <v>259648.06</v>
      </c>
      <c r="D38" s="47"/>
      <c r="E38" s="48">
        <f>+E37*E36</f>
        <v>-53505.62</v>
      </c>
      <c r="F38" s="46">
        <f>+E38+C38</f>
        <v>206142.44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85">
        <v>622338.78</v>
      </c>
      <c r="D40" s="347"/>
      <c r="E40" s="385">
        <v>-1050867.92</v>
      </c>
      <c r="F40" s="106">
        <f>+E40+C40</f>
        <v>-428529.1399999999</v>
      </c>
      <c r="G40" s="25"/>
    </row>
    <row r="41" spans="1:7" x14ac:dyDescent="0.2">
      <c r="A41" s="57">
        <v>36869</v>
      </c>
      <c r="C41" s="50">
        <f>+C40+C38</f>
        <v>881986.84000000008</v>
      </c>
      <c r="D41" s="50"/>
      <c r="E41" s="50">
        <f>+E40+E38</f>
        <v>-1104373.54</v>
      </c>
      <c r="F41" s="106">
        <f>+E41+C41</f>
        <v>-222386.69999999995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1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D22" sqref="D22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56339</v>
      </c>
      <c r="B5" s="373">
        <v>327874</v>
      </c>
      <c r="C5" s="90">
        <v>296618</v>
      </c>
      <c r="D5" s="90">
        <f>+C5-B5</f>
        <v>-31256</v>
      </c>
      <c r="E5" s="292"/>
      <c r="F5" s="29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2"/>
      <c r="F6" s="290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73">
        <f>213664+26262</f>
        <v>239926</v>
      </c>
      <c r="C7" s="90">
        <v>254804</v>
      </c>
      <c r="D7" s="90">
        <f t="shared" si="0"/>
        <v>14878</v>
      </c>
      <c r="E7" s="292"/>
      <c r="F7" s="290"/>
      <c r="L7" t="s">
        <v>27</v>
      </c>
      <c r="M7">
        <v>7.6</v>
      </c>
    </row>
    <row r="8" spans="1:13" x14ac:dyDescent="0.2">
      <c r="A8" s="87">
        <v>500239</v>
      </c>
      <c r="B8" s="373">
        <v>312513</v>
      </c>
      <c r="C8" s="90">
        <v>313677</v>
      </c>
      <c r="D8" s="90">
        <f t="shared" si="0"/>
        <v>1164</v>
      </c>
      <c r="E8" s="292"/>
      <c r="F8" s="290"/>
    </row>
    <row r="9" spans="1:13" x14ac:dyDescent="0.2">
      <c r="A9" s="87">
        <v>500293</v>
      </c>
      <c r="B9" s="373">
        <f>159555+19574</f>
        <v>179129</v>
      </c>
      <c r="C9" s="90">
        <v>218866</v>
      </c>
      <c r="D9" s="90">
        <f t="shared" si="0"/>
        <v>39737</v>
      </c>
      <c r="E9" s="292"/>
      <c r="F9" s="290"/>
    </row>
    <row r="10" spans="1:13" x14ac:dyDescent="0.2">
      <c r="A10" s="87">
        <v>500302</v>
      </c>
      <c r="B10" s="90"/>
      <c r="C10" s="90">
        <v>2862</v>
      </c>
      <c r="D10" s="90">
        <f t="shared" si="0"/>
        <v>2862</v>
      </c>
      <c r="E10" s="292"/>
      <c r="F10" s="290"/>
    </row>
    <row r="11" spans="1:13" x14ac:dyDescent="0.2">
      <c r="A11" s="87">
        <v>500303</v>
      </c>
      <c r="B11" s="373">
        <v>108655</v>
      </c>
      <c r="C11" s="90">
        <v>93587</v>
      </c>
      <c r="D11" s="90">
        <f t="shared" si="0"/>
        <v>-15068</v>
      </c>
      <c r="E11" s="292"/>
      <c r="F11" s="290"/>
    </row>
    <row r="12" spans="1:13" x14ac:dyDescent="0.2">
      <c r="A12" s="91">
        <v>500305</v>
      </c>
      <c r="B12" s="373">
        <v>455499</v>
      </c>
      <c r="C12" s="90">
        <v>479465</v>
      </c>
      <c r="D12" s="90">
        <f t="shared" si="0"/>
        <v>23966</v>
      </c>
      <c r="E12" s="293"/>
      <c r="F12" s="290"/>
    </row>
    <row r="13" spans="1:13" x14ac:dyDescent="0.2">
      <c r="A13" s="87">
        <v>500307</v>
      </c>
      <c r="B13" s="90">
        <v>12420</v>
      </c>
      <c r="C13" s="90">
        <v>19899</v>
      </c>
      <c r="D13" s="90">
        <f t="shared" si="0"/>
        <v>7479</v>
      </c>
      <c r="E13" s="292"/>
      <c r="F13" s="290"/>
    </row>
    <row r="14" spans="1:13" x14ac:dyDescent="0.2">
      <c r="A14" s="87">
        <v>500313</v>
      </c>
      <c r="B14" s="90"/>
      <c r="C14" s="342">
        <v>1142</v>
      </c>
      <c r="D14" s="90">
        <f t="shared" si="0"/>
        <v>1142</v>
      </c>
      <c r="E14" s="292"/>
      <c r="F14" s="29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2"/>
      <c r="F15" s="290"/>
    </row>
    <row r="16" spans="1:13" x14ac:dyDescent="0.2">
      <c r="A16" s="87">
        <v>500655</v>
      </c>
      <c r="B16" s="373">
        <v>41952</v>
      </c>
      <c r="C16" s="90"/>
      <c r="D16" s="90">
        <f t="shared" si="0"/>
        <v>-41952</v>
      </c>
      <c r="E16" s="292"/>
      <c r="F16" s="290"/>
    </row>
    <row r="17" spans="1:6" x14ac:dyDescent="0.2">
      <c r="A17" s="87">
        <v>500657</v>
      </c>
      <c r="B17" s="374">
        <v>88108</v>
      </c>
      <c r="C17" s="88">
        <v>55214</v>
      </c>
      <c r="D17" s="94">
        <f t="shared" si="0"/>
        <v>-32894</v>
      </c>
      <c r="E17" s="292"/>
      <c r="F17" s="290"/>
    </row>
    <row r="18" spans="1:6" x14ac:dyDescent="0.2">
      <c r="A18" s="87"/>
      <c r="B18" s="88"/>
      <c r="C18" s="88"/>
      <c r="D18" s="88">
        <f>SUM(D5:D17)</f>
        <v>-29942</v>
      </c>
      <c r="E18" s="292"/>
      <c r="F18" s="290"/>
    </row>
    <row r="19" spans="1:6" x14ac:dyDescent="0.2">
      <c r="A19" s="87" t="s">
        <v>88</v>
      </c>
      <c r="B19" s="88"/>
      <c r="C19" s="88"/>
      <c r="D19" s="95">
        <f>+summary!P13</f>
        <v>7.42</v>
      </c>
      <c r="E19" s="294"/>
      <c r="F19" s="290"/>
    </row>
    <row r="20" spans="1:6" x14ac:dyDescent="0.2">
      <c r="A20" s="87"/>
      <c r="B20" s="88"/>
      <c r="C20" s="88"/>
      <c r="D20" s="96">
        <f>+D19*D18</f>
        <v>-222169.63999999998</v>
      </c>
      <c r="E20" s="209"/>
      <c r="F20" s="29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36860</v>
      </c>
      <c r="B22" s="88"/>
      <c r="C22" s="88"/>
      <c r="D22" s="386">
        <v>-122087.9</v>
      </c>
      <c r="E22" s="209"/>
      <c r="F22" s="66"/>
    </row>
    <row r="23" spans="1:6" x14ac:dyDescent="0.2">
      <c r="A23" s="87"/>
      <c r="B23" s="88"/>
      <c r="C23" s="88"/>
      <c r="D23" s="96"/>
      <c r="E23" s="209"/>
      <c r="F23" s="66"/>
    </row>
    <row r="24" spans="1:6" ht="13.5" thickBot="1" x14ac:dyDescent="0.25">
      <c r="A24" s="99">
        <v>36869</v>
      </c>
      <c r="B24" s="88"/>
      <c r="C24" s="88"/>
      <c r="D24" s="98">
        <f>+D22+D20</f>
        <v>-344257.54</v>
      </c>
      <c r="E24" s="209"/>
      <c r="F24" s="66"/>
    </row>
    <row r="25" spans="1:6" ht="13.5" thickTop="1" x14ac:dyDescent="0.2">
      <c r="E25" s="295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workbookViewId="1">
      <selection activeCell="B17" sqref="B17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1281592</v>
      </c>
      <c r="C36" s="11">
        <f>SUM(C5:C35)</f>
        <v>1551355</v>
      </c>
      <c r="D36" s="11"/>
      <c r="E36" s="11">
        <f>SUM(E5:E35)</f>
        <v>297717</v>
      </c>
      <c r="F36" s="11">
        <f>SUM(F5:F35)</f>
        <v>-27954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36860</v>
      </c>
      <c r="F39" s="376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36869</v>
      </c>
      <c r="F41" s="282">
        <f>+F39+F36</f>
        <v>-103386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80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6" workbookViewId="1">
      <selection activeCell="D42" sqref="D42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77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208769</v>
      </c>
      <c r="C39" s="11">
        <f>SUM(C8:C38)</f>
        <v>208350</v>
      </c>
      <c r="D39" s="11">
        <f>SUM(D8:D38)</f>
        <v>-419</v>
      </c>
      <c r="E39" s="10"/>
      <c r="F39" s="11"/>
      <c r="G39" s="11"/>
      <c r="H39" s="11"/>
    </row>
    <row r="40" spans="1:8" x14ac:dyDescent="0.2">
      <c r="A40" s="26"/>
      <c r="D40" s="75">
        <f>+summary!P13</f>
        <v>7.42</v>
      </c>
      <c r="E40" s="26"/>
      <c r="H40" s="75"/>
    </row>
    <row r="41" spans="1:8" x14ac:dyDescent="0.2">
      <c r="D41" s="197">
        <f>+D40*D39</f>
        <v>-3108.98</v>
      </c>
      <c r="F41" s="254"/>
      <c r="H41" s="197"/>
    </row>
    <row r="42" spans="1:8" x14ac:dyDescent="0.2">
      <c r="A42" s="57">
        <v>36860</v>
      </c>
      <c r="D42" s="392">
        <v>95639.73</v>
      </c>
      <c r="E42" s="57"/>
      <c r="H42" s="197"/>
    </row>
    <row r="43" spans="1:8" x14ac:dyDescent="0.2">
      <c r="A43" s="57">
        <v>36869</v>
      </c>
      <c r="D43" s="198">
        <f>+D42+D41</f>
        <v>92530.75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workbookViewId="0">
      <selection activeCell="B9" sqref="B9"/>
    </sheetView>
    <sheetView workbookViewId="1">
      <selection activeCell="C5" sqref="C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9.140625" style="32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104</v>
      </c>
      <c r="G2" s="32"/>
      <c r="H2" s="15"/>
      <c r="I2" s="32"/>
      <c r="J2" s="32"/>
    </row>
    <row r="3" spans="1:10" x14ac:dyDescent="0.2">
      <c r="A3" s="2" t="s">
        <v>78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36860</v>
      </c>
      <c r="C5" s="393">
        <v>-208801.6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36869</v>
      </c>
      <c r="G7" s="32"/>
      <c r="H7" s="15"/>
      <c r="I7" s="32"/>
      <c r="J7" s="32"/>
    </row>
    <row r="8" spans="1:10" x14ac:dyDescent="0.2">
      <c r="A8" s="255">
        <v>60874</v>
      </c>
      <c r="B8" s="355">
        <v>572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375">
        <f>9945-8687</f>
        <v>1258</v>
      </c>
      <c r="G10" s="32"/>
      <c r="H10" s="15"/>
      <c r="I10" s="32"/>
      <c r="J10" s="32"/>
    </row>
    <row r="11" spans="1:10" x14ac:dyDescent="0.2">
      <c r="A11" s="255">
        <v>500251</v>
      </c>
      <c r="B11" s="355">
        <f>3857-3944</f>
        <v>-87</v>
      </c>
      <c r="G11" s="32"/>
      <c r="H11" s="15"/>
      <c r="I11" s="32"/>
      <c r="J11" s="32"/>
    </row>
    <row r="12" spans="1:10" x14ac:dyDescent="0.2">
      <c r="A12" s="255">
        <v>500254</v>
      </c>
      <c r="B12" s="212">
        <f>694-185</f>
        <v>509</v>
      </c>
      <c r="G12" s="32"/>
      <c r="H12" s="15"/>
      <c r="I12" s="32"/>
      <c r="J12" s="32"/>
    </row>
    <row r="13" spans="1:10" x14ac:dyDescent="0.2">
      <c r="A13" s="32">
        <v>500255</v>
      </c>
      <c r="B13" s="273">
        <f>5141-8637</f>
        <v>-3496</v>
      </c>
      <c r="G13" s="32"/>
      <c r="H13" s="15"/>
      <c r="I13" s="32"/>
      <c r="J13" s="32"/>
    </row>
    <row r="14" spans="1:10" x14ac:dyDescent="0.2">
      <c r="A14" s="32">
        <v>500262</v>
      </c>
      <c r="B14" s="355">
        <f>2667-3275</f>
        <v>-608</v>
      </c>
      <c r="G14" s="32"/>
      <c r="H14" s="15"/>
      <c r="I14" s="32"/>
      <c r="J14" s="32"/>
    </row>
    <row r="15" spans="1:10" x14ac:dyDescent="0.2">
      <c r="A15" s="297">
        <v>500267</v>
      </c>
      <c r="B15" s="356">
        <f>288908-267845</f>
        <v>21063</v>
      </c>
      <c r="G15" s="32"/>
      <c r="H15" s="15"/>
      <c r="I15" s="32"/>
      <c r="J15" s="32"/>
    </row>
    <row r="16" spans="1:10" x14ac:dyDescent="0.2">
      <c r="B16" s="14">
        <f>SUM(B8:B15)</f>
        <v>19211</v>
      </c>
      <c r="G16" s="32"/>
      <c r="H16" s="15"/>
      <c r="I16" s="32"/>
      <c r="J16" s="32"/>
    </row>
    <row r="17" spans="1:10" x14ac:dyDescent="0.2">
      <c r="B17" s="15">
        <f>+B30</f>
        <v>7.42</v>
      </c>
      <c r="C17" s="201">
        <f>+B17*B16</f>
        <v>142545.62</v>
      </c>
      <c r="G17" s="32"/>
      <c r="H17" s="15"/>
      <c r="I17" s="32"/>
      <c r="J17" s="32"/>
    </row>
    <row r="18" spans="1:10" x14ac:dyDescent="0.2">
      <c r="C18" s="260">
        <f>+C17+C5</f>
        <v>-66255.98000000001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96</v>
      </c>
      <c r="G20" s="32"/>
      <c r="H20" s="15"/>
      <c r="I20" s="32"/>
      <c r="J20" s="32"/>
    </row>
    <row r="21" spans="1:10" x14ac:dyDescent="0.2">
      <c r="A21" s="2" t="s">
        <v>79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36860</v>
      </c>
      <c r="C24" s="390">
        <v>166829.88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36869</v>
      </c>
      <c r="G26" s="32"/>
      <c r="H26" s="15"/>
      <c r="I26" s="32"/>
      <c r="J26" s="32"/>
    </row>
    <row r="27" spans="1:10" x14ac:dyDescent="0.2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12556</v>
      </c>
    </row>
    <row r="30" spans="1:10" x14ac:dyDescent="0.2">
      <c r="B30" s="15">
        <f>+summary!P13</f>
        <v>7.42</v>
      </c>
      <c r="C30" s="201">
        <f>+B30*B29</f>
        <v>93165.52</v>
      </c>
    </row>
    <row r="31" spans="1:10" x14ac:dyDescent="0.2">
      <c r="C31" s="260">
        <f>+C30+C24</f>
        <v>259995.40000000002</v>
      </c>
      <c r="E31" s="15"/>
    </row>
    <row r="33" spans="1:6" x14ac:dyDescent="0.2">
      <c r="E33" s="278"/>
    </row>
    <row r="34" spans="1:6" x14ac:dyDescent="0.2">
      <c r="A34" s="32" t="s">
        <v>96</v>
      </c>
      <c r="E34" s="15"/>
    </row>
    <row r="35" spans="1:6" x14ac:dyDescent="0.2">
      <c r="A35" s="32" t="s">
        <v>80</v>
      </c>
      <c r="E35" s="15"/>
    </row>
    <row r="38" spans="1:6" x14ac:dyDescent="0.2">
      <c r="A38" s="49">
        <v>36860</v>
      </c>
      <c r="C38" s="389">
        <v>285553.17</v>
      </c>
      <c r="E38" s="15"/>
      <c r="F38" s="272"/>
    </row>
    <row r="40" spans="1:6" x14ac:dyDescent="0.2">
      <c r="A40" s="251">
        <v>36869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2444</v>
      </c>
    </row>
    <row r="43" spans="1:6" x14ac:dyDescent="0.2">
      <c r="A43" s="32">
        <v>500392</v>
      </c>
      <c r="B43" s="259">
        <v>755</v>
      </c>
    </row>
    <row r="44" spans="1:6" x14ac:dyDescent="0.2">
      <c r="B44" s="14">
        <f>SUM(B41:B43)</f>
        <v>3199</v>
      </c>
    </row>
    <row r="45" spans="1:6" x14ac:dyDescent="0.2">
      <c r="B45" s="201">
        <f>+B30</f>
        <v>7.42</v>
      </c>
      <c r="C45" s="201">
        <f>+B45*B44</f>
        <v>23736.579999999998</v>
      </c>
    </row>
    <row r="46" spans="1:6" x14ac:dyDescent="0.2">
      <c r="C46" s="260">
        <f>+C45+C38</f>
        <v>309289.75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65"/>
      <c r="E49" s="218"/>
    </row>
    <row r="50" spans="1:5" x14ac:dyDescent="0.2">
      <c r="A50" s="32" t="s">
        <v>96</v>
      </c>
    </row>
    <row r="51" spans="1:5" x14ac:dyDescent="0.2">
      <c r="A51" s="32">
        <v>21665</v>
      </c>
      <c r="C51" s="388">
        <v>73449.16</v>
      </c>
      <c r="E51" s="50"/>
    </row>
    <row r="52" spans="1:5" x14ac:dyDescent="0.2">
      <c r="A52" s="32">
        <v>22664</v>
      </c>
      <c r="C52" s="388">
        <v>23612.35</v>
      </c>
    </row>
    <row r="53" spans="1:5" x14ac:dyDescent="0.2">
      <c r="E53" s="15"/>
    </row>
    <row r="56" spans="1:5" x14ac:dyDescent="0.2">
      <c r="C56" s="15"/>
    </row>
    <row r="58" spans="1:5" x14ac:dyDescent="0.2">
      <c r="C58" s="15"/>
    </row>
    <row r="59" spans="1:5" x14ac:dyDescent="0.2">
      <c r="C59" s="15"/>
    </row>
    <row r="62" spans="1:5" x14ac:dyDescent="0.2">
      <c r="C62" s="15">
        <f>+C18+C31+C46+C51+C52</f>
        <v>600090.68000000005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30" workbookViewId="1">
      <selection sqref="A1:J45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75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6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6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6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6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62256</v>
      </c>
      <c r="C39" s="11">
        <f t="shared" si="1"/>
        <v>58070</v>
      </c>
      <c r="D39" s="11">
        <f t="shared" si="1"/>
        <v>1358</v>
      </c>
      <c r="E39" s="11">
        <f t="shared" si="1"/>
        <v>1611</v>
      </c>
      <c r="F39" s="11">
        <f t="shared" si="1"/>
        <v>10224</v>
      </c>
      <c r="G39" s="11">
        <f t="shared" si="1"/>
        <v>11907</v>
      </c>
      <c r="H39" s="11">
        <f t="shared" si="1"/>
        <v>1820</v>
      </c>
      <c r="I39" s="11">
        <f t="shared" si="1"/>
        <v>2682</v>
      </c>
      <c r="J39" s="25">
        <f t="shared" si="1"/>
        <v>-1388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+summary!P13</f>
        <v>7.42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-10298.959999999999</v>
      </c>
      <c r="L41"/>
      <c r="R41" s="138"/>
      <c r="X41" s="138"/>
    </row>
    <row r="42" spans="1:24" x14ac:dyDescent="0.2">
      <c r="A42" s="57">
        <v>36860</v>
      </c>
      <c r="C42" s="15"/>
      <c r="J42" s="380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36869</v>
      </c>
      <c r="C43" s="48"/>
      <c r="J43" s="138">
        <f>+J42+J41</f>
        <v>499173.97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D42" sqref="D42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16385</v>
      </c>
      <c r="C13" s="11">
        <v>16988</v>
      </c>
      <c r="D13" s="25">
        <f t="shared" si="0"/>
        <v>603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151003</v>
      </c>
      <c r="C39" s="11">
        <f>SUM(C8:C38)</f>
        <v>159234</v>
      </c>
      <c r="D39" s="11">
        <f>SUM(D8:D38)</f>
        <v>8231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+summary!P13</f>
        <v>7.42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61074.02</v>
      </c>
      <c r="H41" s="138"/>
      <c r="L41" s="138"/>
      <c r="P41" s="138"/>
      <c r="T41" s="138"/>
      <c r="X41" s="138"/>
    </row>
    <row r="42" spans="1:24" x14ac:dyDescent="0.2">
      <c r="A42" s="57">
        <v>36860</v>
      </c>
      <c r="C42" s="15"/>
      <c r="D42" s="384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36869</v>
      </c>
      <c r="C43" s="48"/>
      <c r="D43" s="110">
        <f>+D42+D41</f>
        <v>-4774.2900000000009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C9" sqref="C9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97</v>
      </c>
      <c r="B4" s="69"/>
      <c r="C4" s="298"/>
      <c r="D4" s="69"/>
    </row>
    <row r="5" spans="1:8" x14ac:dyDescent="0.2">
      <c r="B5" s="299" t="s">
        <v>21</v>
      </c>
      <c r="C5" s="299" t="s">
        <v>22</v>
      </c>
      <c r="D5" s="300" t="s">
        <v>54</v>
      </c>
    </row>
    <row r="6" spans="1:8" x14ac:dyDescent="0.2">
      <c r="A6" s="32">
        <v>1635</v>
      </c>
      <c r="B6" s="387">
        <v>-28738</v>
      </c>
      <c r="C6" s="80"/>
      <c r="D6" s="80">
        <f t="shared" ref="D6:D14" si="0">+C6-B6</f>
        <v>28738</v>
      </c>
    </row>
    <row r="7" spans="1:8" x14ac:dyDescent="0.2">
      <c r="A7" s="32">
        <v>3531</v>
      </c>
      <c r="B7" s="387">
        <v>-264836</v>
      </c>
      <c r="C7" s="307">
        <v>-254501</v>
      </c>
      <c r="D7" s="80">
        <f t="shared" si="0"/>
        <v>10335</v>
      </c>
    </row>
    <row r="8" spans="1:8" x14ac:dyDescent="0.2">
      <c r="A8" s="32">
        <v>60667</v>
      </c>
      <c r="B8" s="387">
        <v>-187129</v>
      </c>
      <c r="C8" s="307">
        <v>-242138</v>
      </c>
      <c r="D8" s="80">
        <f t="shared" si="0"/>
        <v>-55009</v>
      </c>
      <c r="H8" s="256"/>
    </row>
    <row r="9" spans="1:8" x14ac:dyDescent="0.2">
      <c r="A9" s="32">
        <v>60749</v>
      </c>
      <c r="B9" s="354"/>
      <c r="C9" s="387">
        <v>-138125</v>
      </c>
      <c r="D9" s="80">
        <f t="shared" si="0"/>
        <v>-138125</v>
      </c>
      <c r="H9" s="256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6"/>
    </row>
    <row r="11" spans="1:8" x14ac:dyDescent="0.2">
      <c r="A11" s="32">
        <v>61334</v>
      </c>
      <c r="B11" s="387">
        <v>-160368</v>
      </c>
      <c r="C11" s="80"/>
      <c r="D11" s="80">
        <f t="shared" si="0"/>
        <v>160368</v>
      </c>
      <c r="H11" s="256"/>
    </row>
    <row r="12" spans="1:8" x14ac:dyDescent="0.2">
      <c r="A12" s="32">
        <v>62960</v>
      </c>
      <c r="B12" s="354"/>
      <c r="C12" s="80"/>
      <c r="D12" s="80">
        <f t="shared" si="0"/>
        <v>0</v>
      </c>
      <c r="H12" s="256"/>
    </row>
    <row r="13" spans="1:8" x14ac:dyDescent="0.2">
      <c r="A13" s="301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6307</v>
      </c>
    </row>
    <row r="19" spans="1:5" x14ac:dyDescent="0.2">
      <c r="A19" s="32" t="s">
        <v>88</v>
      </c>
      <c r="B19" s="69"/>
      <c r="C19" s="69"/>
      <c r="D19" s="73">
        <f>+summary!P13</f>
        <v>7.42</v>
      </c>
    </row>
    <row r="20" spans="1:5" x14ac:dyDescent="0.2">
      <c r="B20" s="69"/>
      <c r="C20" s="69"/>
      <c r="D20" s="75">
        <f>+D19*D18</f>
        <v>46797.94</v>
      </c>
    </row>
    <row r="21" spans="1:5" x14ac:dyDescent="0.2">
      <c r="B21" s="69"/>
      <c r="C21" s="80"/>
      <c r="D21" s="305"/>
      <c r="E21" s="256"/>
    </row>
    <row r="22" spans="1:5" x14ac:dyDescent="0.2">
      <c r="A22" s="49">
        <v>36860</v>
      </c>
      <c r="B22" s="69"/>
      <c r="C22" s="80"/>
      <c r="D22" s="379">
        <v>52631.01</v>
      </c>
      <c r="E22" s="256"/>
    </row>
    <row r="23" spans="1:5" x14ac:dyDescent="0.2">
      <c r="B23" s="69"/>
      <c r="C23" s="80"/>
      <c r="D23" s="305"/>
      <c r="E23" s="256"/>
    </row>
    <row r="24" spans="1:5" ht="12" thickBot="1" x14ac:dyDescent="0.25">
      <c r="A24" s="49">
        <v>36869</v>
      </c>
      <c r="B24" s="69"/>
      <c r="C24" s="69"/>
      <c r="D24" s="306">
        <f>+D22+D20</f>
        <v>99428.950000000012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B10" sqref="B10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90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9236</v>
      </c>
      <c r="B5" s="372">
        <v>-22668</v>
      </c>
      <c r="C5" s="90">
        <v>-36495</v>
      </c>
      <c r="D5" s="90">
        <f t="shared" ref="D5:D13" si="0">+C5-B5</f>
        <v>-13827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92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72">
        <v>-864081</v>
      </c>
      <c r="C7" s="90">
        <v>-892283</v>
      </c>
      <c r="D7" s="90">
        <f t="shared" si="0"/>
        <v>-28202</v>
      </c>
      <c r="E7" s="292"/>
      <c r="F7" s="70"/>
    </row>
    <row r="8" spans="1:13" x14ac:dyDescent="0.2">
      <c r="A8" s="87">
        <v>58710</v>
      </c>
      <c r="B8" s="372">
        <v>-129673</v>
      </c>
      <c r="C8" s="353">
        <v>-73068</v>
      </c>
      <c r="D8" s="90">
        <f t="shared" si="0"/>
        <v>56605</v>
      </c>
      <c r="E8" s="292"/>
      <c r="F8" s="70"/>
    </row>
    <row r="9" spans="1:13" x14ac:dyDescent="0.2">
      <c r="A9" s="87">
        <v>60921</v>
      </c>
      <c r="B9" s="372">
        <v>-171335</v>
      </c>
      <c r="C9" s="90">
        <v>-123611</v>
      </c>
      <c r="D9" s="90">
        <f t="shared" si="0"/>
        <v>47724</v>
      </c>
      <c r="E9" s="292"/>
      <c r="F9" s="70"/>
    </row>
    <row r="10" spans="1:13" x14ac:dyDescent="0.2">
      <c r="A10" s="87">
        <v>78026</v>
      </c>
      <c r="B10" s="353">
        <v>27509</v>
      </c>
      <c r="C10" s="90"/>
      <c r="D10" s="90">
        <f t="shared" si="0"/>
        <v>-27509</v>
      </c>
      <c r="E10" s="292"/>
      <c r="F10" s="290"/>
    </row>
    <row r="11" spans="1:13" x14ac:dyDescent="0.2">
      <c r="A11" s="87">
        <v>500084</v>
      </c>
      <c r="B11" s="372">
        <v>-17637</v>
      </c>
      <c r="C11" s="90">
        <v>-18000</v>
      </c>
      <c r="D11" s="90">
        <f t="shared" si="0"/>
        <v>-363</v>
      </c>
      <c r="E11" s="293"/>
      <c r="F11" s="290"/>
    </row>
    <row r="12" spans="1:13" x14ac:dyDescent="0.2">
      <c r="A12" s="91">
        <v>500085</v>
      </c>
      <c r="B12" s="353">
        <f>-1-93-14938-14985-10648</f>
        <v>-40665</v>
      </c>
      <c r="C12" s="353">
        <f>-4951*9</f>
        <v>-44559</v>
      </c>
      <c r="D12" s="90">
        <f t="shared" si="0"/>
        <v>-3894</v>
      </c>
      <c r="E12" s="292"/>
      <c r="F12" s="290"/>
    </row>
    <row r="13" spans="1:13" x14ac:dyDescent="0.2">
      <c r="A13" s="87">
        <v>500097</v>
      </c>
      <c r="B13" s="90"/>
      <c r="C13" s="90"/>
      <c r="D13" s="90">
        <f t="shared" si="0"/>
        <v>0</v>
      </c>
      <c r="E13" s="292"/>
      <c r="F13" s="290"/>
    </row>
    <row r="14" spans="1:13" x14ac:dyDescent="0.2">
      <c r="A14" s="87"/>
      <c r="B14" s="90"/>
      <c r="C14" s="90"/>
      <c r="D14" s="90"/>
      <c r="E14" s="292"/>
      <c r="F14" s="290"/>
    </row>
    <row r="15" spans="1:13" x14ac:dyDescent="0.2">
      <c r="A15" s="87"/>
      <c r="B15" s="90"/>
      <c r="C15" s="90"/>
      <c r="D15" s="90"/>
      <c r="E15" s="292"/>
      <c r="F15" s="290"/>
    </row>
    <row r="16" spans="1:13" x14ac:dyDescent="0.2">
      <c r="A16" s="87"/>
      <c r="B16" s="88"/>
      <c r="C16" s="88"/>
      <c r="D16" s="94"/>
      <c r="E16" s="292"/>
      <c r="F16" s="290"/>
    </row>
    <row r="17" spans="1:7" x14ac:dyDescent="0.2">
      <c r="A17" s="87"/>
      <c r="B17" s="88"/>
      <c r="C17" s="88"/>
      <c r="D17" s="88">
        <f>SUM(D5:D16)</f>
        <v>30534</v>
      </c>
      <c r="E17" s="292"/>
      <c r="F17" s="290"/>
    </row>
    <row r="18" spans="1:7" x14ac:dyDescent="0.2">
      <c r="A18" s="87" t="s">
        <v>88</v>
      </c>
      <c r="B18" s="88"/>
      <c r="C18" s="88"/>
      <c r="D18" s="95">
        <f>+summary!P13</f>
        <v>7.42</v>
      </c>
      <c r="E18" s="294"/>
      <c r="F18" s="290"/>
    </row>
    <row r="19" spans="1:7" x14ac:dyDescent="0.2">
      <c r="A19" s="87"/>
      <c r="B19" s="88"/>
      <c r="C19" s="88"/>
      <c r="D19" s="96">
        <f>+D18*D17</f>
        <v>226562.28</v>
      </c>
      <c r="E19" s="209"/>
      <c r="F19" s="291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36860</v>
      </c>
      <c r="B21" s="88"/>
      <c r="C21" s="88"/>
      <c r="D21" s="386">
        <v>370218.8</v>
      </c>
      <c r="E21" s="209"/>
      <c r="F21" s="66"/>
    </row>
    <row r="22" spans="1:7" x14ac:dyDescent="0.2">
      <c r="A22" s="87"/>
      <c r="B22" s="88"/>
      <c r="C22" s="88"/>
      <c r="D22" s="351"/>
      <c r="E22" s="209"/>
      <c r="F22" s="66"/>
    </row>
    <row r="23" spans="1:7" ht="13.5" thickBot="1" x14ac:dyDescent="0.25">
      <c r="A23" s="99">
        <v>36869</v>
      </c>
      <c r="B23" s="88"/>
      <c r="C23" s="88"/>
      <c r="D23" s="98">
        <f>+D21+D19</f>
        <v>596781.07999999996</v>
      </c>
      <c r="E23" s="209"/>
      <c r="F23" s="66"/>
    </row>
    <row r="24" spans="1:7" ht="13.5" thickTop="1" x14ac:dyDescent="0.2">
      <c r="E24" s="295"/>
    </row>
    <row r="25" spans="1:7" x14ac:dyDescent="0.2">
      <c r="E25" s="295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6"/>
      <c r="E36" s="69"/>
      <c r="F36" s="70"/>
      <c r="G36" s="32"/>
    </row>
    <row r="37" spans="1:7" x14ac:dyDescent="0.2">
      <c r="B37" s="69"/>
      <c r="C37" s="69"/>
      <c r="D37" s="326"/>
      <c r="E37" s="69"/>
      <c r="F37" s="70"/>
      <c r="G37" s="32"/>
    </row>
    <row r="38" spans="1:7" x14ac:dyDescent="0.2">
      <c r="B38" s="69"/>
      <c r="C38" s="69"/>
      <c r="D38" s="326"/>
      <c r="E38" s="69"/>
      <c r="F38" s="70"/>
      <c r="G38" s="32"/>
    </row>
    <row r="39" spans="1:7" x14ac:dyDescent="0.2">
      <c r="B39" s="69"/>
      <c r="C39" s="69"/>
      <c r="D39" s="326"/>
      <c r="E39" s="69"/>
      <c r="F39" s="70"/>
      <c r="G39" s="32"/>
    </row>
    <row r="40" spans="1:7" x14ac:dyDescent="0.2">
      <c r="B40" s="69"/>
      <c r="C40" s="69">
        <v>300</v>
      </c>
      <c r="D40" s="326">
        <v>7.75</v>
      </c>
      <c r="E40" s="69">
        <f>+D40*C40</f>
        <v>2325</v>
      </c>
      <c r="F40" s="70"/>
      <c r="G40" s="32"/>
    </row>
    <row r="41" spans="1:7" x14ac:dyDescent="0.2">
      <c r="B41" s="69"/>
      <c r="C41" s="69">
        <v>300</v>
      </c>
      <c r="D41" s="326">
        <v>6.375</v>
      </c>
      <c r="E41" s="69">
        <f>+D41*C41</f>
        <v>1912.5</v>
      </c>
      <c r="F41" s="70"/>
      <c r="G41" s="32"/>
    </row>
    <row r="42" spans="1:7" x14ac:dyDescent="0.2">
      <c r="B42" s="69"/>
      <c r="C42" s="69">
        <v>400</v>
      </c>
      <c r="D42" s="326">
        <v>5</v>
      </c>
      <c r="E42" s="69">
        <f>+D42*C42</f>
        <v>2000</v>
      </c>
      <c r="F42" s="70"/>
      <c r="G42" s="32"/>
    </row>
    <row r="43" spans="1:7" x14ac:dyDescent="0.2">
      <c r="B43" s="69"/>
      <c r="C43" s="69">
        <f>SUM(C40:C42)</f>
        <v>1000</v>
      </c>
      <c r="D43" s="326">
        <f>+E43/C43</f>
        <v>6.2374999999999998</v>
      </c>
      <c r="E43" s="69">
        <f>SUM(E40:E42)</f>
        <v>6237.5</v>
      </c>
      <c r="F43" s="70"/>
      <c r="G43" s="32"/>
    </row>
    <row r="44" spans="1:7" x14ac:dyDescent="0.2">
      <c r="B44" s="69"/>
      <c r="C44" s="69">
        <v>1000</v>
      </c>
      <c r="D44" s="327"/>
      <c r="E44" s="292">
        <f>+D44*C44</f>
        <v>0</v>
      </c>
      <c r="F44" s="290"/>
      <c r="G44" s="206"/>
    </row>
    <row r="45" spans="1:7" x14ac:dyDescent="0.2">
      <c r="B45" s="69"/>
      <c r="C45" s="69"/>
      <c r="D45" s="327"/>
      <c r="E45" s="292"/>
      <c r="F45" s="290"/>
      <c r="G45" s="206"/>
    </row>
    <row r="46" spans="1:7" x14ac:dyDescent="0.2">
      <c r="A46" s="32"/>
      <c r="B46" s="69"/>
      <c r="C46" s="69"/>
      <c r="D46" s="292"/>
      <c r="E46" s="292"/>
      <c r="F46" s="290"/>
      <c r="G46" s="206"/>
    </row>
    <row r="47" spans="1:7" x14ac:dyDescent="0.2">
      <c r="A47" s="32"/>
      <c r="B47" s="69"/>
      <c r="C47" s="69"/>
      <c r="D47" s="294"/>
      <c r="E47" s="294"/>
      <c r="F47" s="290"/>
      <c r="G47" s="206"/>
    </row>
    <row r="48" spans="1:7" x14ac:dyDescent="0.2">
      <c r="B48" s="69"/>
      <c r="C48" s="69"/>
      <c r="D48" s="292"/>
      <c r="E48" s="292"/>
      <c r="F48" s="291"/>
      <c r="G48" s="206"/>
    </row>
    <row r="49" spans="1:7" x14ac:dyDescent="0.2">
      <c r="B49" s="69"/>
      <c r="C49" s="69"/>
      <c r="D49" s="292"/>
      <c r="E49" s="292"/>
      <c r="F49" s="291"/>
      <c r="G49" s="206"/>
    </row>
    <row r="50" spans="1:7" x14ac:dyDescent="0.2">
      <c r="D50" s="323"/>
      <c r="E50" s="323"/>
      <c r="F50" s="324"/>
      <c r="G50" s="325"/>
    </row>
    <row r="51" spans="1:7" x14ac:dyDescent="0.2">
      <c r="A51" s="32"/>
      <c r="D51" s="67"/>
      <c r="E51" s="67"/>
      <c r="F51" s="66"/>
    </row>
    <row r="52" spans="1:7" x14ac:dyDescent="0.2">
      <c r="A52" s="32"/>
      <c r="E52" s="63"/>
      <c r="F52" s="66"/>
    </row>
    <row r="53" spans="1:7" x14ac:dyDescent="0.2">
      <c r="A53" s="32"/>
      <c r="E53" s="63"/>
      <c r="F53" s="66"/>
    </row>
    <row r="54" spans="1:7" ht="13.5" thickBot="1" x14ac:dyDescent="0.25">
      <c r="A54" s="32"/>
      <c r="D54" s="68"/>
      <c r="E54" s="68"/>
      <c r="F54" s="66"/>
    </row>
    <row r="55" spans="1:7" ht="13.5" thickTop="1" x14ac:dyDescent="0.2">
      <c r="A55" s="32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30" workbookViewId="1">
      <selection activeCell="J38" sqref="J38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86575</v>
      </c>
      <c r="I10" s="11">
        <v>170091</v>
      </c>
      <c r="J10" s="11">
        <f t="shared" si="0"/>
        <v>80774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627992</v>
      </c>
      <c r="C35" s="11">
        <f t="shared" ref="C35:I35" si="1">SUM(C4:C34)</f>
        <v>618400</v>
      </c>
      <c r="D35" s="11">
        <f t="shared" si="1"/>
        <v>3386568</v>
      </c>
      <c r="E35" s="11">
        <f t="shared" si="1"/>
        <v>3381939</v>
      </c>
      <c r="F35" s="11">
        <f t="shared" si="1"/>
        <v>376782</v>
      </c>
      <c r="G35" s="11">
        <f t="shared" si="1"/>
        <v>426886</v>
      </c>
      <c r="H35" s="11">
        <f t="shared" si="1"/>
        <v>1336942</v>
      </c>
      <c r="I35" s="11">
        <f t="shared" si="1"/>
        <v>1360275</v>
      </c>
      <c r="J35" s="11">
        <f>SUM(J4:J34)</f>
        <v>59216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36869</v>
      </c>
      <c r="J40" s="36">
        <f>+J38+J35</f>
        <v>24855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19" workbookViewId="1">
      <selection activeCell="H40" sqref="H40:H41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4">
        <f>SUM(B3:B33)</f>
        <v>152760</v>
      </c>
      <c r="C34" s="304">
        <f>SUM(C3:C33)</f>
        <v>169452</v>
      </c>
      <c r="D34" s="14">
        <f>SUM(D3:D33)</f>
        <v>0</v>
      </c>
      <c r="E34" s="14">
        <f>SUM(E3:E33)</f>
        <v>0</v>
      </c>
      <c r="F34" s="14">
        <f>SUM(F3:F33)</f>
        <v>16692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">
      <c r="A38" s="267">
        <v>36869</v>
      </c>
      <c r="B38" s="14"/>
      <c r="C38" s="14"/>
      <c r="D38" s="14"/>
      <c r="E38" s="14"/>
      <c r="F38" s="24">
        <f>+F37+F34</f>
        <v>154081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D38" sqref="D38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452418</v>
      </c>
      <c r="C35" s="11">
        <f>SUM(C4:C34)</f>
        <v>459580</v>
      </c>
      <c r="D35" s="11">
        <f>SUM(D4:D34)</f>
        <v>7162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36860</v>
      </c>
      <c r="D38" s="246">
        <v>84016</v>
      </c>
    </row>
    <row r="39" spans="1:4" x14ac:dyDescent="0.2">
      <c r="A39" s="2"/>
      <c r="D39" s="24"/>
    </row>
    <row r="40" spans="1:4" x14ac:dyDescent="0.2">
      <c r="A40" s="57">
        <v>36869</v>
      </c>
      <c r="D40" s="36">
        <f>+D38+D35</f>
        <v>91178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J39" sqref="J3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243718</v>
      </c>
      <c r="C35" s="11">
        <f t="shared" ref="C35:I35" si="1">SUM(C4:C34)</f>
        <v>237947</v>
      </c>
      <c r="D35" s="11">
        <f t="shared" si="1"/>
        <v>93023</v>
      </c>
      <c r="E35" s="11">
        <f t="shared" si="1"/>
        <v>90250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-8544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+summary!P13</f>
        <v>7.42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-63396.479999999996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36860</v>
      </c>
      <c r="C39" s="25"/>
      <c r="E39" s="25"/>
      <c r="G39" s="25"/>
      <c r="I39" s="25"/>
      <c r="J39" s="383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137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36869</v>
      </c>
      <c r="J41" s="366">
        <f>+J39+J37</f>
        <v>-595826.07999999996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9" workbookViewId="1">
      <selection activeCell="D40" sqref="D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46575</v>
      </c>
      <c r="D8" s="24">
        <f t="shared" si="0"/>
        <v>263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60453</v>
      </c>
      <c r="D9" s="24">
        <f t="shared" si="0"/>
        <v>-1305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35000</v>
      </c>
      <c r="C14" s="24">
        <v>35835</v>
      </c>
      <c r="D14" s="24">
        <f t="shared" si="0"/>
        <v>835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0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459482</v>
      </c>
      <c r="C37" s="24">
        <f>SUM(C6:C36)+850+14+4-2000</f>
        <v>452973</v>
      </c>
      <c r="D37" s="24">
        <f>SUM(D6:D36)</f>
        <v>-5377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7.42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-39897.339999999997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81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36869</v>
      </c>
      <c r="B41" s="14"/>
      <c r="C41" s="14"/>
      <c r="D41" s="104">
        <f>+D40+D39</f>
        <v>151660.08000000002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26" workbookViewId="1">
      <selection activeCell="A42" sqref="A42"/>
    </sheetView>
  </sheetViews>
  <sheetFormatPr defaultRowHeight="12.75" x14ac:dyDescent="0.2"/>
  <sheetData>
    <row r="5" spans="1:6" ht="15" x14ac:dyDescent="0.25">
      <c r="A5" s="134"/>
      <c r="B5" s="34" t="s">
        <v>128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6" x14ac:dyDescent="0.2">
      <c r="A17" s="10">
        <v>10</v>
      </c>
      <c r="B17" s="11"/>
      <c r="C17" s="11"/>
      <c r="D17" s="11"/>
      <c r="E17" s="11"/>
      <c r="F17" s="25">
        <f t="shared" si="0"/>
        <v>0</v>
      </c>
    </row>
    <row r="18" spans="1:6" x14ac:dyDescent="0.2">
      <c r="A18" s="10">
        <v>11</v>
      </c>
      <c r="B18" s="11"/>
      <c r="C18" s="11"/>
      <c r="D18" s="11"/>
      <c r="E18" s="11"/>
      <c r="F18" s="25">
        <f t="shared" si="0"/>
        <v>0</v>
      </c>
    </row>
    <row r="19" spans="1:6" x14ac:dyDescent="0.2">
      <c r="A19" s="10">
        <v>12</v>
      </c>
      <c r="B19" s="11"/>
      <c r="C19" s="11"/>
      <c r="D19" s="11"/>
      <c r="E19" s="11"/>
      <c r="F19" s="25">
        <f t="shared" si="0"/>
        <v>0</v>
      </c>
    </row>
    <row r="20" spans="1:6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6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6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6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6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6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6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6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4">
        <f>+summary!P13</f>
        <v>7.42</v>
      </c>
    </row>
    <row r="41" spans="1:6" x14ac:dyDescent="0.2">
      <c r="F41" s="138">
        <f>+F40*F39</f>
        <v>0</v>
      </c>
    </row>
    <row r="42" spans="1:6" x14ac:dyDescent="0.2">
      <c r="A42" s="57">
        <v>36860</v>
      </c>
      <c r="C42" s="15"/>
      <c r="F42" s="380">
        <v>-282710.67</v>
      </c>
    </row>
    <row r="43" spans="1:6" x14ac:dyDescent="0.2">
      <c r="A43" s="57">
        <v>36869</v>
      </c>
      <c r="C43" s="48"/>
      <c r="F43" s="138">
        <f>+F42+F41</f>
        <v>-282710.67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D41" sqref="D4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">
      <c r="A9" s="10">
        <v>3</v>
      </c>
      <c r="B9" s="11">
        <v>173559</v>
      </c>
      <c r="C9" s="11">
        <v>172558</v>
      </c>
      <c r="D9" s="25">
        <f t="shared" ref="D9:D37" si="0">+C9-B9</f>
        <v>-1001</v>
      </c>
    </row>
    <row r="10" spans="1:4" x14ac:dyDescent="0.2">
      <c r="A10" s="10">
        <v>4</v>
      </c>
      <c r="B10" s="11">
        <v>188978</v>
      </c>
      <c r="C10" s="11">
        <v>195274</v>
      </c>
      <c r="D10" s="25">
        <f t="shared" si="0"/>
        <v>6296</v>
      </c>
    </row>
    <row r="11" spans="1:4" x14ac:dyDescent="0.2">
      <c r="A11" s="10">
        <v>5</v>
      </c>
      <c r="B11" s="11">
        <v>184605</v>
      </c>
      <c r="C11" s="11">
        <v>181847</v>
      </c>
      <c r="D11" s="25">
        <f t="shared" si="0"/>
        <v>-2758</v>
      </c>
    </row>
    <row r="12" spans="1:4" x14ac:dyDescent="0.2">
      <c r="A12" s="10">
        <v>6</v>
      </c>
      <c r="B12" s="11">
        <v>191169</v>
      </c>
      <c r="C12" s="11">
        <v>192336</v>
      </c>
      <c r="D12" s="25">
        <f t="shared" si="0"/>
        <v>1167</v>
      </c>
    </row>
    <row r="13" spans="1:4" x14ac:dyDescent="0.2">
      <c r="A13" s="10">
        <v>7</v>
      </c>
      <c r="B13" s="11">
        <v>213637</v>
      </c>
      <c r="C13" s="11">
        <v>217025</v>
      </c>
      <c r="D13" s="25">
        <f t="shared" si="0"/>
        <v>3388</v>
      </c>
    </row>
    <row r="14" spans="1:4" x14ac:dyDescent="0.2">
      <c r="A14" s="10">
        <v>8</v>
      </c>
      <c r="B14" s="11">
        <v>195649</v>
      </c>
      <c r="C14" s="11">
        <v>195210</v>
      </c>
      <c r="D14" s="25">
        <f t="shared" si="0"/>
        <v>-439</v>
      </c>
    </row>
    <row r="15" spans="1:4" x14ac:dyDescent="0.2">
      <c r="A15" s="10">
        <v>9</v>
      </c>
      <c r="B15" s="11">
        <v>198999</v>
      </c>
      <c r="C15" s="11">
        <v>197970</v>
      </c>
      <c r="D15" s="25">
        <f t="shared" si="0"/>
        <v>-1029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1697092</v>
      </c>
      <c r="C38" s="11">
        <f>SUM(C7:C37)</f>
        <v>1717114</v>
      </c>
      <c r="D38" s="11">
        <f>SUM(D7:D37)</f>
        <v>20022</v>
      </c>
    </row>
    <row r="39" spans="1:4" x14ac:dyDescent="0.2">
      <c r="A39" s="26"/>
      <c r="C39" s="14"/>
      <c r="D39" s="106">
        <f>+summary!P12</f>
        <v>7.31</v>
      </c>
    </row>
    <row r="40" spans="1:4" x14ac:dyDescent="0.2">
      <c r="D40" s="138">
        <f>+D39*D38</f>
        <v>146360.81999999998</v>
      </c>
    </row>
    <row r="41" spans="1:4" x14ac:dyDescent="0.2">
      <c r="A41" s="57">
        <v>36860</v>
      </c>
      <c r="C41" s="15"/>
      <c r="D41" s="362">
        <v>214357</v>
      </c>
    </row>
    <row r="42" spans="1:4" x14ac:dyDescent="0.2">
      <c r="A42" s="57">
        <v>36869</v>
      </c>
      <c r="D42" s="348">
        <f>+D41+D40</f>
        <v>360717.81999999995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F41" sqref="F41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43842</v>
      </c>
      <c r="C36" s="44">
        <f>SUM(C5:C35)</f>
        <v>0</v>
      </c>
      <c r="D36" s="43">
        <f>SUM(D5:D35)</f>
        <v>11698</v>
      </c>
      <c r="E36" s="44">
        <f>SUM(E5:E35)</f>
        <v>60000</v>
      </c>
      <c r="F36" s="11">
        <f>SUM(F5:F35)</f>
        <v>-4460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43842</v>
      </c>
      <c r="D37" s="24"/>
      <c r="E37" s="24">
        <f>+D36-E36</f>
        <v>-48302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36869</v>
      </c>
      <c r="C42" s="14"/>
      <c r="D42" s="50"/>
      <c r="E42" s="50"/>
      <c r="F42" s="51">
        <f>+F41+F36</f>
        <v>23821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workbookViewId="1">
      <selection activeCell="D38" sqref="D38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2499040</v>
      </c>
      <c r="C35" s="11">
        <f>SUM(C4:C34)</f>
        <v>2524087</v>
      </c>
      <c r="D35" s="11">
        <f>SUM(D4:D34)</f>
        <v>25047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36860</v>
      </c>
      <c r="D38" s="244">
        <v>160058</v>
      </c>
    </row>
    <row r="39" spans="1:30" x14ac:dyDescent="0.2">
      <c r="A39" s="12"/>
      <c r="D39" s="24"/>
    </row>
    <row r="40" spans="1:30" x14ac:dyDescent="0.2">
      <c r="A40" s="251">
        <v>36869</v>
      </c>
      <c r="D40" s="24">
        <f>+D38+D35</f>
        <v>185105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D38" sqref="D38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">
      <c r="A13" s="10">
        <v>10</v>
      </c>
      <c r="B13" s="11"/>
      <c r="C13" s="11"/>
      <c r="D13" s="25">
        <f t="shared" si="0"/>
        <v>0</v>
      </c>
      <c r="F13" s="10"/>
      <c r="G13" s="11"/>
      <c r="H13" s="11"/>
      <c r="I13" s="25"/>
    </row>
    <row r="14" spans="1:11" x14ac:dyDescent="0.2">
      <c r="A14" s="10">
        <v>11</v>
      </c>
      <c r="B14" s="11"/>
      <c r="C14" s="11"/>
      <c r="D14" s="25">
        <f t="shared" si="0"/>
        <v>0</v>
      </c>
      <c r="F14" s="10"/>
      <c r="G14" s="11"/>
      <c r="H14" s="11"/>
      <c r="I14" s="25"/>
    </row>
    <row r="15" spans="1:11" x14ac:dyDescent="0.2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6743464</v>
      </c>
      <c r="C35" s="11">
        <f>SUM(C4:C34)</f>
        <v>6726459</v>
      </c>
      <c r="D35" s="11">
        <f>SUM(D4:D34)</f>
        <v>-17005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36860</v>
      </c>
      <c r="D38" s="382">
        <v>85314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36869</v>
      </c>
      <c r="D40" s="36">
        <f>+D38+D35</f>
        <v>68309</v>
      </c>
      <c r="I40" s="24"/>
    </row>
    <row r="42" spans="1:45" x14ac:dyDescent="0.2"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1"/>
      <c r="AG43" s="330"/>
      <c r="AH43" s="330"/>
      <c r="AI43" s="332"/>
      <c r="AJ43" s="331"/>
      <c r="AK43" s="330"/>
      <c r="AL43" s="330"/>
      <c r="AM43" s="332"/>
      <c r="AN43" s="331"/>
      <c r="AO43" s="330"/>
      <c r="AP43" s="330"/>
      <c r="AQ43" s="330"/>
      <c r="AR43" s="330"/>
      <c r="AS43" s="330"/>
    </row>
    <row r="44" spans="1:45" x14ac:dyDescent="0.2">
      <c r="K44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3"/>
      <c r="AG45" s="333"/>
      <c r="AH45" s="330"/>
      <c r="AI45" s="334"/>
      <c r="AJ45" s="333"/>
      <c r="AK45" s="333"/>
      <c r="AL45" s="330"/>
      <c r="AM45" s="334"/>
      <c r="AN45" s="333"/>
      <c r="AO45" s="333"/>
      <c r="AP45" s="330"/>
      <c r="AQ45" s="330"/>
      <c r="AR45" s="330"/>
      <c r="AS45" s="330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5"/>
      <c r="AG46" s="335"/>
      <c r="AH46" s="336"/>
      <c r="AI46" s="337"/>
      <c r="AJ46" s="335"/>
      <c r="AK46" s="335"/>
      <c r="AL46" s="336"/>
      <c r="AM46" s="337"/>
      <c r="AN46" s="335"/>
      <c r="AO46" s="335"/>
      <c r="AP46" s="336"/>
      <c r="AQ46" s="330"/>
      <c r="AR46" s="330"/>
      <c r="AS46" s="330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5"/>
      <c r="AG47" s="335"/>
      <c r="AH47" s="336"/>
      <c r="AI47" s="337"/>
      <c r="AJ47" s="335"/>
      <c r="AK47" s="335"/>
      <c r="AL47" s="336"/>
      <c r="AM47" s="337"/>
      <c r="AN47" s="335"/>
      <c r="AO47" s="335"/>
      <c r="AP47" s="336"/>
      <c r="AQ47" s="330"/>
      <c r="AR47" s="330"/>
      <c r="AS47" s="330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5"/>
      <c r="AG48" s="335"/>
      <c r="AH48" s="336"/>
      <c r="AI48" s="337"/>
      <c r="AJ48" s="335"/>
      <c r="AK48" s="335"/>
      <c r="AL48" s="336"/>
      <c r="AM48" s="337"/>
      <c r="AN48" s="335"/>
      <c r="AO48" s="335"/>
      <c r="AP48" s="336"/>
      <c r="AQ48" s="330"/>
      <c r="AR48" s="330"/>
      <c r="AS48" s="330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5"/>
      <c r="AG49" s="335"/>
      <c r="AH49" s="336"/>
      <c r="AI49" s="337"/>
      <c r="AJ49" s="335"/>
      <c r="AK49" s="335"/>
      <c r="AL49" s="336"/>
      <c r="AM49" s="337"/>
      <c r="AN49" s="335"/>
      <c r="AO49" s="335"/>
      <c r="AP49" s="336"/>
      <c r="AQ49" s="330"/>
      <c r="AR49" s="330"/>
      <c r="AS49" s="330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5"/>
      <c r="AG50" s="335"/>
      <c r="AH50" s="336"/>
      <c r="AI50" s="337"/>
      <c r="AJ50" s="335"/>
      <c r="AK50" s="335"/>
      <c r="AL50" s="336"/>
      <c r="AM50" s="337"/>
      <c r="AN50" s="335"/>
      <c r="AO50" s="335"/>
      <c r="AP50" s="336"/>
      <c r="AQ50" s="330"/>
      <c r="AR50" s="330"/>
      <c r="AS50" s="330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5"/>
      <c r="AG51" s="335"/>
      <c r="AH51" s="336"/>
      <c r="AI51" s="337"/>
      <c r="AJ51" s="335"/>
      <c r="AK51" s="335"/>
      <c r="AL51" s="336"/>
      <c r="AM51" s="337"/>
      <c r="AN51" s="335"/>
      <c r="AO51" s="335"/>
      <c r="AP51" s="336"/>
      <c r="AQ51" s="330"/>
      <c r="AR51" s="330"/>
      <c r="AS51" s="330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5"/>
      <c r="AG52" s="335"/>
      <c r="AH52" s="336"/>
      <c r="AI52" s="337"/>
      <c r="AJ52" s="335"/>
      <c r="AK52" s="335"/>
      <c r="AL52" s="336"/>
      <c r="AM52" s="337"/>
      <c r="AN52" s="335"/>
      <c r="AO52" s="335"/>
      <c r="AP52" s="336"/>
      <c r="AQ52" s="330"/>
      <c r="AR52" s="330"/>
      <c r="AS52" s="330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5"/>
      <c r="AG53" s="335"/>
      <c r="AH53" s="336"/>
      <c r="AI53" s="337"/>
      <c r="AJ53" s="335"/>
      <c r="AK53" s="335"/>
      <c r="AL53" s="336"/>
      <c r="AM53" s="337"/>
      <c r="AN53" s="335"/>
      <c r="AO53" s="335"/>
      <c r="AP53" s="336"/>
      <c r="AQ53" s="330"/>
      <c r="AR53" s="330"/>
      <c r="AS53" s="330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5"/>
      <c r="AG54" s="335"/>
      <c r="AH54" s="336"/>
      <c r="AI54" s="337"/>
      <c r="AJ54" s="335"/>
      <c r="AK54" s="335"/>
      <c r="AL54" s="336"/>
      <c r="AM54" s="337"/>
      <c r="AN54" s="335"/>
      <c r="AO54" s="335"/>
      <c r="AP54" s="336"/>
      <c r="AQ54" s="330"/>
      <c r="AR54" s="330"/>
      <c r="AS54" s="330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5"/>
      <c r="AG55" s="335"/>
      <c r="AH55" s="336"/>
      <c r="AI55" s="337"/>
      <c r="AJ55" s="335"/>
      <c r="AK55" s="335"/>
      <c r="AL55" s="336"/>
      <c r="AM55" s="337"/>
      <c r="AN55" s="335"/>
      <c r="AO55" s="335"/>
      <c r="AP55" s="336"/>
      <c r="AQ55" s="330"/>
      <c r="AR55" s="330"/>
      <c r="AS55" s="330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5"/>
      <c r="AG56" s="335"/>
      <c r="AH56" s="336"/>
      <c r="AI56" s="337"/>
      <c r="AJ56" s="335"/>
      <c r="AK56" s="335"/>
      <c r="AL56" s="336"/>
      <c r="AM56" s="337"/>
      <c r="AN56" s="335"/>
      <c r="AO56" s="335"/>
      <c r="AP56" s="336"/>
      <c r="AQ56" s="330"/>
      <c r="AR56" s="330"/>
      <c r="AS56" s="330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5"/>
      <c r="AG57" s="335"/>
      <c r="AH57" s="336"/>
      <c r="AI57" s="337"/>
      <c r="AJ57" s="335"/>
      <c r="AK57" s="335"/>
      <c r="AL57" s="336"/>
      <c r="AM57" s="337"/>
      <c r="AN57" s="335"/>
      <c r="AO57" s="335"/>
      <c r="AP57" s="336"/>
      <c r="AQ57" s="330"/>
      <c r="AR57" s="330"/>
      <c r="AS57" s="330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5"/>
      <c r="AG58" s="335"/>
      <c r="AH58" s="336"/>
      <c r="AI58" s="337"/>
      <c r="AJ58" s="335"/>
      <c r="AK58" s="335"/>
      <c r="AL58" s="336"/>
      <c r="AM58" s="337"/>
      <c r="AN58" s="335"/>
      <c r="AO58" s="335"/>
      <c r="AP58" s="336"/>
      <c r="AQ58" s="330"/>
      <c r="AR58" s="330"/>
      <c r="AS58" s="330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5"/>
      <c r="AG59" s="335"/>
      <c r="AH59" s="336"/>
      <c r="AI59" s="337"/>
      <c r="AJ59" s="335"/>
      <c r="AK59" s="335"/>
      <c r="AL59" s="336"/>
      <c r="AM59" s="337"/>
      <c r="AN59" s="335"/>
      <c r="AO59" s="335"/>
      <c r="AP59" s="336"/>
      <c r="AQ59" s="330"/>
      <c r="AR59" s="330"/>
      <c r="AS59" s="330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5"/>
      <c r="AG60" s="335"/>
      <c r="AH60" s="336"/>
      <c r="AI60" s="337"/>
      <c r="AJ60" s="335"/>
      <c r="AK60" s="335"/>
      <c r="AL60" s="336"/>
      <c r="AM60" s="337"/>
      <c r="AN60" s="335"/>
      <c r="AO60" s="335"/>
      <c r="AP60" s="336"/>
      <c r="AQ60" s="330"/>
      <c r="AR60" s="330"/>
      <c r="AS60" s="330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5"/>
      <c r="AG61" s="335"/>
      <c r="AH61" s="336"/>
      <c r="AI61" s="337"/>
      <c r="AJ61" s="335"/>
      <c r="AK61" s="335"/>
      <c r="AL61" s="336"/>
      <c r="AM61" s="337"/>
      <c r="AN61" s="335"/>
      <c r="AO61" s="335"/>
      <c r="AP61" s="336"/>
      <c r="AQ61" s="330"/>
      <c r="AR61" s="330"/>
      <c r="AS61" s="330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5"/>
      <c r="AG62" s="335"/>
      <c r="AH62" s="336"/>
      <c r="AI62" s="337"/>
      <c r="AJ62" s="335"/>
      <c r="AK62" s="335"/>
      <c r="AL62" s="336"/>
      <c r="AM62" s="337"/>
      <c r="AN62" s="335"/>
      <c r="AO62" s="335"/>
      <c r="AP62" s="336"/>
      <c r="AQ62" s="330"/>
      <c r="AR62" s="330"/>
      <c r="AS62" s="330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5"/>
      <c r="AG63" s="335"/>
      <c r="AH63" s="336"/>
      <c r="AI63" s="337"/>
      <c r="AJ63" s="335"/>
      <c r="AK63" s="335"/>
      <c r="AL63" s="336"/>
      <c r="AM63" s="337"/>
      <c r="AN63" s="335"/>
      <c r="AO63" s="335"/>
      <c r="AP63" s="336"/>
      <c r="AQ63" s="330"/>
      <c r="AR63" s="330"/>
      <c r="AS63" s="330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5"/>
      <c r="AG64" s="335"/>
      <c r="AH64" s="336"/>
      <c r="AI64" s="337"/>
      <c r="AJ64" s="335"/>
      <c r="AK64" s="335"/>
      <c r="AL64" s="336"/>
      <c r="AM64" s="337"/>
      <c r="AN64" s="335"/>
      <c r="AO64" s="335"/>
      <c r="AP64" s="336"/>
      <c r="AQ64" s="330"/>
      <c r="AR64" s="330"/>
      <c r="AS64" s="330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5"/>
      <c r="AG65" s="335"/>
      <c r="AH65" s="336"/>
      <c r="AI65" s="337"/>
      <c r="AJ65" s="335"/>
      <c r="AK65" s="335"/>
      <c r="AL65" s="336"/>
      <c r="AM65" s="337"/>
      <c r="AN65" s="335"/>
      <c r="AO65" s="335"/>
      <c r="AP65" s="336"/>
      <c r="AQ65" s="330"/>
      <c r="AR65" s="330"/>
      <c r="AS65" s="330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5"/>
      <c r="AG66" s="335"/>
      <c r="AH66" s="336"/>
      <c r="AI66" s="337"/>
      <c r="AJ66" s="335"/>
      <c r="AK66" s="335"/>
      <c r="AL66" s="336"/>
      <c r="AM66" s="337"/>
      <c r="AN66" s="335"/>
      <c r="AO66" s="335"/>
      <c r="AP66" s="336"/>
      <c r="AQ66" s="330"/>
      <c r="AR66" s="330"/>
      <c r="AS66" s="330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5"/>
      <c r="AG67" s="335"/>
      <c r="AH67" s="336"/>
      <c r="AI67" s="337"/>
      <c r="AJ67" s="335"/>
      <c r="AK67" s="335"/>
      <c r="AL67" s="336"/>
      <c r="AM67" s="337"/>
      <c r="AN67" s="335"/>
      <c r="AO67" s="335"/>
      <c r="AP67" s="336"/>
      <c r="AQ67" s="330"/>
      <c r="AR67" s="330"/>
      <c r="AS67" s="330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5"/>
      <c r="AG68" s="335"/>
      <c r="AH68" s="336"/>
      <c r="AI68" s="337"/>
      <c r="AJ68" s="335"/>
      <c r="AK68" s="335"/>
      <c r="AL68" s="336"/>
      <c r="AM68" s="337"/>
      <c r="AN68" s="335"/>
      <c r="AO68" s="335"/>
      <c r="AP68" s="336"/>
      <c r="AQ68" s="330"/>
      <c r="AR68" s="330"/>
      <c r="AS68" s="330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5"/>
      <c r="AG69" s="335"/>
      <c r="AH69" s="336"/>
      <c r="AI69" s="337"/>
      <c r="AJ69" s="335"/>
      <c r="AK69" s="335"/>
      <c r="AL69" s="336"/>
      <c r="AM69" s="337"/>
      <c r="AN69" s="335"/>
      <c r="AO69" s="335"/>
      <c r="AP69" s="336"/>
      <c r="AQ69" s="330"/>
      <c r="AR69" s="330"/>
      <c r="AS69" s="330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5"/>
      <c r="AG70" s="335"/>
      <c r="AH70" s="336"/>
      <c r="AI70" s="337"/>
      <c r="AJ70" s="335"/>
      <c r="AK70" s="335"/>
      <c r="AL70" s="336"/>
      <c r="AM70" s="337"/>
      <c r="AN70" s="335"/>
      <c r="AO70" s="335"/>
      <c r="AP70" s="336"/>
      <c r="AQ70" s="330"/>
      <c r="AR70" s="330"/>
      <c r="AS70" s="330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5"/>
      <c r="AG71" s="335"/>
      <c r="AH71" s="336"/>
      <c r="AI71" s="337"/>
      <c r="AJ71" s="335"/>
      <c r="AK71" s="335"/>
      <c r="AL71" s="336"/>
      <c r="AM71" s="337"/>
      <c r="AN71" s="335"/>
      <c r="AO71" s="335"/>
      <c r="AP71" s="336"/>
      <c r="AQ71" s="330"/>
      <c r="AR71" s="330"/>
      <c r="AS71" s="330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5"/>
      <c r="AG72" s="335"/>
      <c r="AH72" s="336"/>
      <c r="AI72" s="337"/>
      <c r="AJ72" s="335"/>
      <c r="AK72" s="335"/>
      <c r="AL72" s="336"/>
      <c r="AM72" s="337"/>
      <c r="AN72" s="335"/>
      <c r="AO72" s="335"/>
      <c r="AP72" s="336"/>
      <c r="AQ72" s="330"/>
      <c r="AR72" s="330"/>
      <c r="AS72" s="330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5"/>
      <c r="AG73" s="335"/>
      <c r="AH73" s="336"/>
      <c r="AI73" s="337"/>
      <c r="AJ73" s="335"/>
      <c r="AK73" s="335"/>
      <c r="AL73" s="336"/>
      <c r="AM73" s="337"/>
      <c r="AN73" s="335"/>
      <c r="AO73" s="335"/>
      <c r="AP73" s="336"/>
      <c r="AQ73" s="330"/>
      <c r="AR73" s="330"/>
      <c r="AS73" s="330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5"/>
      <c r="AG74" s="335"/>
      <c r="AH74" s="336"/>
      <c r="AI74" s="337"/>
      <c r="AJ74" s="335"/>
      <c r="AK74" s="335"/>
      <c r="AL74" s="336"/>
      <c r="AM74" s="337"/>
      <c r="AN74" s="335"/>
      <c r="AO74" s="335"/>
      <c r="AP74" s="336"/>
      <c r="AQ74" s="330"/>
      <c r="AR74" s="330"/>
      <c r="AS74" s="330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5"/>
      <c r="AG75" s="335"/>
      <c r="AH75" s="336"/>
      <c r="AI75" s="337"/>
      <c r="AJ75" s="335"/>
      <c r="AK75" s="335"/>
      <c r="AL75" s="336"/>
      <c r="AM75" s="337"/>
      <c r="AN75" s="335"/>
      <c r="AO75" s="335"/>
      <c r="AP75" s="336"/>
      <c r="AQ75" s="330"/>
      <c r="AR75" s="330"/>
      <c r="AS75" s="330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5"/>
      <c r="AG76" s="335"/>
      <c r="AH76" s="336"/>
      <c r="AI76" s="337"/>
      <c r="AJ76" s="335"/>
      <c r="AK76" s="335"/>
      <c r="AL76" s="336"/>
      <c r="AM76" s="337"/>
      <c r="AN76" s="335"/>
      <c r="AO76" s="335"/>
      <c r="AP76" s="336"/>
      <c r="AQ76" s="330"/>
      <c r="AR76" s="330"/>
      <c r="AS76" s="330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5"/>
      <c r="AG77" s="335"/>
      <c r="AH77" s="335"/>
      <c r="AI77" s="337"/>
      <c r="AJ77" s="335"/>
      <c r="AK77" s="335"/>
      <c r="AL77" s="335"/>
      <c r="AM77" s="337"/>
      <c r="AN77" s="335"/>
      <c r="AO77" s="335"/>
      <c r="AP77" s="335"/>
      <c r="AQ77" s="330"/>
      <c r="AR77" s="330"/>
      <c r="AS77" s="330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30"/>
      <c r="AG78" s="336"/>
      <c r="AH78" s="338"/>
      <c r="AI78" s="339"/>
      <c r="AJ78" s="330"/>
      <c r="AK78" s="336"/>
      <c r="AL78" s="338"/>
      <c r="AM78" s="339"/>
      <c r="AN78" s="330"/>
      <c r="AO78" s="336"/>
      <c r="AP78" s="338"/>
      <c r="AQ78" s="330"/>
      <c r="AR78" s="330"/>
      <c r="AS78" s="330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30"/>
      <c r="AG79" s="330"/>
      <c r="AH79" s="340"/>
      <c r="AI79" s="330"/>
      <c r="AJ79" s="330"/>
      <c r="AK79" s="330"/>
      <c r="AL79" s="340"/>
      <c r="AM79" s="330"/>
      <c r="AN79" s="330"/>
      <c r="AO79" s="330"/>
      <c r="AP79" s="340"/>
      <c r="AQ79" s="330"/>
      <c r="AR79" s="330"/>
      <c r="AS79" s="330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30"/>
      <c r="AG80" s="330"/>
      <c r="AH80" s="340"/>
      <c r="AI80" s="341"/>
      <c r="AJ80" s="330"/>
      <c r="AK80" s="330"/>
      <c r="AL80" s="340"/>
      <c r="AM80" s="341"/>
      <c r="AN80" s="330"/>
      <c r="AO80" s="330"/>
      <c r="AP80" s="340"/>
      <c r="AQ80" s="330"/>
      <c r="AR80" s="330"/>
      <c r="AS80" s="330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30"/>
      <c r="AG81" s="330"/>
      <c r="AH81" s="340"/>
      <c r="AI81" s="338"/>
      <c r="AJ81" s="330"/>
      <c r="AK81" s="330"/>
      <c r="AL81" s="340"/>
      <c r="AM81" s="338"/>
      <c r="AN81" s="330"/>
      <c r="AO81" s="330"/>
      <c r="AP81" s="340"/>
      <c r="AQ81" s="330"/>
      <c r="AR81" s="330"/>
      <c r="AS81" s="330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30"/>
      <c r="AG82" s="330"/>
      <c r="AH82" s="340"/>
      <c r="AI82" s="341"/>
      <c r="AJ82" s="330"/>
      <c r="AK82" s="330"/>
      <c r="AL82" s="340"/>
      <c r="AM82" s="341"/>
      <c r="AN82" s="330"/>
      <c r="AO82" s="330"/>
      <c r="AP82" s="340"/>
      <c r="AQ82" s="330"/>
      <c r="AR82" s="330"/>
      <c r="AS82" s="330"/>
    </row>
    <row r="83" spans="4:45" x14ac:dyDescent="0.2">
      <c r="AE83" s="32"/>
      <c r="AF83" s="330"/>
      <c r="AG83" s="330"/>
      <c r="AH83" s="330"/>
      <c r="AI83" s="330"/>
      <c r="AJ83" s="330"/>
      <c r="AK83" s="330"/>
      <c r="AL83" s="330"/>
      <c r="AM83" s="330"/>
      <c r="AN83" s="330"/>
      <c r="AO83" s="330"/>
      <c r="AP83" s="330"/>
      <c r="AQ83" s="330"/>
      <c r="AR83" s="330"/>
      <c r="AS83" s="330"/>
    </row>
    <row r="84" spans="4:45" x14ac:dyDescent="0.2">
      <c r="AE84" s="32"/>
      <c r="AF84" s="330"/>
      <c r="AG84" s="330"/>
      <c r="AH84" s="330"/>
      <c r="AI84" s="330"/>
      <c r="AJ84" s="330"/>
      <c r="AK84" s="330"/>
      <c r="AL84" s="330"/>
      <c r="AM84" s="330"/>
      <c r="AN84" s="330"/>
      <c r="AO84" s="330"/>
      <c r="AP84" s="330"/>
      <c r="AQ84" s="330"/>
      <c r="AR84" s="330"/>
      <c r="AS84" s="330"/>
    </row>
    <row r="85" spans="4:45" x14ac:dyDescent="0.2">
      <c r="AF85" s="330"/>
      <c r="AG85" s="330"/>
      <c r="AH85" s="330"/>
      <c r="AI85" s="330"/>
      <c r="AJ85" s="330"/>
      <c r="AK85" s="330"/>
      <c r="AL85" s="330"/>
      <c r="AM85" s="330"/>
      <c r="AN85" s="330"/>
      <c r="AO85" s="330"/>
      <c r="AP85" s="330"/>
      <c r="AQ85" s="330"/>
      <c r="AR85" s="330"/>
      <c r="AS85" s="330"/>
    </row>
    <row r="86" spans="4:45" x14ac:dyDescent="0.2">
      <c r="AF86" s="330"/>
      <c r="AG86" s="330"/>
      <c r="AH86" s="330"/>
      <c r="AI86" s="330"/>
      <c r="AJ86" s="330"/>
      <c r="AK86" s="330"/>
      <c r="AL86" s="330"/>
      <c r="AM86" s="330"/>
      <c r="AN86" s="330"/>
      <c r="AO86" s="330"/>
      <c r="AP86" s="330"/>
      <c r="AQ86" s="330"/>
      <c r="AR86" s="330"/>
      <c r="AS86" s="330"/>
    </row>
    <row r="87" spans="4:45" x14ac:dyDescent="0.2">
      <c r="AF87" s="330"/>
      <c r="AG87" s="330"/>
      <c r="AH87" s="330"/>
      <c r="AI87" s="330"/>
      <c r="AJ87" s="330"/>
      <c r="AK87" s="330"/>
      <c r="AL87" s="330"/>
      <c r="AM87" s="330"/>
      <c r="AN87" s="330"/>
      <c r="AO87" s="330"/>
      <c r="AP87" s="330"/>
      <c r="AQ87" s="330"/>
      <c r="AR87" s="330"/>
      <c r="AS87" s="330"/>
    </row>
    <row r="88" spans="4:45" x14ac:dyDescent="0.2">
      <c r="AF88" s="330"/>
      <c r="AG88" s="330"/>
      <c r="AH88" s="330"/>
      <c r="AI88" s="330"/>
      <c r="AJ88" s="330"/>
      <c r="AK88" s="330"/>
      <c r="AL88" s="330"/>
      <c r="AM88" s="330"/>
      <c r="AN88" s="330"/>
      <c r="AO88" s="330"/>
      <c r="AP88" s="330"/>
      <c r="AQ88" s="330"/>
      <c r="AR88" s="330"/>
      <c r="AS88" s="330"/>
    </row>
    <row r="89" spans="4:45" x14ac:dyDescent="0.2">
      <c r="AF89" s="330"/>
      <c r="AG89" s="330"/>
      <c r="AH89" s="330"/>
      <c r="AI89" s="330"/>
      <c r="AJ89" s="330"/>
      <c r="AK89" s="330"/>
      <c r="AL89" s="330"/>
      <c r="AM89" s="330"/>
      <c r="AN89" s="330"/>
      <c r="AO89" s="330"/>
      <c r="AP89" s="330"/>
      <c r="AQ89" s="330"/>
      <c r="AR89" s="330"/>
      <c r="AS89" s="330"/>
    </row>
    <row r="90" spans="4:45" x14ac:dyDescent="0.2">
      <c r="AF90" s="330"/>
      <c r="AG90" s="330"/>
      <c r="AH90" s="330"/>
      <c r="AI90" s="330"/>
      <c r="AJ90" s="330"/>
      <c r="AK90" s="330"/>
      <c r="AL90" s="330"/>
      <c r="AM90" s="330"/>
      <c r="AN90" s="330"/>
      <c r="AO90" s="330"/>
      <c r="AP90" s="330"/>
      <c r="AQ90" s="330"/>
      <c r="AR90" s="330"/>
      <c r="AS90" s="330"/>
    </row>
    <row r="91" spans="4:45" x14ac:dyDescent="0.2">
      <c r="AF91" s="330"/>
      <c r="AG91" s="330"/>
      <c r="AH91" s="330"/>
      <c r="AI91" s="330"/>
      <c r="AJ91" s="330"/>
      <c r="AK91" s="330"/>
      <c r="AL91" s="330"/>
      <c r="AM91" s="330"/>
      <c r="AN91" s="330"/>
      <c r="AO91" s="330"/>
      <c r="AP91" s="330"/>
      <c r="AQ91" s="330"/>
      <c r="AR91" s="330"/>
      <c r="AS91" s="330"/>
    </row>
    <row r="92" spans="4:45" x14ac:dyDescent="0.2"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  <c r="AP92" s="330"/>
      <c r="AQ92" s="330"/>
      <c r="AR92" s="330"/>
      <c r="AS92" s="330"/>
    </row>
    <row r="93" spans="4:45" x14ac:dyDescent="0.2">
      <c r="AF93" s="330"/>
      <c r="AG93" s="330"/>
      <c r="AH93" s="330"/>
      <c r="AI93" s="330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</row>
    <row r="94" spans="4:45" x14ac:dyDescent="0.2"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</row>
    <row r="95" spans="4:45" x14ac:dyDescent="0.2">
      <c r="AF95" s="330"/>
      <c r="AG95" s="330"/>
      <c r="AH95" s="330"/>
      <c r="AI95" s="330"/>
      <c r="AJ95" s="330"/>
      <c r="AK95" s="330"/>
      <c r="AL95" s="330"/>
      <c r="AM95" s="330"/>
      <c r="AN95" s="330"/>
      <c r="AO95" s="330"/>
      <c r="AP95" s="330"/>
      <c r="AQ95" s="330"/>
      <c r="AR95" s="330"/>
      <c r="AS95" s="330"/>
    </row>
    <row r="96" spans="4:45" x14ac:dyDescent="0.2">
      <c r="AF96" s="330"/>
      <c r="AG96" s="330"/>
      <c r="AH96" s="330"/>
      <c r="AI96" s="330"/>
      <c r="AJ96" s="330"/>
      <c r="AK96" s="330"/>
      <c r="AL96" s="330"/>
      <c r="AM96" s="330"/>
      <c r="AN96" s="330"/>
      <c r="AO96" s="330"/>
      <c r="AP96" s="330"/>
      <c r="AQ96" s="330"/>
      <c r="AR96" s="330"/>
      <c r="AS96" s="330"/>
    </row>
    <row r="97" spans="32:45" x14ac:dyDescent="0.2">
      <c r="AF97" s="330"/>
      <c r="AG97" s="330"/>
      <c r="AH97" s="330"/>
      <c r="AI97" s="330"/>
      <c r="AJ97" s="330"/>
      <c r="AK97" s="330"/>
      <c r="AL97" s="330"/>
      <c r="AM97" s="330"/>
      <c r="AN97" s="330"/>
      <c r="AO97" s="330"/>
      <c r="AP97" s="330"/>
      <c r="AQ97" s="330"/>
      <c r="AR97" s="330"/>
      <c r="AS97" s="330"/>
    </row>
    <row r="98" spans="32:45" x14ac:dyDescent="0.2">
      <c r="AF98" s="330"/>
      <c r="AG98" s="330"/>
      <c r="AH98" s="330"/>
      <c r="AI98" s="330"/>
      <c r="AJ98" s="330"/>
      <c r="AK98" s="330"/>
      <c r="AL98" s="330"/>
      <c r="AM98" s="330"/>
      <c r="AN98" s="330"/>
      <c r="AO98" s="330"/>
      <c r="AP98" s="330"/>
      <c r="AQ98" s="330"/>
      <c r="AR98" s="330"/>
      <c r="AS98" s="330"/>
    </row>
    <row r="99" spans="32:45" x14ac:dyDescent="0.2">
      <c r="AF99" s="330"/>
      <c r="AG99" s="330"/>
      <c r="AH99" s="330"/>
      <c r="AI99" s="330"/>
      <c r="AJ99" s="330"/>
      <c r="AK99" s="330"/>
      <c r="AL99" s="330"/>
      <c r="AM99" s="330"/>
      <c r="AN99" s="330"/>
      <c r="AO99" s="330"/>
      <c r="AP99" s="330"/>
      <c r="AQ99" s="330"/>
      <c r="AR99" s="330"/>
      <c r="AS99" s="330"/>
    </row>
    <row r="100" spans="32:45" x14ac:dyDescent="0.2">
      <c r="AF100" s="330"/>
      <c r="AG100" s="330"/>
      <c r="AH100" s="330"/>
      <c r="AI100" s="330"/>
      <c r="AJ100" s="330"/>
      <c r="AK100" s="330"/>
      <c r="AL100" s="330"/>
      <c r="AM100" s="330"/>
      <c r="AN100" s="330"/>
      <c r="AO100" s="330"/>
      <c r="AP100" s="330"/>
      <c r="AQ100" s="330"/>
      <c r="AR100" s="330"/>
      <c r="AS100" s="330"/>
    </row>
    <row r="101" spans="32:45" x14ac:dyDescent="0.2">
      <c r="AF101" s="330"/>
      <c r="AG101" s="330"/>
      <c r="AH101" s="330"/>
      <c r="AI101" s="330"/>
      <c r="AJ101" s="330"/>
      <c r="AK101" s="330"/>
      <c r="AL101" s="330"/>
      <c r="AM101" s="330"/>
      <c r="AN101" s="330"/>
      <c r="AO101" s="330"/>
      <c r="AP101" s="330"/>
      <c r="AQ101" s="330"/>
      <c r="AR101" s="330"/>
      <c r="AS101" s="330"/>
    </row>
    <row r="102" spans="32:45" x14ac:dyDescent="0.2">
      <c r="AF102" s="330"/>
      <c r="AG102" s="330"/>
      <c r="AH102" s="330"/>
      <c r="AI102" s="330"/>
      <c r="AJ102" s="330"/>
      <c r="AK102" s="330"/>
      <c r="AL102" s="330"/>
      <c r="AM102" s="330"/>
      <c r="AN102" s="330"/>
      <c r="AO102" s="330"/>
      <c r="AP102" s="330"/>
      <c r="AQ102" s="330"/>
      <c r="AR102" s="330"/>
      <c r="AS102" s="330"/>
    </row>
    <row r="103" spans="32:45" x14ac:dyDescent="0.2">
      <c r="AF103" s="330"/>
      <c r="AG103" s="330"/>
      <c r="AH103" s="330"/>
      <c r="AI103" s="330"/>
      <c r="AJ103" s="330"/>
      <c r="AK103" s="330"/>
      <c r="AL103" s="330"/>
      <c r="AM103" s="330"/>
      <c r="AN103" s="330"/>
      <c r="AO103" s="330"/>
      <c r="AP103" s="330"/>
      <c r="AQ103" s="330"/>
      <c r="AR103" s="330"/>
      <c r="AS103" s="330"/>
    </row>
    <row r="104" spans="32:45" x14ac:dyDescent="0.2"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</row>
    <row r="105" spans="32:45" x14ac:dyDescent="0.2">
      <c r="AF105" s="330"/>
      <c r="AG105" s="330"/>
      <c r="AH105" s="330"/>
      <c r="AI105" s="330"/>
      <c r="AJ105" s="330"/>
      <c r="AK105" s="330"/>
      <c r="AL105" s="330"/>
      <c r="AM105" s="330"/>
      <c r="AN105" s="330"/>
      <c r="AO105" s="330"/>
      <c r="AP105" s="330"/>
      <c r="AQ105" s="330"/>
      <c r="AR105" s="330"/>
      <c r="AS105" s="33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topLeftCell="A13" workbookViewId="1">
      <selection activeCell="H38" sqref="H38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182690</v>
      </c>
      <c r="C35" s="44">
        <f t="shared" si="1"/>
        <v>70933</v>
      </c>
      <c r="D35" s="11">
        <f t="shared" si="1"/>
        <v>0</v>
      </c>
      <c r="E35" s="44">
        <f t="shared" si="1"/>
        <v>112614</v>
      </c>
      <c r="F35" s="11">
        <f t="shared" si="1"/>
        <v>0</v>
      </c>
      <c r="G35" s="11">
        <f t="shared" si="1"/>
        <v>0</v>
      </c>
      <c r="H35" s="11">
        <f t="shared" si="1"/>
        <v>-857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7.42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-6358.94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80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36869</v>
      </c>
      <c r="F39" s="47"/>
      <c r="G39" s="47"/>
      <c r="H39" s="137">
        <f>+H38+H37</f>
        <v>18017.740000000002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workbookViewId="1">
      <selection activeCell="E37" sqref="E37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10.140625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321780</v>
      </c>
      <c r="E7" s="369">
        <f>321777+3</f>
        <v>321780</v>
      </c>
      <c r="F7" s="11"/>
      <c r="G7" s="11"/>
      <c r="H7" s="24">
        <f t="shared" si="0"/>
        <v>0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36</v>
      </c>
      <c r="C36" s="11">
        <f t="shared" si="15"/>
        <v>0</v>
      </c>
      <c r="D36" s="11">
        <f t="shared" si="15"/>
        <v>2825719</v>
      </c>
      <c r="E36" s="11">
        <f t="shared" si="15"/>
        <v>2797252</v>
      </c>
      <c r="F36" s="11">
        <f t="shared" si="15"/>
        <v>0</v>
      </c>
      <c r="G36" s="11">
        <f t="shared" si="15"/>
        <v>0</v>
      </c>
      <c r="H36" s="11">
        <f t="shared" si="15"/>
        <v>28431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36860</v>
      </c>
      <c r="B37" s="2" t="s">
        <v>49</v>
      </c>
      <c r="C37" s="377">
        <v>-7085</v>
      </c>
      <c r="D37" s="361"/>
      <c r="E37" s="363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36869</v>
      </c>
      <c r="B38" s="2" t="s">
        <v>49</v>
      </c>
      <c r="C38" s="131">
        <f>+C37+C36-B36</f>
        <v>-7121</v>
      </c>
      <c r="D38" s="262"/>
      <c r="E38" s="131">
        <f>+E37+D36-E36</f>
        <v>245690</v>
      </c>
      <c r="F38" s="262"/>
      <c r="G38" s="131"/>
      <c r="H38" s="131">
        <f>+H37+H36</f>
        <v>238569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1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4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80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80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80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80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80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80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D39" sqref="D39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858642</v>
      </c>
      <c r="C37" s="11">
        <f>SUM(C6:C36)</f>
        <v>841489</v>
      </c>
      <c r="D37" s="11">
        <f>SUM(D6:D36)</f>
        <v>-17153</v>
      </c>
      <c r="E37" s="10"/>
      <c r="F37" s="11"/>
      <c r="G37" s="11"/>
      <c r="H37" s="129"/>
      <c r="I37" s="274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5"/>
      <c r="J38" s="252"/>
      <c r="K38" s="276"/>
      <c r="L38" s="252"/>
      <c r="M38" s="26"/>
      <c r="O38" s="14"/>
    </row>
    <row r="39" spans="1:16" x14ac:dyDescent="0.2">
      <c r="A39" s="57">
        <v>36860</v>
      </c>
      <c r="C39" s="15"/>
      <c r="D39" s="244">
        <v>-15891</v>
      </c>
      <c r="E39" s="57"/>
      <c r="G39" s="15"/>
      <c r="H39" s="51"/>
      <c r="I39" s="277"/>
      <c r="J39" s="252"/>
      <c r="K39" s="278"/>
      <c r="L39" s="51"/>
      <c r="M39" s="57"/>
      <c r="O39" s="15"/>
      <c r="P39" s="24"/>
    </row>
    <row r="40" spans="1:16" x14ac:dyDescent="0.2">
      <c r="A40" s="57">
        <v>36869</v>
      </c>
      <c r="C40" s="48"/>
      <c r="D40" s="25">
        <f>+D39+D37</f>
        <v>-33044</v>
      </c>
      <c r="E40" s="57"/>
      <c r="G40" s="48"/>
      <c r="H40" s="131"/>
      <c r="I40" s="277"/>
      <c r="J40" s="252"/>
      <c r="K40" s="279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topLeftCell="A24" workbookViewId="1">
      <selection activeCell="D46" sqref="D4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7"/>
      <c r="H6" s="286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80"/>
      <c r="H7" s="285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80"/>
      <c r="H8" s="285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80"/>
      <c r="H9" s="285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80"/>
      <c r="H10" s="285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8"/>
      <c r="H11" s="285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5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5"/>
      <c r="H13" s="285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5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5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5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/>
      <c r="C17" s="11"/>
      <c r="D17" s="11">
        <f t="shared" si="0"/>
        <v>0</v>
      </c>
      <c r="E17" s="143"/>
      <c r="F17" s="139"/>
      <c r="G17" s="285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83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55</v>
      </c>
      <c r="B25" s="11"/>
      <c r="C25" s="11"/>
      <c r="D25" s="11">
        <f t="shared" si="0"/>
        <v>0</v>
      </c>
      <c r="E25" s="346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1385665</v>
      </c>
      <c r="C39" s="150">
        <f>SUM(C8:C38)</f>
        <v>1382986</v>
      </c>
      <c r="D39" s="152">
        <f>SUM(D8:D38)</f>
        <v>-2679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+summary!P12</f>
        <v>7.31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-19583.489999999998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36860</v>
      </c>
      <c r="C42" s="153"/>
      <c r="D42" s="343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36869</v>
      </c>
      <c r="C43" s="142"/>
      <c r="D43" s="253">
        <f>+D42+D41</f>
        <v>-39049.71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>
        <f>2425*5.33</f>
        <v>12925.25</v>
      </c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91">
        <f>+D45-13022.25</f>
        <v>-97</v>
      </c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60</v>
      </c>
      <c r="B80" s="157"/>
      <c r="C80" s="154"/>
      <c r="D80" s="142"/>
      <c r="E80" s="144"/>
      <c r="F80" s="144"/>
    </row>
    <row r="81" spans="1:9" x14ac:dyDescent="0.2">
      <c r="A81" s="161" t="s">
        <v>61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50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60</v>
      </c>
      <c r="B119" s="157"/>
      <c r="C119" s="154"/>
      <c r="D119" s="142"/>
      <c r="E119" s="144"/>
      <c r="F119" s="112"/>
    </row>
    <row r="120" spans="1:9" x14ac:dyDescent="0.2">
      <c r="A120" s="161" t="s">
        <v>61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">
      <c r="B167" s="187">
        <v>-300000</v>
      </c>
      <c r="C167" s="181">
        <v>-450000</v>
      </c>
      <c r="D167" s="34" t="s">
        <v>69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19</vt:i4>
      </vt:variant>
    </vt:vector>
  </HeadingPairs>
  <TitlesOfParts>
    <vt:vector size="44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2000-12-11T18:09:51Z</cp:lastPrinted>
  <dcterms:created xsi:type="dcterms:W3CDTF">2000-03-28T16:52:23Z</dcterms:created>
  <dcterms:modified xsi:type="dcterms:W3CDTF">2014-09-05T10:01:10Z</dcterms:modified>
</cp:coreProperties>
</file>