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599"/>
    <workbookView xWindow="360" yWindow="90" windowWidth="11340" windowHeight="6795" tabRatio="895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mewborne" sheetId="17" r:id="rId16"/>
    <sheet name="Amoco Abo" sheetId="18" r:id="rId17"/>
    <sheet name="NNG" sheetId="65" r:id="rId18"/>
    <sheet name="PNM" sheetId="64" r:id="rId19"/>
    <sheet name="NGPL" sheetId="67" r:id="rId20"/>
    <sheet name="Mojave" sheetId="68" r:id="rId21"/>
    <sheet name="EOG" sheetId="70" r:id="rId22"/>
    <sheet name="KN_Westar" sheetId="22" r:id="rId23"/>
    <sheet name="Continental" sheetId="71" r:id="rId24"/>
    <sheet name="CIG" sheetId="72" r:id="rId25"/>
    <sheet name="GPM" sheetId="73" r:id="rId26"/>
    <sheet name="burlington" sheetId="69" r:id="rId27"/>
  </sheets>
  <externalReferences>
    <externalReference r:id="rId28"/>
    <externalReference r:id="rId29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6">'Amoco Abo'!$M$5:$P$43</definedName>
    <definedName name="_xlnm.Print_Area" localSheetId="10">Conoco!$A$1:$F$41</definedName>
    <definedName name="_xlnm.Print_Area" localSheetId="14">Duke!$A$2:$C$62</definedName>
    <definedName name="_xlnm.Print_Area" localSheetId="6">'El Paso'!$A$2:$H$38</definedName>
    <definedName name="_xlnm.Print_Area" localSheetId="21">EOG!$A$1:$J$41</definedName>
    <definedName name="_xlnm.Print_Area" localSheetId="25">GPM!$A$1:$F$50</definedName>
    <definedName name="_xlnm.Print_Area" localSheetId="22">KN_Westar!$AD$2:$AI$51</definedName>
    <definedName name="_xlnm.Print_Area" localSheetId="2">Lonestar!$A$2:$F$42</definedName>
    <definedName name="_xlnm.Print_Area" localSheetId="15">mewborne!$A$5:$J$43</definedName>
    <definedName name="_xlnm.Print_Area" localSheetId="20">Mojave!$A$1:$D$40</definedName>
    <definedName name="_xlnm.Print_Area" localSheetId="17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B7" i="8"/>
  <c r="D7" i="8" s="1"/>
  <c r="D18" i="8" s="1"/>
  <c r="D8" i="8"/>
  <c r="D9" i="8"/>
  <c r="D10" i="8"/>
  <c r="D11" i="8"/>
  <c r="D12" i="8"/>
  <c r="D13" i="8"/>
  <c r="D14" i="8"/>
  <c r="D15" i="8"/>
  <c r="D16" i="8"/>
  <c r="D17" i="8"/>
  <c r="D6" i="12"/>
  <c r="D37" i="12" s="1"/>
  <c r="D40" i="12" s="1"/>
  <c r="C33" i="63" s="1"/>
  <c r="B33" i="63" s="1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8" i="18"/>
  <c r="D9" i="18"/>
  <c r="D10" i="18"/>
  <c r="D39" i="18" s="1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7" i="69"/>
  <c r="D38" i="69" s="1"/>
  <c r="D40" i="69" s="1"/>
  <c r="D42" i="69" s="1"/>
  <c r="B20" i="63" s="1"/>
  <c r="C20" i="63" s="1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9" i="69"/>
  <c r="D8" i="72"/>
  <c r="D39" i="72" s="1"/>
  <c r="D9" i="72"/>
  <c r="D10" i="72"/>
  <c r="D11" i="72"/>
  <c r="C12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C36" i="13" s="1"/>
  <c r="D35" i="13"/>
  <c r="E35" i="13"/>
  <c r="F35" i="13" s="1"/>
  <c r="F40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B10" i="20"/>
  <c r="B11" i="20"/>
  <c r="B16" i="20" s="1"/>
  <c r="B12" i="20"/>
  <c r="B13" i="20"/>
  <c r="B14" i="20"/>
  <c r="B15" i="20"/>
  <c r="B29" i="20"/>
  <c r="B44" i="20"/>
  <c r="H5" i="11"/>
  <c r="H6" i="11"/>
  <c r="E7" i="11"/>
  <c r="H7" i="11"/>
  <c r="E8" i="11"/>
  <c r="H8" i="11" s="1"/>
  <c r="H36" i="11" s="1"/>
  <c r="H38" i="11" s="1"/>
  <c r="C12" i="63" s="1"/>
  <c r="AB8" i="11"/>
  <c r="AN8" i="11" s="1"/>
  <c r="AC8" i="11"/>
  <c r="AF8" i="11"/>
  <c r="AI8" i="11"/>
  <c r="AL8" i="11"/>
  <c r="AM8" i="11"/>
  <c r="AO8" i="11"/>
  <c r="AP8" i="11"/>
  <c r="E9" i="11"/>
  <c r="E36" i="11" s="1"/>
  <c r="E38" i="11" s="1"/>
  <c r="H9" i="11"/>
  <c r="AC9" i="11"/>
  <c r="AF9" i="11"/>
  <c r="AI9" i="11"/>
  <c r="AL9" i="11"/>
  <c r="AM9" i="11"/>
  <c r="AN9" i="11"/>
  <c r="AO9" i="11"/>
  <c r="AP9" i="11"/>
  <c r="E10" i="11"/>
  <c r="H10" i="11" s="1"/>
  <c r="AC10" i="11"/>
  <c r="AF10" i="11"/>
  <c r="AI10" i="11"/>
  <c r="AL10" i="11"/>
  <c r="AL48" i="11" s="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E12" i="11"/>
  <c r="H12" i="11" s="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E14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E16" i="11"/>
  <c r="H16" i="11"/>
  <c r="AA16" i="11"/>
  <c r="AC16" i="11" s="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C38" i="11" s="1"/>
  <c r="D36" i="11"/>
  <c r="F36" i="11"/>
  <c r="G36" i="11"/>
  <c r="AC36" i="11"/>
  <c r="AE36" i="11"/>
  <c r="AP36" i="11" s="1"/>
  <c r="AI36" i="11"/>
  <c r="AL36" i="11"/>
  <c r="AM36" i="11"/>
  <c r="AN36" i="11"/>
  <c r="AO36" i="11"/>
  <c r="H37" i="11"/>
  <c r="AA37" i="11"/>
  <c r="AC37" i="11" s="1"/>
  <c r="AF37" i="11"/>
  <c r="AI37" i="11"/>
  <c r="AL37" i="11"/>
  <c r="AM37" i="11"/>
  <c r="AN37" i="11"/>
  <c r="AO37" i="11"/>
  <c r="AP37" i="11"/>
  <c r="AC38" i="11"/>
  <c r="AE38" i="11"/>
  <c r="AF38" i="11" s="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M48" i="11"/>
  <c r="AN48" i="11"/>
  <c r="AO48" i="11"/>
  <c r="AP48" i="11"/>
  <c r="J4" i="70"/>
  <c r="J35" i="70" s="1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D66" i="70"/>
  <c r="D67" i="70"/>
  <c r="D68" i="70" s="1"/>
  <c r="D69" i="70" s="1"/>
  <c r="D75" i="70"/>
  <c r="F4" i="73"/>
  <c r="F35" i="73" s="1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C36" i="73" s="1"/>
  <c r="D35" i="73"/>
  <c r="E35" i="73"/>
  <c r="E36" i="73" s="1"/>
  <c r="F36" i="73" s="1"/>
  <c r="C37" i="73"/>
  <c r="E37" i="73"/>
  <c r="F37" i="73"/>
  <c r="C39" i="73"/>
  <c r="E39" i="73"/>
  <c r="F39" i="73"/>
  <c r="D6" i="22"/>
  <c r="D37" i="22" s="1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F5" i="5"/>
  <c r="F36" i="5" s="1"/>
  <c r="F42" i="5" s="1"/>
  <c r="C41" i="63" s="1"/>
  <c r="B41" i="63" s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7" i="5" s="1"/>
  <c r="C36" i="5"/>
  <c r="D36" i="5"/>
  <c r="E36" i="5"/>
  <c r="E37" i="5"/>
  <c r="J8" i="17"/>
  <c r="J9" i="17"/>
  <c r="J39" i="17" s="1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B4" i="68"/>
  <c r="D4" i="68" s="1"/>
  <c r="B5" i="68"/>
  <c r="B35" i="68" s="1"/>
  <c r="D5" i="68"/>
  <c r="D6" i="68"/>
  <c r="D7" i="68"/>
  <c r="B8" i="68"/>
  <c r="D8" i="68"/>
  <c r="B9" i="68"/>
  <c r="D9" i="68" s="1"/>
  <c r="B10" i="68"/>
  <c r="D10" i="68"/>
  <c r="B11" i="68"/>
  <c r="D11" i="68"/>
  <c r="D12" i="68"/>
  <c r="B13" i="68"/>
  <c r="D13" i="68" s="1"/>
  <c r="B14" i="68"/>
  <c r="D14" i="68"/>
  <c r="B15" i="68"/>
  <c r="D15" i="68"/>
  <c r="B16" i="68"/>
  <c r="D16" i="68" s="1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C35" i="68"/>
  <c r="F3" i="67"/>
  <c r="F34" i="67" s="1"/>
  <c r="F38" i="67" s="1"/>
  <c r="C14" i="63" s="1"/>
  <c r="B14" i="63" s="1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D6" i="65"/>
  <c r="D7" i="65"/>
  <c r="D8" i="65"/>
  <c r="D9" i="65"/>
  <c r="B10" i="65"/>
  <c r="D10" i="65" s="1"/>
  <c r="D18" i="65" s="1"/>
  <c r="D11" i="65"/>
  <c r="D12" i="65"/>
  <c r="D13" i="65"/>
  <c r="D14" i="65"/>
  <c r="C5" i="7"/>
  <c r="F5" i="7"/>
  <c r="Z5" i="7"/>
  <c r="AD5" i="7"/>
  <c r="AG5" i="7" s="1"/>
  <c r="AG6" i="7" s="1"/>
  <c r="AG7" i="7" s="1"/>
  <c r="AG8" i="7" s="1"/>
  <c r="AG9" i="7" s="1"/>
  <c r="AG10" i="7" s="1"/>
  <c r="AG11" i="7" s="1"/>
  <c r="AG12" i="7" s="1"/>
  <c r="AG13" i="7" s="1"/>
  <c r="AG14" i="7" s="1"/>
  <c r="AF5" i="7"/>
  <c r="AH5" i="7" s="1"/>
  <c r="C6" i="7"/>
  <c r="F6" i="7"/>
  <c r="Z6" i="7"/>
  <c r="AD6" i="7"/>
  <c r="AF6" i="7"/>
  <c r="F7" i="7"/>
  <c r="Z7" i="7"/>
  <c r="AD7" i="7"/>
  <c r="AF7" i="7"/>
  <c r="F8" i="7"/>
  <c r="Z8" i="7"/>
  <c r="AD8" i="7"/>
  <c r="AF8" i="7"/>
  <c r="F9" i="7"/>
  <c r="Z9" i="7"/>
  <c r="AD9" i="7"/>
  <c r="AF9" i="7"/>
  <c r="C10" i="7"/>
  <c r="F10" i="7"/>
  <c r="Z10" i="7"/>
  <c r="AD10" i="7"/>
  <c r="AF10" i="7"/>
  <c r="C11" i="7"/>
  <c r="F11" i="7"/>
  <c r="Z11" i="7"/>
  <c r="AD11" i="7"/>
  <c r="AF11" i="7"/>
  <c r="C12" i="7"/>
  <c r="F12" i="7"/>
  <c r="Z12" i="7"/>
  <c r="AD12" i="7"/>
  <c r="AF12" i="7"/>
  <c r="C13" i="7"/>
  <c r="F13" i="7"/>
  <c r="Z13" i="7"/>
  <c r="AD13" i="7"/>
  <c r="AF13" i="7"/>
  <c r="C14" i="7"/>
  <c r="F14" i="7"/>
  <c r="Z14" i="7"/>
  <c r="AD14" i="7"/>
  <c r="AF14" i="7"/>
  <c r="F15" i="7"/>
  <c r="Z15" i="7"/>
  <c r="AD15" i="7" s="1"/>
  <c r="AF15" i="7" s="1"/>
  <c r="F16" i="7"/>
  <c r="F36" i="7" s="1"/>
  <c r="F41" i="7" s="1"/>
  <c r="C31" i="63" s="1"/>
  <c r="Z16" i="7"/>
  <c r="AD16" i="7"/>
  <c r="AF16" i="7" s="1"/>
  <c r="C17" i="7"/>
  <c r="C36" i="7" s="1"/>
  <c r="F17" i="7"/>
  <c r="Z17" i="7"/>
  <c r="AD17" i="7"/>
  <c r="AF17" i="7" s="1"/>
  <c r="F18" i="7"/>
  <c r="AI18" i="7"/>
  <c r="F19" i="7"/>
  <c r="Z19" i="7"/>
  <c r="AD19" i="7" s="1"/>
  <c r="F20" i="7"/>
  <c r="Z20" i="7"/>
  <c r="AD20" i="7"/>
  <c r="AF20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E36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0" i="16" s="1"/>
  <c r="C18" i="63" s="1"/>
  <c r="B18" i="63" s="1"/>
  <c r="D4" i="28"/>
  <c r="D5" i="28"/>
  <c r="D6" i="28"/>
  <c r="D35" i="28" s="1"/>
  <c r="D40" i="28" s="1"/>
  <c r="C13" i="63" s="1"/>
  <c r="B13" i="63" s="1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H4" i="9"/>
  <c r="H35" i="9" s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D5" i="64"/>
  <c r="D17" i="64" s="1"/>
  <c r="D6" i="64"/>
  <c r="D7" i="64"/>
  <c r="D8" i="64"/>
  <c r="D9" i="64"/>
  <c r="D10" i="64"/>
  <c r="B11" i="64"/>
  <c r="D11" i="64"/>
  <c r="D12" i="64"/>
  <c r="D13" i="64"/>
  <c r="E40" i="64"/>
  <c r="E43" i="64" s="1"/>
  <c r="D43" i="64" s="1"/>
  <c r="E41" i="64"/>
  <c r="E42" i="64"/>
  <c r="C43" i="64"/>
  <c r="E44" i="64"/>
  <c r="D8" i="15"/>
  <c r="D39" i="15" s="1"/>
  <c r="AD8" i="15"/>
  <c r="AH8" i="15"/>
  <c r="AH39" i="15" s="1"/>
  <c r="AH45" i="15" s="1"/>
  <c r="AL8" i="15"/>
  <c r="AL39" i="15" s="1"/>
  <c r="AP8" i="15"/>
  <c r="AT8" i="15"/>
  <c r="D9" i="15"/>
  <c r="AD9" i="15"/>
  <c r="AH9" i="15"/>
  <c r="AL9" i="15"/>
  <c r="AP9" i="15"/>
  <c r="AT9" i="15"/>
  <c r="AT39" i="15" s="1"/>
  <c r="D10" i="15"/>
  <c r="AD10" i="15"/>
  <c r="AH10" i="15"/>
  <c r="AL10" i="15"/>
  <c r="AP10" i="15"/>
  <c r="AT10" i="15"/>
  <c r="D11" i="15"/>
  <c r="AD11" i="15"/>
  <c r="AD39" i="15" s="1"/>
  <c r="AD45" i="15" s="1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 s="1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 s="1"/>
  <c r="AP39" i="15" s="1"/>
  <c r="AP45" i="15" s="1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 s="1"/>
  <c r="AT26" i="15"/>
  <c r="D27" i="15"/>
  <c r="AD27" i="15"/>
  <c r="AH27" i="15"/>
  <c r="AL27" i="15"/>
  <c r="AO27" i="15"/>
  <c r="AP27" i="15" s="1"/>
  <c r="AT27" i="15"/>
  <c r="D28" i="15"/>
  <c r="AD28" i="15"/>
  <c r="AG28" i="15"/>
  <c r="AG39" i="15" s="1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S39" i="15" s="1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AB39" i="15"/>
  <c r="AC39" i="15"/>
  <c r="AF39" i="15"/>
  <c r="AJ39" i="15"/>
  <c r="AK39" i="15"/>
  <c r="AN39" i="15"/>
  <c r="AR39" i="15"/>
  <c r="AF52" i="15"/>
  <c r="AF54" i="15"/>
  <c r="AF56" i="15"/>
  <c r="AF57" i="15"/>
  <c r="D86" i="15"/>
  <c r="I86" i="15"/>
  <c r="D87" i="15"/>
  <c r="I87" i="15"/>
  <c r="D88" i="15"/>
  <c r="D101" i="15" s="1"/>
  <c r="C101" i="15" s="1"/>
  <c r="I88" i="15"/>
  <c r="I114" i="15" s="1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I101" i="15"/>
  <c r="I102" i="15"/>
  <c r="I103" i="15"/>
  <c r="I104" i="15"/>
  <c r="I105" i="15"/>
  <c r="I106" i="15"/>
  <c r="I107" i="15"/>
  <c r="D108" i="15"/>
  <c r="I108" i="15"/>
  <c r="I109" i="15"/>
  <c r="I110" i="15"/>
  <c r="I111" i="15"/>
  <c r="I112" i="15"/>
  <c r="G113" i="15"/>
  <c r="G114" i="15" s="1"/>
  <c r="I113" i="15"/>
  <c r="D126" i="15"/>
  <c r="D127" i="15"/>
  <c r="D128" i="15"/>
  <c r="D129" i="15"/>
  <c r="D133" i="15" s="1"/>
  <c r="D130" i="15"/>
  <c r="D131" i="15"/>
  <c r="B132" i="15"/>
  <c r="D132" i="15" s="1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B174" i="15" s="1"/>
  <c r="B176" i="15" s="1"/>
  <c r="C168" i="15"/>
  <c r="C174" i="15" s="1"/>
  <c r="C176" i="15" s="1"/>
  <c r="D169" i="15"/>
  <c r="D170" i="15"/>
  <c r="D171" i="15"/>
  <c r="D172" i="15"/>
  <c r="D173" i="15"/>
  <c r="C175" i="15"/>
  <c r="C180" i="15" s="1"/>
  <c r="B178" i="15"/>
  <c r="C178" i="15"/>
  <c r="B180" i="15"/>
  <c r="D4" i="6"/>
  <c r="D5" i="6"/>
  <c r="D6" i="6"/>
  <c r="D35" i="6" s="1"/>
  <c r="D40" i="6" s="1"/>
  <c r="C36" i="63" s="1"/>
  <c r="B36" i="63" s="1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12" i="63"/>
  <c r="P12" i="63"/>
  <c r="D40" i="15" s="1"/>
  <c r="D13" i="63"/>
  <c r="P13" i="63"/>
  <c r="F40" i="71" s="1"/>
  <c r="F41" i="71" s="1"/>
  <c r="F43" i="71" s="1"/>
  <c r="B35" i="63" s="1"/>
  <c r="C35" i="63" s="1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31" i="63"/>
  <c r="D32" i="63"/>
  <c r="D33" i="63"/>
  <c r="D34" i="63"/>
  <c r="D35" i="63"/>
  <c r="D36" i="63"/>
  <c r="D37" i="63"/>
  <c r="D38" i="63"/>
  <c r="D39" i="63"/>
  <c r="B40" i="63"/>
  <c r="D41" i="63"/>
  <c r="D8" i="19"/>
  <c r="D9" i="19"/>
  <c r="D10" i="19"/>
  <c r="D39" i="19" s="1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J4" i="2"/>
  <c r="J5" i="2"/>
  <c r="J35" i="2" s="1"/>
  <c r="J40" i="2" s="1"/>
  <c r="C34" i="63" s="1"/>
  <c r="B34" i="63" s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D66" i="2"/>
  <c r="D67" i="2"/>
  <c r="D68" i="2"/>
  <c r="D69" i="2"/>
  <c r="D75" i="2"/>
  <c r="D41" i="15" l="1"/>
  <c r="D43" i="15" s="1"/>
  <c r="B38" i="63" s="1"/>
  <c r="C38" i="63" s="1"/>
  <c r="D35" i="68"/>
  <c r="D40" i="68" s="1"/>
  <c r="C16" i="63" s="1"/>
  <c r="B16" i="63" s="1"/>
  <c r="B31" i="63"/>
  <c r="AH6" i="7"/>
  <c r="AI5" i="7"/>
  <c r="F38" i="73"/>
  <c r="F40" i="73" s="1"/>
  <c r="F50" i="73" s="1"/>
  <c r="AP48" i="15"/>
  <c r="AP51" i="15"/>
  <c r="B12" i="63"/>
  <c r="AF19" i="7"/>
  <c r="AH19" i="7" s="1"/>
  <c r="AG19" i="7"/>
  <c r="AG20" i="7" s="1"/>
  <c r="AG21" i="7" s="1"/>
  <c r="AG15" i="7"/>
  <c r="AG16" i="7" s="1"/>
  <c r="AG17" i="7" s="1"/>
  <c r="E38" i="73"/>
  <c r="E40" i="73" s="1"/>
  <c r="D41" i="19"/>
  <c r="D43" i="19" s="1"/>
  <c r="B22" i="63" s="1"/>
  <c r="C22" i="63" s="1"/>
  <c r="D176" i="15"/>
  <c r="AL45" i="15"/>
  <c r="B102" i="15"/>
  <c r="C38" i="73"/>
  <c r="C40" i="73" s="1"/>
  <c r="J40" i="17"/>
  <c r="J41" i="17" s="1"/>
  <c r="J43" i="17" s="1"/>
  <c r="B17" i="63" s="1"/>
  <c r="C17" i="63" s="1"/>
  <c r="D40" i="18"/>
  <c r="D41" i="18" s="1"/>
  <c r="D43" i="18" s="1"/>
  <c r="B24" i="63" s="1"/>
  <c r="C24" i="63" s="1"/>
  <c r="AO39" i="15"/>
  <c r="AP38" i="11"/>
  <c r="B30" i="20"/>
  <c r="C40" i="63"/>
  <c r="C37" i="13"/>
  <c r="B133" i="15"/>
  <c r="B136" i="15" s="1"/>
  <c r="D18" i="64"/>
  <c r="D19" i="64" s="1"/>
  <c r="D23" i="64" s="1"/>
  <c r="B15" i="63" s="1"/>
  <c r="C15" i="63" s="1"/>
  <c r="AF36" i="11"/>
  <c r="E36" i="13"/>
  <c r="D40" i="72"/>
  <c r="D41" i="72" s="1"/>
  <c r="D43" i="72" s="1"/>
  <c r="B26" i="63" s="1"/>
  <c r="C26" i="63" s="1"/>
  <c r="D19" i="8"/>
  <c r="D20" i="8" s="1"/>
  <c r="D24" i="8" s="1"/>
  <c r="B19" i="63" s="1"/>
  <c r="C19" i="63" s="1"/>
  <c r="J36" i="70"/>
  <c r="J37" i="70" s="1"/>
  <c r="J41" i="70" s="1"/>
  <c r="B32" i="63" s="1"/>
  <c r="C32" i="63" s="1"/>
  <c r="H36" i="9"/>
  <c r="H37" i="9" s="1"/>
  <c r="H39" i="9" s="1"/>
  <c r="B25" i="63" s="1"/>
  <c r="C25" i="63" s="1"/>
  <c r="D38" i="22"/>
  <c r="D39" i="22" s="1"/>
  <c r="D41" i="22" s="1"/>
  <c r="B21" i="63" s="1"/>
  <c r="C21" i="63" s="1"/>
  <c r="D19" i="65"/>
  <c r="D20" i="65" s="1"/>
  <c r="D24" i="65" s="1"/>
  <c r="B37" i="63" s="1"/>
  <c r="C37" i="63" s="1"/>
  <c r="AH7" i="7" l="1"/>
  <c r="AI6" i="7"/>
  <c r="B103" i="15"/>
  <c r="B105" i="15" s="1"/>
  <c r="D105" i="15" s="1"/>
  <c r="D102" i="15"/>
  <c r="D103" i="15" s="1"/>
  <c r="C103" i="15" s="1"/>
  <c r="C133" i="15"/>
  <c r="AH20" i="7"/>
  <c r="AI19" i="7"/>
  <c r="E37" i="13"/>
  <c r="E38" i="13" s="1"/>
  <c r="C38" i="13"/>
  <c r="C41" i="13" s="1"/>
  <c r="B17" i="20"/>
  <c r="C17" i="20" s="1"/>
  <c r="C18" i="20" s="1"/>
  <c r="B45" i="20"/>
  <c r="C45" i="20" s="1"/>
  <c r="C46" i="20" s="1"/>
  <c r="C30" i="20"/>
  <c r="C31" i="20" s="1"/>
  <c r="C62" i="20" l="1"/>
  <c r="B23" i="63" s="1"/>
  <c r="E41" i="13"/>
  <c r="F41" i="13" s="1"/>
  <c r="B39" i="63" s="1"/>
  <c r="F38" i="13"/>
  <c r="AI7" i="7"/>
  <c r="AH8" i="7"/>
  <c r="AH21" i="7"/>
  <c r="AI21" i="7" s="1"/>
  <c r="AI20" i="7"/>
  <c r="AI8" i="7" l="1"/>
  <c r="AH9" i="7"/>
  <c r="C39" i="63"/>
  <c r="C42" i="63" s="1"/>
  <c r="B42" i="63"/>
  <c r="C23" i="63"/>
  <c r="C27" i="63" s="1"/>
  <c r="B27" i="63"/>
  <c r="B45" i="63" l="1"/>
  <c r="C45" i="63"/>
  <c r="AH10" i="7"/>
  <c r="AI9" i="7"/>
  <c r="AH11" i="7" l="1"/>
  <c r="AI10" i="7"/>
  <c r="AI11" i="7" l="1"/>
  <c r="AH12" i="7"/>
  <c r="AH13" i="7" l="1"/>
  <c r="AI12" i="7"/>
  <c r="AH14" i="7" l="1"/>
  <c r="AI13" i="7"/>
  <c r="AH15" i="7" l="1"/>
  <c r="AI14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<sst xmlns="http://schemas.openxmlformats.org/spreadsheetml/2006/main" count="369" uniqueCount="132">
  <si>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</si>
  <si>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</si>
  <si>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</si>
  <si>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</si>
  <si>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</si>
  <si>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</si>
  <si>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</si>
  <si>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</si>
  <si>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</si>
  <si>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</si>
  <si>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</si>
  <si>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</si>
  <si>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</si>
  <si>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</si>
  <si>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</si>
  <si>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</si>
  <si>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</si>
  <si>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</si>
  <si>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</si>
  <si>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</si>
  <si>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</si>
  <si>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</si>
  <si>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</si>
  <si>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</si>
  <si>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</si>
  <si>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</si>
  <si>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</si>
  <si>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</si>
  <si>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</si>
  <si>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</si>
  <si>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</si>
  <si>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</si>
  <si>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</si>
  <si>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</si>
  <si>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 xml:space="preserve">PG&amp;E 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</si>
  <si>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</si>
  <si>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</si>
  <si>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</si>
  <si>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</si>
  <si>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</si>
  <si>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</si>
  <si>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</si>
  <si>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</si>
  <si>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</si>
  <si>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</si>
  <si>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</si>
  <si>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</si>
  <si>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</si>
  <si>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</si>
  <si>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</si>
  <si>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</si>
  <si>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</si>
  <si>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</si>
  <si>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</si>
  <si>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</si>
  <si>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</si>
  <si>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</si>
  <si>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</si>
  <si>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</si>
  <si>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</si>
  <si>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</si>
  <si>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</si>
  <si>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</si>
  <si>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</si>
  <si>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</si>
  <si>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</si>
  <si>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</si>
  <si>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</si>
  <si>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</si>
  <si>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</si>
  <si>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</si>
  <si>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</si>
  <si>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</si>
  <si>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</si>
  <si>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</si>
  <si>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</si>
  <si>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</si>
  <si>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</si>
  <si>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</si>
  <si>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</si>
  <si>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</si>
  <si>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</si>
  <si>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</si>
  <si>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</si>
  <si>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</si>
  <si>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</si>
  <si>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</si>
  <si>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</si>
  <si>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</si>
  <si>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</si>
  <si>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</si>
  <si>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</si>
  <si>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</si>
  <si>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</si>
  <si>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</si>
  <si>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</si>
  <si>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</si>
  <si>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</si>
  <si>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</si>
  <si>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</si>
  <si>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</si>
  <si>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</si>
  <si>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</si>
  <si>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</si>
  <si>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</si>
  <si>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</si>
  <si>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</si>
  <si>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</si>
  <si>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</si>
  <si>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</si>
  <si>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</si>
  <si>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This balance is cashed out every month</t>
  </si>
  <si>
    <t>Terry Kowalke</t>
  </si>
  <si>
    <t>Cynthia Rivers</t>
  </si>
  <si>
    <t>Amy Mulligan</t>
  </si>
  <si>
    <t>Bert Hernandez</t>
  </si>
  <si>
    <t>MS rep</t>
  </si>
  <si>
    <t>Linda Ward</t>
  </si>
  <si>
    <t>Hernandez</t>
  </si>
  <si>
    <t xml:space="preserve">Duke </t>
  </si>
  <si>
    <t>EOG</t>
  </si>
  <si>
    <t>Pronghorn</t>
  </si>
  <si>
    <t>Pitchfork Ranch</t>
  </si>
  <si>
    <t>Tristi Draw</t>
  </si>
  <si>
    <t>OneOk Westex-Ward</t>
  </si>
  <si>
    <t>Pan-Alberta-shipper</t>
  </si>
  <si>
    <t>Contintental</t>
  </si>
  <si>
    <t>Continental</t>
  </si>
  <si>
    <t>CIG</t>
  </si>
  <si>
    <t>Tumbleweed</t>
  </si>
  <si>
    <t>This balance is cashed out every month.</t>
  </si>
  <si>
    <t>Contract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</si>
</sst>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9"/>
      <color indexed="12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37" fontId="22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5" fontId="25" fillId="4" borderId="0" xfId="1" applyNumberFormat="1" applyFont="1" applyFill="1" applyBorder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192" fontId="3" fillId="2" borderId="0" xfId="1" applyNumberFormat="1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0" fontId="14" fillId="0" borderId="0" xfId="0" applyFont="1" applyBorder="1"/>
    <xf numFmtId="37" fontId="30" fillId="0" borderId="0" xfId="1" applyNumberFormat="1" applyFont="1" applyFill="1"/>
    <xf numFmtId="37" fontId="31" fillId="0" borderId="0" xfId="1" applyNumberFormat="1" applyFont="1" applyFill="1"/>
    <xf numFmtId="166" fontId="32" fillId="0" borderId="0" xfId="1" applyNumberFormat="1" applyFont="1"/>
    <xf numFmtId="166" fontId="32" fillId="0" borderId="1" xfId="1" applyNumberFormat="1" applyFont="1" applyBorder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5" fontId="3" fillId="5" borderId="0" xfId="0" applyNumberFormat="1" applyFont="1" applyFill="1"/>
    <xf numFmtId="37" fontId="3" fillId="5" borderId="0" xfId="1" applyNumberFormat="1" applyFont="1" applyFill="1" applyBorder="1"/>
    <xf numFmtId="43" fontId="0" fillId="0" borderId="0" xfId="0" applyNumberFormat="1"/>
    <xf numFmtId="7" fontId="9" fillId="0" borderId="0" xfId="0" applyNumberFormat="1" applyFont="1" applyFill="1" applyBorder="1"/>
    <xf numFmtId="5" fontId="3" fillId="2" borderId="0" xfId="1" applyNumberFormat="1" applyFont="1" applyFill="1"/>
    <xf numFmtId="210" fontId="0" fillId="0" borderId="0" xfId="1" applyNumberFormat="1" applyFont="1"/>
    <xf numFmtId="166" fontId="25" fillId="0" borderId="0" xfId="1" applyNumberFormat="1" applyFont="1" applyFill="1" applyAlignment="1"/>
    <xf numFmtId="168" fontId="0" fillId="0" borderId="0" xfId="0" applyNumberFormat="1"/>
    <xf numFmtId="39" fontId="0" fillId="0" borderId="0" xfId="0" applyNumberFormat="1"/>
    <xf numFmtId="37" fontId="33" fillId="0" borderId="0" xfId="1" applyNumberFormat="1" applyFont="1" applyFill="1"/>
    <xf numFmtId="37" fontId="33" fillId="0" borderId="0" xfId="1" applyNumberFormat="1" applyFont="1"/>
    <xf numFmtId="166" fontId="25" fillId="3" borderId="1" xfId="0" applyNumberFormat="1" applyFont="1" applyFill="1" applyBorder="1"/>
    <xf numFmtId="37" fontId="3" fillId="3" borderId="0" xfId="1" applyNumberFormat="1" applyFont="1" applyFill="1"/>
    <xf numFmtId="166" fontId="3" fillId="3" borderId="1" xfId="1" applyNumberFormat="1" applyFont="1" applyFill="1" applyBorder="1"/>
    <xf numFmtId="7" fontId="22" fillId="3" borderId="1" xfId="1" applyNumberFormat="1" applyFont="1" applyFill="1" applyBorder="1"/>
    <xf numFmtId="5" fontId="3" fillId="3" borderId="1" xfId="0" applyNumberFormat="1" applyFont="1" applyFill="1" applyBorder="1"/>
    <xf numFmtId="7" fontId="25" fillId="3" borderId="1" xfId="0" applyNumberFormat="1" applyFont="1" applyFill="1" applyBorder="1"/>
    <xf numFmtId="166" fontId="3" fillId="3" borderId="0" xfId="1" applyNumberFormat="1" applyFont="1" applyFill="1" applyBorder="1"/>
    <xf numFmtId="5" fontId="3" fillId="3" borderId="0" xfId="1" applyNumberFormat="1" applyFont="1" applyFill="1"/>
    <xf numFmtId="7" fontId="3" fillId="3" borderId="0" xfId="1" applyNumberFormat="1" applyFont="1" applyFill="1"/>
    <xf numFmtId="44" fontId="9" fillId="3" borderId="0" xfId="2" applyFont="1" applyFill="1"/>
    <xf numFmtId="7" fontId="8" fillId="3" borderId="1" xfId="1" applyNumberFormat="1" applyFont="1" applyFill="1" applyBorder="1"/>
    <xf numFmtId="37" fontId="34" fillId="0" borderId="0" xfId="1" applyNumberFormat="1" applyFont="1" applyFill="1"/>
    <xf numFmtId="7" fontId="9" fillId="3" borderId="0" xfId="0" applyNumberFormat="1" applyFont="1" applyFill="1"/>
    <xf numFmtId="7" fontId="22" fillId="3" borderId="0" xfId="0" applyNumberFormat="1" applyFont="1" applyFill="1"/>
    <xf numFmtId="180" fontId="11" fillId="0" borderId="0" xfId="0" applyNumberFormat="1" applyFont="1" applyBorder="1"/>
    <xf numFmtId="5" fontId="22" fillId="3" borderId="0" xfId="0" applyNumberFormat="1" applyFont="1" applyFill="1" applyAlignment="1">
      <alignment horizontal="left" indent="2"/>
    </xf>
    <xf numFmtId="7" fontId="3" fillId="3" borderId="0" xfId="0" applyNumberFormat="1" applyFont="1" applyFill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22" fillId="0" borderId="0" xfId="0" applyNumberFormat="1" applyFont="1"/>
    <xf numFmtId="192" fontId="9" fillId="0" borderId="0" xfId="0" applyNumberFormat="1" applyFont="1"/>
    <xf numFmtId="5" fontId="22" fillId="0" borderId="0" xfId="0" applyNumberFormat="1" applyFont="1"/>
    <xf numFmtId="5" fontId="9" fillId="0" borderId="1" xfId="0" applyNumberFormat="1" applyFont="1" applyBorder="1"/>
    <xf numFmtId="37" fontId="14" fillId="0" borderId="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pim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20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4"/>
      <sheetName val="Texaco"/>
      <sheetName val="Richardson"/>
      <sheetName val="Aquila"/>
      <sheetName val="SoCal"/>
      <sheetName val="SoCo Energy Mktg-CA"/>
      <sheetName val="Williams"/>
      <sheetName val="Amoco Trading"/>
      <sheetName val="Various"/>
      <sheetName val="ENA"/>
      <sheetName val="Reliant"/>
      <sheetName val="Duke"/>
      <sheetName val="USGT"/>
      <sheetName val="Enserch"/>
      <sheetName val="So Co "/>
      <sheetName val="PGE EnergyTrading"/>
      <sheetName val="Burlington"/>
      <sheetName val="Dynegy"/>
      <sheetName val="Tenaska"/>
      <sheetName val="Sempra"/>
      <sheetName val="Red Cedar"/>
      <sheetName val="Utilicorp"/>
      <sheetName val="Arizona"/>
      <sheetName val="GPM"/>
      <sheetName val="Tezas-Ohio"/>
      <sheetName val="SMUD"/>
      <sheetName val="El Paso"/>
      <sheetName val="OneOK"/>
      <sheetName val="OneOK Energy"/>
      <sheetName val="Sheet12"/>
      <sheetName val="Sheet11"/>
      <sheetName val="Sheet10"/>
      <sheetName val="Sheet9"/>
      <sheetName val="Sheet1"/>
    </sheetNames>
    <sheetDataSet>
      <sheetData sheetId="0">
        <row r="42">
          <cell r="C42">
            <v>-316386.95</v>
          </cell>
        </row>
        <row r="43">
          <cell r="C43">
            <v>-337202.85000000003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0"/>
    </sheetNames>
    <sheetDataSet>
      <sheetData sheetId="0">
        <row r="39">
          <cell r="E39">
            <v>8.56</v>
          </cell>
          <cell r="K39">
            <v>7.87</v>
          </cell>
          <cell r="M39">
            <v>8.33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8"/>
  <sheetViews>
    <sheetView tabSelected="1" topLeftCell="A10" workbookViewId="0">
      <selection activeCell="B15" sqref="B15"/>
    </sheetView>
    <sheetView tabSelected="1" workbookViewId="1">
      <selection activeCell="D40" sqref="D40"/>
    </sheetView>
  </sheetViews>
  <sheetFormatPr defaultRowHeight="12.75" x14ac:dyDescent="0.2"/>
  <cols>
    <col min="1" max="1" width="20.5703125" style="301" customWidth="1"/>
    <col min="2" max="2" width="11.85546875" style="254" customWidth="1"/>
    <col min="3" max="3" width="11.28515625" style="302" customWidth="1"/>
    <col min="4" max="4" width="10.7109375" bestFit="1" customWidth="1"/>
    <col min="5" max="5" width="12" bestFit="1" customWidth="1"/>
    <col min="6" max="6" width="15.140625" customWidth="1"/>
  </cols>
  <sheetData>
    <row r="2" spans="1:16" ht="15.75" x14ac:dyDescent="0.25">
      <c r="A2" s="53" t="s">
        <v>98</v>
      </c>
    </row>
    <row r="3" spans="1:16" ht="15.75" x14ac:dyDescent="0.25">
      <c r="A3" s="53" t="s">
        <v>93</v>
      </c>
    </row>
    <row r="4" spans="1:16" ht="15" customHeight="1" x14ac:dyDescent="0.25">
      <c r="A4" s="53" t="s">
        <v>95</v>
      </c>
    </row>
    <row r="5" spans="1:16" ht="15" customHeight="1" x14ac:dyDescent="0.25">
      <c r="A5" s="53" t="s">
        <v>94</v>
      </c>
    </row>
    <row r="6" spans="1:16" ht="12.95" customHeight="1" x14ac:dyDescent="0.2"/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71"/>
    </row>
    <row r="10" spans="1:16" ht="18" customHeight="1" x14ac:dyDescent="0.2"/>
    <row r="11" spans="1:16" ht="18" customHeight="1" x14ac:dyDescent="0.2">
      <c r="A11" s="307" t="s">
        <v>100</v>
      </c>
      <c r="B11" s="308" t="s">
        <v>18</v>
      </c>
      <c r="C11" s="309" t="s">
        <v>0</v>
      </c>
      <c r="D11" s="310" t="s">
        <v>87</v>
      </c>
      <c r="E11" s="307" t="s">
        <v>101</v>
      </c>
      <c r="F11" s="348" t="s">
        <v>116</v>
      </c>
      <c r="G11" s="307" t="s">
        <v>109</v>
      </c>
      <c r="O11" s="311" t="s">
        <v>84</v>
      </c>
      <c r="P11" s="312"/>
    </row>
    <row r="12" spans="1:16" ht="18" customHeight="1" x14ac:dyDescent="0.2">
      <c r="A12" s="301" t="s">
        <v>37</v>
      </c>
      <c r="B12" s="319">
        <f>+C12*$P$13</f>
        <v>2094137.01</v>
      </c>
      <c r="C12" s="320">
        <f>+'El Paso'!H38</f>
        <v>251397</v>
      </c>
      <c r="D12" s="65">
        <f>+'El Paso'!A38</f>
        <v>36885</v>
      </c>
      <c r="E12" t="s">
        <v>91</v>
      </c>
      <c r="F12" t="s">
        <v>113</v>
      </c>
      <c r="O12" s="313" t="s">
        <v>31</v>
      </c>
      <c r="P12" s="315">
        <f>+'[2]1200'!$K$39</f>
        <v>7.87</v>
      </c>
    </row>
    <row r="13" spans="1:16" ht="18" customHeight="1" x14ac:dyDescent="0.2">
      <c r="A13" s="301" t="s">
        <v>34</v>
      </c>
      <c r="B13" s="254">
        <f>+C13*$P$13</f>
        <v>1487729.67</v>
      </c>
      <c r="C13" s="302">
        <f>+'PG&amp;E'!D40</f>
        <v>178599</v>
      </c>
      <c r="D13" s="65">
        <f>+'PG&amp;E'!A40</f>
        <v>36885</v>
      </c>
      <c r="E13" t="s">
        <v>91</v>
      </c>
      <c r="F13" t="s">
        <v>117</v>
      </c>
      <c r="O13" s="314" t="s">
        <v>32</v>
      </c>
      <c r="P13" s="316">
        <f>+'[2]1200'!$M$39</f>
        <v>8.33</v>
      </c>
    </row>
    <row r="14" spans="1:16" ht="18" customHeight="1" x14ac:dyDescent="0.2">
      <c r="A14" s="301" t="s">
        <v>99</v>
      </c>
      <c r="B14" s="319">
        <f>+C14*$P$13</f>
        <v>1302312.2</v>
      </c>
      <c r="C14" s="320">
        <f>+NGPL!F38</f>
        <v>156340</v>
      </c>
      <c r="D14" s="65">
        <f>+NGPL!A38</f>
        <v>36885</v>
      </c>
      <c r="E14" t="s">
        <v>91</v>
      </c>
      <c r="F14" t="s">
        <v>114</v>
      </c>
    </row>
    <row r="15" spans="1:16" ht="18" customHeight="1" x14ac:dyDescent="0.2">
      <c r="A15" s="301" t="s">
        <v>89</v>
      </c>
      <c r="B15" s="319">
        <f>+PNM!$D$23</f>
        <v>897524.46</v>
      </c>
      <c r="C15" s="320">
        <f>+B15/$P$13</f>
        <v>107746.03361344537</v>
      </c>
      <c r="D15" s="65">
        <f>+PNM!A23</f>
        <v>36885</v>
      </c>
      <c r="E15" t="s">
        <v>92</v>
      </c>
      <c r="F15" t="s">
        <v>113</v>
      </c>
    </row>
    <row r="16" spans="1:16" ht="18" customHeight="1" x14ac:dyDescent="0.2">
      <c r="A16" s="301" t="s">
        <v>105</v>
      </c>
      <c r="B16" s="254">
        <f>+C16*$P$13</f>
        <v>664175.89</v>
      </c>
      <c r="C16" s="302">
        <f>+Mojave!D40</f>
        <v>79733</v>
      </c>
      <c r="D16" s="65">
        <f>+Mojave!A40</f>
        <v>36885</v>
      </c>
      <c r="E16" t="s">
        <v>91</v>
      </c>
      <c r="F16" t="s">
        <v>113</v>
      </c>
    </row>
    <row r="17" spans="1:7" ht="18" customHeight="1" x14ac:dyDescent="0.2">
      <c r="A17" s="301" t="s">
        <v>2</v>
      </c>
      <c r="B17" s="319">
        <f>+mewborne!$J$43</f>
        <v>658371.67999999993</v>
      </c>
      <c r="C17" s="320">
        <f>+B17/$P$13</f>
        <v>79036.216086434564</v>
      </c>
      <c r="D17" s="65">
        <f>+mewborne!A43</f>
        <v>36885</v>
      </c>
      <c r="E17" t="s">
        <v>92</v>
      </c>
      <c r="F17" t="s">
        <v>114</v>
      </c>
    </row>
    <row r="18" spans="1:7" ht="18" customHeight="1" x14ac:dyDescent="0.2">
      <c r="A18" s="301" t="s">
        <v>8</v>
      </c>
      <c r="B18" s="319">
        <f>+C18*$P$13</f>
        <v>611971.78</v>
      </c>
      <c r="C18" s="320">
        <f>+Oasis!D40</f>
        <v>73466</v>
      </c>
      <c r="D18" s="65">
        <f>+Oasis!B40</f>
        <v>36885</v>
      </c>
      <c r="E18" t="s">
        <v>91</v>
      </c>
      <c r="F18" t="s">
        <v>117</v>
      </c>
    </row>
    <row r="19" spans="1:7" ht="18" customHeight="1" x14ac:dyDescent="0.2">
      <c r="A19" s="351" t="s">
        <v>85</v>
      </c>
      <c r="B19" s="319">
        <f>+Agave!$D$24</f>
        <v>353188.57999999996</v>
      </c>
      <c r="C19" s="320">
        <f>+B19/$P$13</f>
        <v>42399.589435774302</v>
      </c>
      <c r="D19" s="327">
        <f>+Agave!A24</f>
        <v>36885</v>
      </c>
      <c r="E19" s="324" t="s">
        <v>92</v>
      </c>
      <c r="F19" t="s">
        <v>117</v>
      </c>
    </row>
    <row r="20" spans="1:7" ht="18" customHeight="1" x14ac:dyDescent="0.2">
      <c r="A20" s="351" t="s">
        <v>106</v>
      </c>
      <c r="B20" s="319">
        <f>+burlington!D42</f>
        <v>349585.4</v>
      </c>
      <c r="C20" s="320">
        <f>+B20/$P$12</f>
        <v>44420</v>
      </c>
      <c r="D20" s="327">
        <f>+burlington!A42</f>
        <v>36885</v>
      </c>
      <c r="E20" s="324" t="s">
        <v>92</v>
      </c>
      <c r="F20" t="s">
        <v>114</v>
      </c>
      <c r="G20" t="s">
        <v>130</v>
      </c>
    </row>
    <row r="21" spans="1:7" ht="18" customHeight="1" x14ac:dyDescent="0.2">
      <c r="A21" s="301" t="s">
        <v>124</v>
      </c>
      <c r="B21" s="319">
        <f>+KN_Westar!D41</f>
        <v>312650.63</v>
      </c>
      <c r="C21" s="320">
        <f t="shared" ref="C21:C26" si="0">+B21/$P$13</f>
        <v>37533.08883553421</v>
      </c>
      <c r="D21" s="65">
        <f>+KN_Westar!A41</f>
        <v>36885</v>
      </c>
      <c r="E21" t="s">
        <v>92</v>
      </c>
      <c r="F21" t="s">
        <v>115</v>
      </c>
    </row>
    <row r="22" spans="1:7" ht="18" customHeight="1" x14ac:dyDescent="0.2">
      <c r="A22" s="301" t="s">
        <v>77</v>
      </c>
      <c r="B22" s="359">
        <f>+transcol!$D$43</f>
        <v>225746</v>
      </c>
      <c r="C22" s="320">
        <f t="shared" si="0"/>
        <v>27100.360144057624</v>
      </c>
      <c r="D22" s="65">
        <f>+transcol!A43</f>
        <v>36885</v>
      </c>
      <c r="E22" t="s">
        <v>92</v>
      </c>
      <c r="F22" t="s">
        <v>114</v>
      </c>
    </row>
    <row r="23" spans="1:7" ht="18" customHeight="1" x14ac:dyDescent="0.2">
      <c r="A23" s="301" t="s">
        <v>119</v>
      </c>
      <c r="B23" s="254">
        <f>+Duke!C62</f>
        <v>102228.18000000004</v>
      </c>
      <c r="C23" s="302">
        <f t="shared" si="0"/>
        <v>12272.290516206487</v>
      </c>
      <c r="D23" s="65">
        <f>+Duke!A40</f>
        <v>36885</v>
      </c>
      <c r="E23" t="s">
        <v>92</v>
      </c>
      <c r="F23" t="s">
        <v>112</v>
      </c>
    </row>
    <row r="24" spans="1:7" ht="18" customHeight="1" x14ac:dyDescent="0.2">
      <c r="A24" s="301" t="s">
        <v>3</v>
      </c>
      <c r="B24" s="319">
        <f>+'Amoco Abo'!$D$43</f>
        <v>100585.09</v>
      </c>
      <c r="C24" s="320">
        <f t="shared" si="0"/>
        <v>12075.040816326529</v>
      </c>
      <c r="D24" s="65">
        <f>+'Amoco Abo'!A43</f>
        <v>36885</v>
      </c>
      <c r="E24" t="s">
        <v>92</v>
      </c>
      <c r="F24" t="s">
        <v>112</v>
      </c>
    </row>
    <row r="25" spans="1:7" ht="18" customHeight="1" x14ac:dyDescent="0.2">
      <c r="A25" s="301" t="s">
        <v>36</v>
      </c>
      <c r="B25" s="319">
        <f>+PGETX!$H$39</f>
        <v>49391.67</v>
      </c>
      <c r="C25" s="320">
        <f t="shared" si="0"/>
        <v>5929.3721488595438</v>
      </c>
      <c r="D25" s="65">
        <f>+PGETX!E39</f>
        <v>36885</v>
      </c>
      <c r="E25" t="s">
        <v>92</v>
      </c>
      <c r="F25" t="s">
        <v>117</v>
      </c>
      <c r="G25" t="s">
        <v>111</v>
      </c>
    </row>
    <row r="26" spans="1:7" ht="18" customHeight="1" x14ac:dyDescent="0.2">
      <c r="A26" s="301" t="s">
        <v>128</v>
      </c>
      <c r="B26" s="358">
        <f>+CIG!D43</f>
        <v>26811.869999999995</v>
      </c>
      <c r="C26" s="344">
        <f t="shared" si="0"/>
        <v>3218.7118847539009</v>
      </c>
      <c r="D26" s="65">
        <f>+CIG!A43</f>
        <v>36885</v>
      </c>
      <c r="E26" t="s">
        <v>92</v>
      </c>
      <c r="F26" t="s">
        <v>114</v>
      </c>
    </row>
    <row r="27" spans="1:7" ht="18" customHeight="1" x14ac:dyDescent="0.2">
      <c r="A27" s="301" t="s">
        <v>107</v>
      </c>
      <c r="B27" s="254">
        <f>SUM(B12:B26)</f>
        <v>9236410.1099999994</v>
      </c>
      <c r="C27" s="302">
        <f>SUM(C12:C26)</f>
        <v>1111265.7034813927</v>
      </c>
    </row>
    <row r="28" spans="1:7" ht="18" customHeight="1" x14ac:dyDescent="0.2"/>
    <row r="29" spans="1:7" ht="18" customHeight="1" x14ac:dyDescent="0.2"/>
    <row r="30" spans="1:7" ht="18" customHeight="1" x14ac:dyDescent="0.2">
      <c r="A30" s="307" t="s">
        <v>100</v>
      </c>
      <c r="B30" s="308" t="s">
        <v>18</v>
      </c>
      <c r="C30" s="309" t="s">
        <v>0</v>
      </c>
      <c r="D30" s="310" t="s">
        <v>87</v>
      </c>
      <c r="E30" s="307" t="s">
        <v>101</v>
      </c>
      <c r="F30" s="348" t="s">
        <v>116</v>
      </c>
      <c r="G30" s="307" t="s">
        <v>109</v>
      </c>
    </row>
    <row r="31" spans="1:7" ht="18" customHeight="1" x14ac:dyDescent="0.2">
      <c r="A31" s="301" t="s">
        <v>1</v>
      </c>
      <c r="B31" s="319">
        <f>+C31*$P$12</f>
        <v>-927676.25</v>
      </c>
      <c r="C31" s="320">
        <f>+NW!$F$41</f>
        <v>-117875</v>
      </c>
      <c r="D31" s="327">
        <f>+NW!B41</f>
        <v>36885</v>
      </c>
      <c r="E31" t="s">
        <v>91</v>
      </c>
      <c r="F31" t="s">
        <v>113</v>
      </c>
    </row>
    <row r="32" spans="1:7" ht="18" customHeight="1" x14ac:dyDescent="0.2">
      <c r="A32" s="301" t="s">
        <v>120</v>
      </c>
      <c r="B32" s="319">
        <f>+EOG!J41</f>
        <v>-542742.14</v>
      </c>
      <c r="C32" s="320">
        <f>+B32/$P$13</f>
        <v>-65155.118847539015</v>
      </c>
      <c r="D32" s="327">
        <f>+EOG!A41</f>
        <v>36885</v>
      </c>
      <c r="E32" t="s">
        <v>92</v>
      </c>
      <c r="F32" t="s">
        <v>117</v>
      </c>
    </row>
    <row r="33" spans="1:7" ht="18" customHeight="1" x14ac:dyDescent="0.2">
      <c r="A33" s="301" t="s">
        <v>7</v>
      </c>
      <c r="B33" s="319">
        <f>+C33*$P$12</f>
        <v>-371369.56</v>
      </c>
      <c r="C33" s="320">
        <f>+Amoco!D40</f>
        <v>-47188</v>
      </c>
      <c r="D33" s="65">
        <f>+Amoco!A40</f>
        <v>36885</v>
      </c>
      <c r="E33" t="s">
        <v>91</v>
      </c>
      <c r="F33" t="s">
        <v>114</v>
      </c>
    </row>
    <row r="34" spans="1:7" ht="18" customHeight="1" x14ac:dyDescent="0.2">
      <c r="A34" s="301" t="s">
        <v>30</v>
      </c>
      <c r="B34" s="319">
        <f>+C34*$P$12</f>
        <v>-271790.45</v>
      </c>
      <c r="C34" s="320">
        <f>+williams!J40</f>
        <v>-34535</v>
      </c>
      <c r="D34" s="65">
        <f>+williams!A40</f>
        <v>36885</v>
      </c>
      <c r="E34" t="s">
        <v>91</v>
      </c>
      <c r="F34" t="s">
        <v>118</v>
      </c>
    </row>
    <row r="35" spans="1:7" ht="18" customHeight="1" x14ac:dyDescent="0.2">
      <c r="A35" s="301" t="s">
        <v>127</v>
      </c>
      <c r="B35" s="319">
        <f>+Continental!F43</f>
        <v>-262668.69</v>
      </c>
      <c r="C35" s="320">
        <f>+B35/$P$13</f>
        <v>-31532.855942376951</v>
      </c>
      <c r="D35" s="65">
        <f>+Continental!A43</f>
        <v>36885</v>
      </c>
      <c r="E35" t="s">
        <v>92</v>
      </c>
      <c r="F35" t="s">
        <v>114</v>
      </c>
    </row>
    <row r="36" spans="1:7" ht="18" customHeight="1" x14ac:dyDescent="0.2">
      <c r="A36" s="301" t="s">
        <v>35</v>
      </c>
      <c r="B36" s="319">
        <f>+C36*$P$13</f>
        <v>-142959.46</v>
      </c>
      <c r="C36" s="320">
        <f>+SoCal!D40</f>
        <v>-17162</v>
      </c>
      <c r="D36" s="65">
        <f>+SoCal!A40</f>
        <v>36885</v>
      </c>
      <c r="E36" t="s">
        <v>91</v>
      </c>
      <c r="F36" t="s">
        <v>113</v>
      </c>
    </row>
    <row r="37" spans="1:7" ht="18" customHeight="1" x14ac:dyDescent="0.2">
      <c r="A37" s="301" t="s">
        <v>97</v>
      </c>
      <c r="B37" s="319">
        <f>+NNG!$D$24</f>
        <v>-91977.789999999979</v>
      </c>
      <c r="C37" s="320">
        <f>+B37/$P$13</f>
        <v>-11041.751500600238</v>
      </c>
      <c r="D37" s="65">
        <f>+NNG!A24</f>
        <v>36885</v>
      </c>
      <c r="E37" t="s">
        <v>92</v>
      </c>
      <c r="F37" t="s">
        <v>115</v>
      </c>
    </row>
    <row r="38" spans="1:7" ht="18" customHeight="1" x14ac:dyDescent="0.2">
      <c r="A38" s="301" t="s">
        <v>25</v>
      </c>
      <c r="B38" s="359">
        <f>+'Red C'!$D$43</f>
        <v>-41423.520000000004</v>
      </c>
      <c r="C38" s="398">
        <f>+B38/$P$12</f>
        <v>-5263.4714104193145</v>
      </c>
      <c r="D38" s="327">
        <f>+'Red C'!B43</f>
        <v>36885</v>
      </c>
      <c r="E38" t="s">
        <v>92</v>
      </c>
      <c r="F38" t="s">
        <v>114</v>
      </c>
    </row>
    <row r="39" spans="1:7" ht="18" customHeight="1" x14ac:dyDescent="0.2">
      <c r="A39" s="301" t="s">
        <v>86</v>
      </c>
      <c r="B39" s="319">
        <f>+Conoco!$F$41</f>
        <v>-36502.679999999702</v>
      </c>
      <c r="C39" s="320">
        <f>+B39/$P$12</f>
        <v>-4638.2058449809019</v>
      </c>
      <c r="D39" s="65">
        <f>+Conoco!A41</f>
        <v>36885</v>
      </c>
      <c r="E39" t="s">
        <v>92</v>
      </c>
      <c r="F39" t="s">
        <v>114</v>
      </c>
    </row>
    <row r="40" spans="1:7" ht="18" customHeight="1" x14ac:dyDescent="0.2">
      <c r="A40" s="34" t="s">
        <v>125</v>
      </c>
      <c r="B40" s="319">
        <f>+[1]summary!$C$42+[1]summary!$C$43+75550*8.33</f>
        <v>-24258.300000000047</v>
      </c>
      <c r="C40" s="320">
        <f>+B40/$P$13</f>
        <v>-2912.1608643457439</v>
      </c>
      <c r="D40" s="65">
        <v>36887</v>
      </c>
      <c r="E40" t="s">
        <v>92</v>
      </c>
      <c r="F40" t="s">
        <v>112</v>
      </c>
      <c r="G40" s="34"/>
    </row>
    <row r="41" spans="1:7" ht="18" customHeight="1" x14ac:dyDescent="0.2">
      <c r="A41" s="301" t="s">
        <v>33</v>
      </c>
      <c r="B41" s="358">
        <f>+C41*$P$13</f>
        <v>-183.26</v>
      </c>
      <c r="C41" s="344">
        <f>+Lonestar!F42</f>
        <v>-22</v>
      </c>
      <c r="D41" s="327">
        <f>+Lonestar!B42</f>
        <v>36885</v>
      </c>
      <c r="E41" t="s">
        <v>91</v>
      </c>
      <c r="F41" t="s">
        <v>117</v>
      </c>
    </row>
    <row r="42" spans="1:7" ht="18" customHeight="1" x14ac:dyDescent="0.2">
      <c r="A42" s="301" t="s">
        <v>108</v>
      </c>
      <c r="B42" s="319">
        <f>SUM(B31:B41)</f>
        <v>-2713552.0999999996</v>
      </c>
      <c r="C42" s="320">
        <f>SUM(C31:C41)</f>
        <v>-337325.56441026216</v>
      </c>
      <c r="D42" s="324"/>
    </row>
    <row r="43" spans="1:7" ht="18" customHeight="1" x14ac:dyDescent="0.2">
      <c r="B43" s="319"/>
      <c r="C43" s="320"/>
    </row>
    <row r="44" spans="1:7" ht="18" customHeight="1" x14ac:dyDescent="0.2"/>
    <row r="45" spans="1:7" ht="18" customHeight="1" thickBot="1" x14ac:dyDescent="0.25">
      <c r="A45" s="34" t="s">
        <v>102</v>
      </c>
      <c r="B45" s="317">
        <f>+B42+B27</f>
        <v>6522858.0099999998</v>
      </c>
      <c r="C45" s="318">
        <f>+C42+C27</f>
        <v>773940.13907113054</v>
      </c>
    </row>
    <row r="46" spans="1:7" ht="18" customHeight="1" thickTop="1" x14ac:dyDescent="0.2"/>
    <row r="47" spans="1:7" x14ac:dyDescent="0.2">
      <c r="C47" s="366"/>
    </row>
    <row r="53" spans="1:5" x14ac:dyDescent="0.2">
      <c r="C53" s="261"/>
      <c r="E53" s="363"/>
    </row>
    <row r="57" spans="1:5" x14ac:dyDescent="0.2">
      <c r="A57" s="34" t="s">
        <v>103</v>
      </c>
    </row>
    <row r="60" spans="1:5" x14ac:dyDescent="0.2">
      <c r="B60" s="321"/>
      <c r="C60" s="343"/>
    </row>
    <row r="61" spans="1:5" x14ac:dyDescent="0.2">
      <c r="B61" s="261"/>
    </row>
    <row r="62" spans="1:5" x14ac:dyDescent="0.2">
      <c r="B62" s="261"/>
    </row>
    <row r="63" spans="1:5" x14ac:dyDescent="0.2">
      <c r="B63" s="261"/>
    </row>
    <row r="64" spans="1:5" x14ac:dyDescent="0.2">
      <c r="B64" s="261"/>
      <c r="D64" s="64"/>
    </row>
    <row r="65" spans="2:5" x14ac:dyDescent="0.2">
      <c r="B65" s="261"/>
      <c r="C65" s="366"/>
    </row>
    <row r="66" spans="2:5" x14ac:dyDescent="0.2">
      <c r="B66" s="261"/>
      <c r="C66" s="366"/>
      <c r="D66" s="356"/>
      <c r="E66" s="368"/>
    </row>
    <row r="67" spans="2:5" x14ac:dyDescent="0.2">
      <c r="B67" s="261"/>
      <c r="C67" s="366"/>
      <c r="D67" s="272"/>
    </row>
    <row r="68" spans="2:5" x14ac:dyDescent="0.2">
      <c r="B68" s="261"/>
      <c r="C68" s="366"/>
      <c r="D68" s="272"/>
    </row>
    <row r="69" spans="2:5" x14ac:dyDescent="0.2">
      <c r="B69" s="261"/>
      <c r="C69" s="366"/>
      <c r="D69" s="31"/>
    </row>
    <row r="70" spans="2:5" x14ac:dyDescent="0.2">
      <c r="B70" s="261"/>
      <c r="C70" s="366"/>
      <c r="D70" s="369"/>
    </row>
    <row r="71" spans="2:5" x14ac:dyDescent="0.2">
      <c r="B71" s="357"/>
    </row>
    <row r="72" spans="2:5" x14ac:dyDescent="0.2">
      <c r="B72" s="357"/>
      <c r="D72" s="64"/>
    </row>
    <row r="73" spans="2:5" x14ac:dyDescent="0.2">
      <c r="B73" s="356"/>
      <c r="C73" s="261"/>
    </row>
    <row r="74" spans="2:5" x14ac:dyDescent="0.2">
      <c r="B74" s="356"/>
      <c r="C74" s="261"/>
    </row>
    <row r="75" spans="2:5" x14ac:dyDescent="0.2">
      <c r="B75" s="357"/>
      <c r="C75" s="261"/>
      <c r="D75" s="64"/>
    </row>
    <row r="76" spans="2:5" x14ac:dyDescent="0.2">
      <c r="B76" s="357"/>
      <c r="D76" s="64"/>
    </row>
    <row r="77" spans="2:5" x14ac:dyDescent="0.2">
      <c r="B77" s="357"/>
    </row>
    <row r="78" spans="2:5" x14ac:dyDescent="0.2">
      <c r="B78" s="321"/>
      <c r="C78" s="32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7" workbookViewId="1">
      <selection activeCell="C47" sqref="C47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74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48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5594</v>
      </c>
      <c r="C5" s="24">
        <v>5629</v>
      </c>
      <c r="D5" s="24">
        <f>+C5-B5</f>
        <v>35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1579</v>
      </c>
      <c r="C6" s="51">
        <v>0</v>
      </c>
      <c r="D6" s="24">
        <f t="shared" ref="D6:D36" si="0">+C6-B6</f>
        <v>-1579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1579</v>
      </c>
      <c r="C7" s="51"/>
      <c r="D7" s="24">
        <f t="shared" si="0"/>
        <v>-1579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8761</v>
      </c>
      <c r="C8" s="24">
        <v>9183</v>
      </c>
      <c r="D8" s="24">
        <f t="shared" si="0"/>
        <v>422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1579</v>
      </c>
      <c r="C9" s="24">
        <v>1731</v>
      </c>
      <c r="D9" s="24">
        <f t="shared" si="0"/>
        <v>152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31709</v>
      </c>
      <c r="C10" s="24">
        <v>31353</v>
      </c>
      <c r="D10" s="24">
        <f t="shared" si="0"/>
        <v>-356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33157</v>
      </c>
      <c r="C11" s="24">
        <v>33253</v>
      </c>
      <c r="D11" s="24">
        <f t="shared" si="0"/>
        <v>96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16709</v>
      </c>
      <c r="C12" s="24">
        <v>17206</v>
      </c>
      <c r="D12" s="24">
        <f t="shared" si="0"/>
        <v>497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16519</v>
      </c>
      <c r="C13" s="24">
        <v>16796</v>
      </c>
      <c r="D13" s="24">
        <f t="shared" si="0"/>
        <v>277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16519</v>
      </c>
      <c r="C14" s="24">
        <v>16678</v>
      </c>
      <c r="D14" s="24">
        <f t="shared" si="0"/>
        <v>159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26519</v>
      </c>
      <c r="C15" s="24">
        <v>26815</v>
      </c>
      <c r="D15" s="24">
        <f t="shared" si="0"/>
        <v>296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21519</v>
      </c>
      <c r="C16" s="24">
        <v>27885</v>
      </c>
      <c r="D16" s="24">
        <f t="shared" si="0"/>
        <v>6366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39019</v>
      </c>
      <c r="C17" s="24">
        <v>35582</v>
      </c>
      <c r="D17" s="24">
        <f t="shared" si="0"/>
        <v>-3437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23120</v>
      </c>
      <c r="C18" s="24">
        <v>23869</v>
      </c>
      <c r="D18" s="24">
        <f t="shared" si="0"/>
        <v>749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25415</v>
      </c>
      <c r="C19" s="24">
        <v>25582</v>
      </c>
      <c r="D19" s="24">
        <f t="shared" si="0"/>
        <v>167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16519</v>
      </c>
      <c r="C20" s="24">
        <v>15648</v>
      </c>
      <c r="D20" s="24">
        <f t="shared" si="0"/>
        <v>-871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16519</v>
      </c>
      <c r="C21" s="24">
        <v>16732</v>
      </c>
      <c r="D21" s="24">
        <f t="shared" si="0"/>
        <v>213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16519</v>
      </c>
      <c r="C22" s="24">
        <v>16075</v>
      </c>
      <c r="D22" s="24">
        <f t="shared" si="0"/>
        <v>-444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6519</v>
      </c>
      <c r="C23" s="24">
        <v>6495</v>
      </c>
      <c r="D23" s="24">
        <f t="shared" si="0"/>
        <v>-24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988</v>
      </c>
      <c r="C24" s="24">
        <v>16</v>
      </c>
      <c r="D24" s="24">
        <f t="shared" si="0"/>
        <v>-972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11519</v>
      </c>
      <c r="C25" s="24">
        <v>11843</v>
      </c>
      <c r="D25" s="24">
        <f t="shared" si="0"/>
        <v>324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11265</v>
      </c>
      <c r="C26" s="24">
        <v>11582</v>
      </c>
      <c r="D26" s="24">
        <f t="shared" si="0"/>
        <v>317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22119</v>
      </c>
      <c r="C27" s="24">
        <v>23609</v>
      </c>
      <c r="D27" s="24">
        <f t="shared" si="0"/>
        <v>1490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33239</v>
      </c>
      <c r="C28" s="24">
        <v>33891</v>
      </c>
      <c r="D28" s="24">
        <f t="shared" si="0"/>
        <v>652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21427</v>
      </c>
      <c r="C29" s="24">
        <v>21884</v>
      </c>
      <c r="D29" s="24">
        <f t="shared" si="0"/>
        <v>457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4"/>
      <c r="W34" s="324"/>
      <c r="X34" s="324"/>
      <c r="Y34" s="324"/>
      <c r="Z34" s="149"/>
      <c r="AA34" s="150"/>
      <c r="AB34" s="150"/>
      <c r="AC34" s="150"/>
      <c r="AD34" s="324"/>
      <c r="AE34" s="324"/>
      <c r="AF34" s="324"/>
      <c r="AG34" s="324"/>
      <c r="AH34" s="324"/>
      <c r="AI34" s="324"/>
      <c r="AJ34" s="324"/>
      <c r="AK34" s="324"/>
      <c r="AL34" s="324"/>
      <c r="AM34" s="324"/>
      <c r="AN34" s="324"/>
      <c r="AO34" s="324"/>
      <c r="AP34" s="324"/>
      <c r="AQ34" s="324"/>
      <c r="AR34" s="324"/>
      <c r="AS34" s="324"/>
      <c r="AT34" s="324"/>
      <c r="AU34" s="324"/>
      <c r="AV34" s="324"/>
      <c r="AW34" s="324"/>
      <c r="AX34" s="324"/>
      <c r="AY34" s="324"/>
      <c r="AZ34" s="324"/>
      <c r="BA34" s="324"/>
      <c r="BB34" s="324"/>
      <c r="BC34" s="324"/>
      <c r="BD34" s="324"/>
      <c r="BE34" s="324"/>
      <c r="BF34" s="324"/>
      <c r="BG34" s="324"/>
      <c r="BH34" s="324"/>
      <c r="BI34" s="324"/>
      <c r="BJ34" s="324"/>
      <c r="BK34" s="324"/>
      <c r="BL34" s="324"/>
      <c r="BM34" s="32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4"/>
      <c r="W35" s="324"/>
      <c r="X35" s="324"/>
      <c r="Y35" s="324"/>
      <c r="Z35" s="149"/>
      <c r="AA35" s="150"/>
      <c r="AB35" s="150"/>
      <c r="AC35" s="150"/>
      <c r="AD35" s="324"/>
      <c r="AE35" s="324"/>
      <c r="AF35" s="324"/>
      <c r="AG35" s="324"/>
      <c r="AH35" s="324"/>
      <c r="AI35" s="324"/>
      <c r="AJ35" s="324"/>
      <c r="AK35" s="324"/>
      <c r="AL35" s="324"/>
      <c r="AM35" s="324"/>
      <c r="AN35" s="324"/>
      <c r="AO35" s="324"/>
      <c r="AP35" s="324"/>
      <c r="AQ35" s="324"/>
      <c r="AR35" s="324"/>
      <c r="AS35" s="324"/>
      <c r="AT35" s="324"/>
      <c r="AU35" s="324"/>
      <c r="AV35" s="324"/>
      <c r="AW35" s="324"/>
      <c r="AX35" s="324"/>
      <c r="AY35" s="324"/>
      <c r="AZ35" s="324"/>
      <c r="BA35" s="324"/>
      <c r="BB35" s="324"/>
      <c r="BC35" s="324"/>
      <c r="BD35" s="324"/>
      <c r="BE35" s="324"/>
      <c r="BF35" s="324"/>
      <c r="BG35" s="324"/>
      <c r="BH35" s="324"/>
      <c r="BI35" s="324"/>
      <c r="BJ35" s="324"/>
      <c r="BK35" s="324"/>
      <c r="BL35" s="324"/>
      <c r="BM35" s="324"/>
    </row>
    <row r="36" spans="1:65" ht="14.1" customHeight="1" x14ac:dyDescent="0.2">
      <c r="A36" s="12"/>
      <c r="B36" s="24">
        <f>SUM(B5:B35)</f>
        <v>425930</v>
      </c>
      <c r="C36" s="24">
        <f>SUM(C5:C35)</f>
        <v>429337</v>
      </c>
      <c r="D36" s="24">
        <f t="shared" si="0"/>
        <v>3407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4"/>
      <c r="W36" s="324"/>
      <c r="X36" s="324"/>
      <c r="Y36" s="324"/>
      <c r="Z36" s="149"/>
      <c r="AA36" s="150"/>
      <c r="AB36" s="150"/>
      <c r="AC36" s="150"/>
      <c r="AD36" s="324"/>
      <c r="AE36" s="324"/>
      <c r="AF36" s="324"/>
      <c r="AG36" s="324"/>
      <c r="AH36" s="324"/>
      <c r="AI36" s="324"/>
      <c r="AJ36" s="324"/>
      <c r="AK36" s="324"/>
      <c r="AL36" s="324"/>
      <c r="AM36" s="324"/>
      <c r="AN36" s="324"/>
      <c r="AO36" s="324"/>
      <c r="AP36" s="324"/>
      <c r="AQ36" s="324"/>
      <c r="AR36" s="324"/>
      <c r="AS36" s="324"/>
      <c r="AT36" s="324"/>
      <c r="AU36" s="324"/>
      <c r="AV36" s="324"/>
      <c r="AW36" s="324"/>
      <c r="AX36" s="324"/>
      <c r="AY36" s="324"/>
      <c r="AZ36" s="324"/>
      <c r="BA36" s="324"/>
      <c r="BB36" s="324"/>
      <c r="BC36" s="324"/>
      <c r="BD36" s="324"/>
      <c r="BE36" s="324"/>
      <c r="BF36" s="324"/>
      <c r="BG36" s="324"/>
      <c r="BH36" s="324"/>
      <c r="BI36" s="324"/>
      <c r="BJ36" s="324"/>
      <c r="BK36" s="324"/>
      <c r="BL36" s="324"/>
      <c r="BM36" s="32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4"/>
      <c r="W37" s="324"/>
      <c r="X37" s="324"/>
      <c r="Y37" s="324"/>
      <c r="Z37" s="206"/>
      <c r="AA37" s="208"/>
      <c r="AB37" s="208"/>
      <c r="AC37" s="208"/>
      <c r="AD37" s="324"/>
      <c r="AE37" s="324"/>
      <c r="AF37" s="324"/>
      <c r="AG37" s="324"/>
      <c r="AH37" s="324"/>
      <c r="AI37" s="324"/>
      <c r="AJ37" s="324"/>
      <c r="AK37" s="324"/>
      <c r="AL37" s="324"/>
      <c r="AM37" s="324"/>
      <c r="AN37" s="324"/>
      <c r="AO37" s="324"/>
      <c r="AP37" s="324"/>
      <c r="AQ37" s="324"/>
      <c r="AR37" s="324"/>
      <c r="AS37" s="324"/>
      <c r="AT37" s="324"/>
      <c r="AU37" s="324"/>
      <c r="AV37" s="324"/>
      <c r="AW37" s="324"/>
      <c r="AX37" s="324"/>
      <c r="AY37" s="324"/>
      <c r="AZ37" s="324"/>
      <c r="BA37" s="324"/>
      <c r="BB37" s="324"/>
      <c r="BC37" s="324"/>
      <c r="BD37" s="324"/>
      <c r="BE37" s="324"/>
      <c r="BF37" s="324"/>
      <c r="BG37" s="324"/>
      <c r="BH37" s="324"/>
      <c r="BI37" s="324"/>
      <c r="BJ37" s="324"/>
      <c r="BK37" s="324"/>
      <c r="BL37" s="324"/>
      <c r="BM37" s="324"/>
    </row>
    <row r="38" spans="1:65" x14ac:dyDescent="0.2">
      <c r="B38" s="257">
        <v>36860</v>
      </c>
      <c r="C38" s="24"/>
      <c r="D38" s="374">
        <v>70059</v>
      </c>
      <c r="E38" s="2"/>
      <c r="G38" s="24"/>
      <c r="H38" s="24"/>
      <c r="I38" s="150"/>
      <c r="J38" s="324"/>
      <c r="K38" s="150"/>
      <c r="L38" s="150"/>
      <c r="M38" s="150"/>
      <c r="N38" s="324"/>
      <c r="O38" s="150"/>
      <c r="P38" s="150"/>
      <c r="Q38" s="150"/>
      <c r="R38" s="324"/>
      <c r="S38" s="150"/>
      <c r="T38" s="150"/>
      <c r="U38" s="150"/>
      <c r="V38" s="324"/>
      <c r="W38" s="324"/>
      <c r="X38" s="324"/>
      <c r="Y38" s="324"/>
      <c r="Z38" s="324"/>
      <c r="AA38" s="150"/>
      <c r="AB38" s="150"/>
      <c r="AC38" s="150"/>
      <c r="AD38" s="324"/>
      <c r="AE38" s="324"/>
      <c r="AF38" s="324"/>
      <c r="AG38" s="324"/>
      <c r="AH38" s="324"/>
      <c r="AI38" s="324"/>
      <c r="AJ38" s="324"/>
      <c r="AK38" s="324"/>
      <c r="AL38" s="324"/>
      <c r="AM38" s="324"/>
      <c r="AN38" s="324"/>
      <c r="AO38" s="324"/>
      <c r="AP38" s="324"/>
      <c r="AQ38" s="324"/>
      <c r="AR38" s="324"/>
      <c r="AS38" s="324"/>
      <c r="AT38" s="324"/>
      <c r="AU38" s="324"/>
      <c r="AV38" s="324"/>
      <c r="AW38" s="324"/>
      <c r="AX38" s="324"/>
      <c r="AY38" s="324"/>
      <c r="AZ38" s="324"/>
      <c r="BA38" s="324"/>
      <c r="BB38" s="324"/>
      <c r="BC38" s="324"/>
      <c r="BD38" s="324"/>
      <c r="BE38" s="324"/>
      <c r="BF38" s="324"/>
      <c r="BG38" s="324"/>
      <c r="BH38" s="324"/>
      <c r="BI38" s="324"/>
      <c r="BJ38" s="324"/>
      <c r="BK38" s="324"/>
      <c r="BL38" s="324"/>
      <c r="BM38" s="324"/>
    </row>
    <row r="39" spans="1:65" x14ac:dyDescent="0.2">
      <c r="B39" s="257"/>
      <c r="C39" s="24"/>
      <c r="D39" s="24"/>
      <c r="E39" s="2"/>
      <c r="G39" s="24"/>
      <c r="H39" s="24"/>
      <c r="I39" s="150"/>
      <c r="J39" s="324"/>
      <c r="K39" s="150"/>
      <c r="L39" s="150"/>
      <c r="M39" s="150"/>
      <c r="N39" s="324"/>
      <c r="O39" s="150"/>
      <c r="P39" s="150"/>
      <c r="Q39" s="150"/>
      <c r="R39" s="324"/>
      <c r="S39" s="150"/>
      <c r="T39" s="150"/>
      <c r="U39" s="150"/>
      <c r="V39" s="324"/>
      <c r="W39" s="324"/>
      <c r="X39" s="324"/>
      <c r="Y39" s="324"/>
      <c r="Z39" s="324"/>
      <c r="AA39" s="150"/>
      <c r="AB39" s="150"/>
      <c r="AC39" s="150"/>
      <c r="AD39" s="324"/>
      <c r="AE39" s="324"/>
      <c r="AF39" s="324"/>
      <c r="AG39" s="324"/>
      <c r="AH39" s="324"/>
      <c r="AI39" s="324"/>
      <c r="AJ39" s="324"/>
      <c r="AK39" s="324"/>
      <c r="AL39" s="324"/>
      <c r="AM39" s="324"/>
      <c r="AN39" s="324"/>
      <c r="AO39" s="324"/>
      <c r="AP39" s="324"/>
      <c r="AQ39" s="324"/>
      <c r="AR39" s="324"/>
      <c r="AS39" s="324"/>
      <c r="AT39" s="324"/>
      <c r="AU39" s="324"/>
      <c r="AV39" s="324"/>
      <c r="AW39" s="324"/>
      <c r="AX39" s="324"/>
      <c r="AY39" s="324"/>
      <c r="AZ39" s="324"/>
      <c r="BA39" s="324"/>
      <c r="BB39" s="324"/>
      <c r="BC39" s="324"/>
      <c r="BD39" s="324"/>
      <c r="BE39" s="324"/>
      <c r="BF39" s="324"/>
      <c r="BG39" s="324"/>
      <c r="BH39" s="324"/>
      <c r="BI39" s="324"/>
      <c r="BJ39" s="324"/>
      <c r="BK39" s="324"/>
      <c r="BL39" s="324"/>
      <c r="BM39" s="324"/>
    </row>
    <row r="40" spans="1:65" ht="13.5" thickBot="1" x14ac:dyDescent="0.25">
      <c r="B40" s="257">
        <v>36885</v>
      </c>
      <c r="C40" s="24"/>
      <c r="D40" s="195">
        <f>+D36+D38</f>
        <v>73466</v>
      </c>
      <c r="E40" s="196"/>
      <c r="G40" s="24"/>
      <c r="H40" s="24"/>
      <c r="I40" s="150"/>
      <c r="J40" s="324"/>
      <c r="K40" s="150"/>
      <c r="L40" s="150"/>
      <c r="M40" s="150"/>
      <c r="N40" s="324"/>
      <c r="O40" s="150"/>
      <c r="P40" s="150"/>
      <c r="Q40" s="169"/>
      <c r="R40" s="324"/>
      <c r="S40" s="150"/>
      <c r="T40" s="150"/>
      <c r="U40" s="169"/>
      <c r="V40" s="324"/>
      <c r="W40" s="324"/>
      <c r="X40" s="324"/>
      <c r="Y40" s="324"/>
      <c r="Z40" s="324"/>
      <c r="AA40" s="150"/>
      <c r="AB40" s="150"/>
      <c r="AC40" s="169"/>
      <c r="AD40" s="324"/>
      <c r="AE40" s="324"/>
      <c r="AF40" s="324"/>
      <c r="AG40" s="324"/>
      <c r="AH40" s="324"/>
      <c r="AI40" s="324"/>
      <c r="AJ40" s="324"/>
      <c r="AK40" s="324"/>
      <c r="AL40" s="324"/>
      <c r="AM40" s="324"/>
      <c r="AN40" s="324"/>
      <c r="AO40" s="324"/>
      <c r="AP40" s="324"/>
      <c r="AQ40" s="324"/>
      <c r="AR40" s="324"/>
      <c r="AS40" s="324"/>
      <c r="AT40" s="324"/>
      <c r="AU40" s="324"/>
      <c r="AV40" s="324"/>
      <c r="AW40" s="324"/>
      <c r="AX40" s="324"/>
      <c r="AY40" s="324"/>
      <c r="AZ40" s="324"/>
      <c r="BA40" s="324"/>
      <c r="BB40" s="324"/>
      <c r="BC40" s="324"/>
      <c r="BD40" s="324"/>
      <c r="BE40" s="324"/>
      <c r="BF40" s="324"/>
      <c r="BG40" s="324"/>
      <c r="BH40" s="324"/>
      <c r="BI40" s="324"/>
      <c r="BJ40" s="324"/>
      <c r="BK40" s="324"/>
      <c r="BL40" s="324"/>
      <c r="BM40" s="324"/>
    </row>
    <row r="41" spans="1:65" ht="13.5" thickTop="1" x14ac:dyDescent="0.2">
      <c r="B41" s="258"/>
      <c r="C41"/>
      <c r="D41"/>
      <c r="E41" s="2"/>
      <c r="I41" s="324"/>
      <c r="J41" s="324"/>
      <c r="K41" s="324"/>
      <c r="L41" s="324"/>
      <c r="M41" s="324"/>
      <c r="N41" s="324"/>
      <c r="O41" s="324"/>
      <c r="P41" s="324"/>
      <c r="Q41" s="324"/>
      <c r="R41" s="324"/>
      <c r="S41" s="324"/>
      <c r="T41" s="324"/>
      <c r="U41" s="324"/>
      <c r="V41" s="324"/>
      <c r="W41" s="324"/>
      <c r="X41" s="324"/>
      <c r="Y41" s="324"/>
      <c r="Z41" s="324"/>
      <c r="AA41" s="324"/>
      <c r="AB41" s="324"/>
      <c r="AC41" s="324"/>
      <c r="AD41" s="324"/>
      <c r="AE41" s="324"/>
      <c r="AF41" s="324"/>
      <c r="AG41" s="324"/>
      <c r="AH41" s="324"/>
      <c r="AI41" s="324"/>
      <c r="AJ41" s="324"/>
      <c r="AK41" s="324"/>
      <c r="AL41" s="324"/>
      <c r="AM41" s="324"/>
      <c r="AN41" s="324"/>
      <c r="AO41" s="324"/>
      <c r="AP41" s="324"/>
      <c r="AQ41" s="324"/>
      <c r="AR41" s="324"/>
      <c r="AS41" s="324"/>
      <c r="AT41" s="324"/>
      <c r="AU41" s="324"/>
      <c r="AV41" s="324"/>
      <c r="AW41" s="324"/>
      <c r="AX41" s="324"/>
      <c r="AY41" s="324"/>
      <c r="AZ41" s="324"/>
      <c r="BA41" s="324"/>
      <c r="BB41" s="324"/>
      <c r="BC41" s="324"/>
      <c r="BD41" s="324"/>
      <c r="BE41" s="324"/>
      <c r="BF41" s="324"/>
      <c r="BG41" s="324"/>
      <c r="BH41" s="324"/>
      <c r="BI41" s="324"/>
      <c r="BJ41" s="324"/>
      <c r="BK41" s="324"/>
      <c r="BL41" s="324"/>
      <c r="BM41" s="324"/>
    </row>
    <row r="42" spans="1:65" x14ac:dyDescent="0.2">
      <c r="B42" s="2"/>
      <c r="C42"/>
      <c r="D42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  <c r="AA42" s="324"/>
      <c r="AB42" s="324"/>
      <c r="AC42" s="324"/>
      <c r="AD42" s="324"/>
      <c r="AE42" s="324"/>
      <c r="AF42" s="324"/>
      <c r="AG42" s="324"/>
      <c r="AH42" s="324"/>
      <c r="AI42" s="324"/>
      <c r="AJ42" s="324"/>
      <c r="AK42" s="324"/>
      <c r="AL42" s="324"/>
      <c r="AM42" s="324"/>
      <c r="AN42" s="324"/>
      <c r="AO42" s="324"/>
      <c r="AP42" s="324"/>
      <c r="AQ42" s="324"/>
      <c r="AR42" s="324"/>
      <c r="AS42" s="324"/>
      <c r="AT42" s="324"/>
      <c r="AU42" s="324"/>
      <c r="AV42" s="324"/>
      <c r="AW42" s="324"/>
      <c r="AX42" s="324"/>
      <c r="AY42" s="324"/>
      <c r="AZ42" s="324"/>
      <c r="BA42" s="324"/>
      <c r="BB42" s="324"/>
      <c r="BC42" s="324"/>
      <c r="BD42" s="324"/>
      <c r="BE42" s="324"/>
      <c r="BF42" s="324"/>
      <c r="BG42" s="324"/>
      <c r="BH42" s="324"/>
      <c r="BI42" s="324"/>
      <c r="BJ42" s="324"/>
      <c r="BK42" s="324"/>
      <c r="BL42" s="324"/>
      <c r="BM42" s="324"/>
    </row>
    <row r="43" spans="1:65" x14ac:dyDescent="0.2">
      <c r="B43"/>
      <c r="C43"/>
      <c r="D43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24"/>
      <c r="Z43" s="324"/>
      <c r="AA43" s="324"/>
      <c r="AB43" s="324"/>
      <c r="AC43" s="324"/>
      <c r="AD43" s="324"/>
      <c r="AE43" s="324"/>
      <c r="AF43" s="324"/>
      <c r="AG43" s="324"/>
      <c r="AH43" s="324"/>
      <c r="AI43" s="324"/>
      <c r="AJ43" s="324"/>
      <c r="AK43" s="324"/>
      <c r="AL43" s="324"/>
      <c r="AM43" s="324"/>
      <c r="AN43" s="324"/>
      <c r="AO43" s="324"/>
      <c r="AP43" s="324"/>
      <c r="AQ43" s="324"/>
      <c r="AR43" s="324"/>
      <c r="AS43" s="324"/>
      <c r="AT43" s="324"/>
      <c r="AU43" s="324"/>
      <c r="AV43" s="324"/>
      <c r="AW43" s="324"/>
      <c r="AX43" s="324"/>
      <c r="AY43" s="324"/>
      <c r="AZ43" s="324"/>
      <c r="BA43" s="324"/>
      <c r="BB43" s="324"/>
      <c r="BC43" s="324"/>
      <c r="BD43" s="324"/>
      <c r="BE43" s="324"/>
      <c r="BF43" s="324"/>
      <c r="BG43" s="324"/>
      <c r="BH43" s="324"/>
      <c r="BI43" s="324"/>
      <c r="BJ43" s="324"/>
      <c r="BK43" s="324"/>
      <c r="BL43" s="324"/>
      <c r="BM43" s="324"/>
    </row>
    <row r="44" spans="1:65" x14ac:dyDescent="0.2">
      <c r="B44"/>
      <c r="C44"/>
      <c r="D44"/>
      <c r="I44" s="324"/>
      <c r="J44" s="324"/>
      <c r="K44" s="324"/>
      <c r="L44" s="324"/>
      <c r="M44" s="324"/>
      <c r="N44" s="324"/>
      <c r="O44" s="324"/>
      <c r="P44" s="324"/>
      <c r="Q44" s="324"/>
      <c r="R44" s="324"/>
      <c r="S44" s="324"/>
      <c r="T44" s="324"/>
      <c r="U44" s="324"/>
      <c r="V44" s="324"/>
      <c r="W44" s="324"/>
      <c r="X44" s="324"/>
      <c r="Y44" s="324"/>
      <c r="Z44" s="324"/>
      <c r="AA44" s="324"/>
      <c r="AB44" s="324"/>
      <c r="AC44" s="324"/>
      <c r="AD44" s="324"/>
      <c r="AE44" s="324"/>
      <c r="AF44" s="324"/>
      <c r="AG44" s="324"/>
      <c r="AH44" s="324"/>
      <c r="AI44" s="324"/>
      <c r="AJ44" s="324"/>
      <c r="AK44" s="324"/>
      <c r="AL44" s="324"/>
      <c r="AM44" s="324"/>
      <c r="AN44" s="324"/>
      <c r="AO44" s="324"/>
      <c r="AP44" s="324"/>
      <c r="AQ44" s="324"/>
      <c r="AR44" s="324"/>
      <c r="AS44" s="324"/>
      <c r="AT44" s="324"/>
      <c r="AU44" s="324"/>
      <c r="AV44" s="324"/>
      <c r="AW44" s="324"/>
      <c r="AX44" s="324"/>
      <c r="AY44" s="324"/>
      <c r="AZ44" s="324"/>
      <c r="BA44" s="324"/>
      <c r="BB44" s="324"/>
      <c r="BC44" s="324"/>
      <c r="BD44" s="324"/>
      <c r="BE44" s="324"/>
      <c r="BF44" s="324"/>
      <c r="BG44" s="324"/>
      <c r="BH44" s="324"/>
      <c r="BI44" s="324"/>
      <c r="BJ44" s="324"/>
      <c r="BK44" s="324"/>
      <c r="BL44" s="324"/>
      <c r="BM44" s="324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15" workbookViewId="1">
      <selection activeCell="E22" sqref="E2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51</v>
      </c>
      <c r="C2" s="205"/>
      <c r="D2" s="12" t="s">
        <v>52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29632</v>
      </c>
      <c r="C4" s="11">
        <v>30000</v>
      </c>
      <c r="D4" s="11">
        <v>22925</v>
      </c>
      <c r="E4" s="11">
        <v>25000</v>
      </c>
      <c r="F4" s="25">
        <f>+E4+C4-D4-B4</f>
        <v>2443</v>
      </c>
      <c r="G4" s="25"/>
    </row>
    <row r="5" spans="1:7" x14ac:dyDescent="0.2">
      <c r="A5" s="41">
        <v>2</v>
      </c>
      <c r="B5" s="11">
        <v>19946</v>
      </c>
      <c r="C5" s="11">
        <v>30000</v>
      </c>
      <c r="D5" s="11">
        <v>25047</v>
      </c>
      <c r="E5" s="11">
        <v>25000</v>
      </c>
      <c r="F5" s="25">
        <f t="shared" ref="F5:F34" si="0">+E5+C5-D5-B5</f>
        <v>10007</v>
      </c>
      <c r="G5" s="25"/>
    </row>
    <row r="6" spans="1:7" x14ac:dyDescent="0.2">
      <c r="A6" s="41">
        <v>3</v>
      </c>
      <c r="B6" s="11">
        <v>24779</v>
      </c>
      <c r="C6" s="11">
        <v>29992</v>
      </c>
      <c r="D6" s="11">
        <v>18690</v>
      </c>
      <c r="E6" s="11">
        <v>24993</v>
      </c>
      <c r="F6" s="25">
        <f t="shared" si="0"/>
        <v>11516</v>
      </c>
      <c r="G6" s="25"/>
    </row>
    <row r="7" spans="1:7" x14ac:dyDescent="0.2">
      <c r="A7" s="41">
        <v>4</v>
      </c>
      <c r="B7" s="11">
        <v>22643</v>
      </c>
      <c r="C7" s="11">
        <v>30000</v>
      </c>
      <c r="D7" s="11">
        <v>17753</v>
      </c>
      <c r="E7" s="11">
        <v>25000</v>
      </c>
      <c r="F7" s="25">
        <f t="shared" si="0"/>
        <v>14604</v>
      </c>
      <c r="G7" s="25"/>
    </row>
    <row r="8" spans="1:7" x14ac:dyDescent="0.2">
      <c r="A8" s="41">
        <v>5</v>
      </c>
      <c r="B8" s="11">
        <v>25628</v>
      </c>
      <c r="C8" s="11">
        <v>30000</v>
      </c>
      <c r="D8" s="11">
        <v>17735</v>
      </c>
      <c r="E8" s="11">
        <v>25000</v>
      </c>
      <c r="F8" s="25">
        <f t="shared" si="0"/>
        <v>11637</v>
      </c>
      <c r="G8" s="25"/>
    </row>
    <row r="9" spans="1:7" x14ac:dyDescent="0.2">
      <c r="A9" s="41">
        <v>6</v>
      </c>
      <c r="B9" s="11">
        <v>26763</v>
      </c>
      <c r="C9" s="11">
        <v>30000</v>
      </c>
      <c r="D9" s="11">
        <v>32416</v>
      </c>
      <c r="E9" s="11">
        <v>25000</v>
      </c>
      <c r="F9" s="25">
        <f t="shared" si="0"/>
        <v>-4179</v>
      </c>
      <c r="G9" s="25"/>
    </row>
    <row r="10" spans="1:7" x14ac:dyDescent="0.2">
      <c r="A10" s="41">
        <v>7</v>
      </c>
      <c r="B10" s="11">
        <v>27062</v>
      </c>
      <c r="C10" s="11">
        <v>30300</v>
      </c>
      <c r="D10" s="11">
        <v>36668</v>
      </c>
      <c r="E10" s="11">
        <v>25000</v>
      </c>
      <c r="F10" s="25">
        <f t="shared" si="0"/>
        <v>-8430</v>
      </c>
      <c r="G10" s="25"/>
    </row>
    <row r="11" spans="1:7" x14ac:dyDescent="0.2">
      <c r="A11" s="41">
        <v>8</v>
      </c>
      <c r="B11" s="11">
        <v>28834</v>
      </c>
      <c r="C11" s="11">
        <v>29390</v>
      </c>
      <c r="D11" s="11">
        <v>37663</v>
      </c>
      <c r="E11" s="11">
        <v>32222</v>
      </c>
      <c r="F11" s="25">
        <f t="shared" si="0"/>
        <v>-4885</v>
      </c>
      <c r="G11" s="25"/>
    </row>
    <row r="12" spans="1:7" x14ac:dyDescent="0.2">
      <c r="A12" s="41">
        <v>9</v>
      </c>
      <c r="B12" s="11">
        <v>29402</v>
      </c>
      <c r="C12" s="11">
        <v>30000</v>
      </c>
      <c r="D12" s="11">
        <v>34971</v>
      </c>
      <c r="E12" s="11">
        <v>25000</v>
      </c>
      <c r="F12" s="25">
        <f t="shared" si="0"/>
        <v>-9373</v>
      </c>
      <c r="G12" s="25"/>
    </row>
    <row r="13" spans="1:7" x14ac:dyDescent="0.2">
      <c r="A13" s="41">
        <v>10</v>
      </c>
      <c r="B13" s="11">
        <v>29274</v>
      </c>
      <c r="C13" s="11">
        <v>30000</v>
      </c>
      <c r="D13" s="11">
        <v>33463</v>
      </c>
      <c r="E13" s="11">
        <v>25000</v>
      </c>
      <c r="F13" s="25">
        <f t="shared" si="0"/>
        <v>-7737</v>
      </c>
      <c r="G13" s="25"/>
    </row>
    <row r="14" spans="1:7" x14ac:dyDescent="0.2">
      <c r="A14" s="41">
        <v>11</v>
      </c>
      <c r="B14" s="11">
        <v>27694</v>
      </c>
      <c r="C14" s="11">
        <v>30000</v>
      </c>
      <c r="D14" s="11">
        <v>33683</v>
      </c>
      <c r="E14" s="11">
        <v>25000</v>
      </c>
      <c r="F14" s="25">
        <f t="shared" si="0"/>
        <v>-6377</v>
      </c>
      <c r="G14" s="25"/>
    </row>
    <row r="15" spans="1:7" x14ac:dyDescent="0.2">
      <c r="A15" s="41">
        <v>12</v>
      </c>
      <c r="B15" s="11">
        <v>24700</v>
      </c>
      <c r="C15" s="11">
        <v>30000</v>
      </c>
      <c r="D15" s="11">
        <v>27303</v>
      </c>
      <c r="E15" s="11">
        <v>31000</v>
      </c>
      <c r="F15" s="25">
        <f t="shared" si="0"/>
        <v>8997</v>
      </c>
      <c r="G15" s="25"/>
    </row>
    <row r="16" spans="1:7" x14ac:dyDescent="0.2">
      <c r="A16" s="41">
        <v>13</v>
      </c>
      <c r="B16" s="11">
        <v>28925</v>
      </c>
      <c r="C16" s="11">
        <v>29989</v>
      </c>
      <c r="D16" s="11">
        <v>30174</v>
      </c>
      <c r="E16" s="11">
        <v>30989</v>
      </c>
      <c r="F16" s="25">
        <f t="shared" si="0"/>
        <v>1879</v>
      </c>
      <c r="G16" s="25"/>
    </row>
    <row r="17" spans="1:7" x14ac:dyDescent="0.2">
      <c r="A17" s="41">
        <v>14</v>
      </c>
      <c r="B17" s="11">
        <v>29257</v>
      </c>
      <c r="C17" s="11">
        <v>30000</v>
      </c>
      <c r="D17" s="11">
        <v>31971</v>
      </c>
      <c r="E17" s="11">
        <v>28000</v>
      </c>
      <c r="F17" s="25">
        <f t="shared" si="0"/>
        <v>-3228</v>
      </c>
      <c r="G17" s="25"/>
    </row>
    <row r="18" spans="1:7" x14ac:dyDescent="0.2">
      <c r="A18" s="41">
        <v>15</v>
      </c>
      <c r="B18" s="11">
        <v>30136</v>
      </c>
      <c r="C18" s="11">
        <v>29981</v>
      </c>
      <c r="D18" s="11">
        <v>34927</v>
      </c>
      <c r="E18" s="11">
        <v>24984</v>
      </c>
      <c r="F18" s="25">
        <f t="shared" si="0"/>
        <v>-10098</v>
      </c>
      <c r="G18" s="25"/>
    </row>
    <row r="19" spans="1:7" x14ac:dyDescent="0.2">
      <c r="A19" s="41">
        <v>16</v>
      </c>
      <c r="B19" s="11">
        <v>29674</v>
      </c>
      <c r="C19" s="11">
        <v>30000</v>
      </c>
      <c r="D19" s="11">
        <v>34403</v>
      </c>
      <c r="E19" s="11">
        <v>28000</v>
      </c>
      <c r="F19" s="25">
        <f t="shared" si="0"/>
        <v>-6077</v>
      </c>
      <c r="G19" s="25"/>
    </row>
    <row r="20" spans="1:7" x14ac:dyDescent="0.2">
      <c r="A20" s="41">
        <v>17</v>
      </c>
      <c r="B20" s="11">
        <v>29616</v>
      </c>
      <c r="C20" s="11">
        <v>30000</v>
      </c>
      <c r="D20" s="11">
        <v>33558</v>
      </c>
      <c r="E20" s="11">
        <v>28000</v>
      </c>
      <c r="F20" s="25">
        <f t="shared" si="0"/>
        <v>-5174</v>
      </c>
      <c r="G20" s="25"/>
    </row>
    <row r="21" spans="1:7" x14ac:dyDescent="0.2">
      <c r="A21" s="41">
        <v>18</v>
      </c>
      <c r="B21" s="11">
        <v>29698</v>
      </c>
      <c r="C21" s="11">
        <v>30000</v>
      </c>
      <c r="D21" s="11">
        <v>31944</v>
      </c>
      <c r="E21" s="11">
        <v>28000</v>
      </c>
      <c r="F21" s="25">
        <f t="shared" si="0"/>
        <v>-3642</v>
      </c>
      <c r="G21" s="25"/>
    </row>
    <row r="22" spans="1:7" x14ac:dyDescent="0.2">
      <c r="A22" s="41">
        <v>19</v>
      </c>
      <c r="B22" s="11">
        <v>29720</v>
      </c>
      <c r="C22" s="11">
        <v>30000</v>
      </c>
      <c r="D22" s="11">
        <v>34470</v>
      </c>
      <c r="E22" s="11">
        <v>28000</v>
      </c>
      <c r="F22" s="25">
        <f t="shared" si="0"/>
        <v>-6190</v>
      </c>
      <c r="G22" s="25"/>
    </row>
    <row r="23" spans="1:7" x14ac:dyDescent="0.2">
      <c r="A23" s="41">
        <v>20</v>
      </c>
      <c r="B23" s="11">
        <v>31137</v>
      </c>
      <c r="C23" s="11">
        <v>33916</v>
      </c>
      <c r="D23" s="11">
        <v>34208</v>
      </c>
      <c r="E23" s="11">
        <v>27931</v>
      </c>
      <c r="F23" s="25">
        <f t="shared" si="0"/>
        <v>-3498</v>
      </c>
      <c r="G23" s="25"/>
    </row>
    <row r="24" spans="1:7" x14ac:dyDescent="0.2">
      <c r="A24" s="41">
        <v>21</v>
      </c>
      <c r="B24" s="11">
        <v>23948</v>
      </c>
      <c r="C24" s="11">
        <v>35000</v>
      </c>
      <c r="D24" s="11">
        <v>34570</v>
      </c>
      <c r="E24" s="11">
        <v>28000</v>
      </c>
      <c r="F24" s="25">
        <f t="shared" si="0"/>
        <v>4482</v>
      </c>
      <c r="G24" s="25"/>
    </row>
    <row r="25" spans="1:7" x14ac:dyDescent="0.2">
      <c r="A25" s="41">
        <v>22</v>
      </c>
      <c r="B25" s="11">
        <v>18108</v>
      </c>
      <c r="C25" s="11">
        <v>34989</v>
      </c>
      <c r="D25" s="11">
        <v>35411</v>
      </c>
      <c r="E25" s="11">
        <v>27992</v>
      </c>
      <c r="F25" s="25">
        <f t="shared" si="0"/>
        <v>9462</v>
      </c>
      <c r="G25" s="25"/>
    </row>
    <row r="26" spans="1:7" x14ac:dyDescent="0.2">
      <c r="A26" s="41">
        <v>23</v>
      </c>
      <c r="B26" s="11">
        <v>30974</v>
      </c>
      <c r="C26" s="11">
        <v>35133</v>
      </c>
      <c r="D26" s="11">
        <v>35384</v>
      </c>
      <c r="E26" s="11">
        <v>36000</v>
      </c>
      <c r="F26" s="25">
        <f t="shared" si="0"/>
        <v>4775</v>
      </c>
    </row>
    <row r="27" spans="1:7" x14ac:dyDescent="0.2">
      <c r="A27" s="41">
        <v>24</v>
      </c>
      <c r="B27" s="11">
        <v>25513</v>
      </c>
      <c r="C27" s="11">
        <v>35133</v>
      </c>
      <c r="D27" s="11">
        <v>32454</v>
      </c>
      <c r="E27" s="11">
        <v>36000</v>
      </c>
      <c r="F27" s="25">
        <f t="shared" si="0"/>
        <v>13166</v>
      </c>
    </row>
    <row r="28" spans="1:7" x14ac:dyDescent="0.2">
      <c r="A28" s="41">
        <v>25</v>
      </c>
      <c r="B28" s="11">
        <v>20844</v>
      </c>
      <c r="C28" s="11">
        <v>35133</v>
      </c>
      <c r="D28" s="11">
        <v>17307</v>
      </c>
      <c r="E28" s="11">
        <v>36000</v>
      </c>
      <c r="F28" s="25">
        <f t="shared" si="0"/>
        <v>32982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673907</v>
      </c>
      <c r="C35" s="11">
        <f>SUM(C4:C34)</f>
        <v>778956</v>
      </c>
      <c r="D35" s="11">
        <f>SUM(D4:D34)</f>
        <v>759098</v>
      </c>
      <c r="E35" s="11">
        <f>SUM(E4:E34)</f>
        <v>701111</v>
      </c>
      <c r="F35" s="11">
        <f>+E35-D35+C35-B35</f>
        <v>47062</v>
      </c>
    </row>
    <row r="36" spans="1:7" x14ac:dyDescent="0.2">
      <c r="A36" s="45"/>
      <c r="C36" s="14">
        <f>+C35-B35</f>
        <v>105049</v>
      </c>
      <c r="D36" s="14"/>
      <c r="E36" s="14">
        <f>+E35-D35</f>
        <v>-57987</v>
      </c>
      <c r="F36" s="47"/>
    </row>
    <row r="37" spans="1:7" x14ac:dyDescent="0.2">
      <c r="C37" s="15">
        <f>+summary!P13</f>
        <v>8.33</v>
      </c>
      <c r="D37" s="15"/>
      <c r="E37" s="15">
        <f>+C37</f>
        <v>8.33</v>
      </c>
      <c r="F37" s="24"/>
    </row>
    <row r="38" spans="1:7" x14ac:dyDescent="0.2">
      <c r="C38" s="48">
        <f>+C37*C36</f>
        <v>875058.17</v>
      </c>
      <c r="D38" s="47"/>
      <c r="E38" s="48">
        <f>+E37*E36</f>
        <v>-483031.71</v>
      </c>
      <c r="F38" s="46">
        <f>+E38+C38</f>
        <v>392026.46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36860</v>
      </c>
      <c r="C40" s="381">
        <v>622338.78</v>
      </c>
      <c r="D40" s="346"/>
      <c r="E40" s="381">
        <v>-1050867.92</v>
      </c>
      <c r="F40" s="106">
        <f>+E40+C40</f>
        <v>-428529.1399999999</v>
      </c>
      <c r="G40" s="25"/>
    </row>
    <row r="41" spans="1:7" x14ac:dyDescent="0.2">
      <c r="A41" s="57">
        <v>36885</v>
      </c>
      <c r="C41" s="50">
        <f>+C40+C38</f>
        <v>1497396.9500000002</v>
      </c>
      <c r="D41" s="50"/>
      <c r="E41" s="50">
        <f>+E40+E38</f>
        <v>-1533899.63</v>
      </c>
      <c r="F41" s="106">
        <f>+E41+C41</f>
        <v>-36502.679999999702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80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13" sqref="D13"/>
    </sheetView>
    <sheetView workbookViewId="1">
      <selection activeCell="C17" sqref="C17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56339</v>
      </c>
      <c r="B5" s="370">
        <v>874740</v>
      </c>
      <c r="C5" s="90">
        <v>852410</v>
      </c>
      <c r="D5" s="90">
        <f>+C5-B5</f>
        <v>-22330</v>
      </c>
      <c r="E5" s="291"/>
      <c r="F5" s="289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91"/>
      <c r="F6" s="289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370">
        <f>644914+24777</f>
        <v>669691</v>
      </c>
      <c r="C7" s="90">
        <v>735368</v>
      </c>
      <c r="D7" s="90">
        <f t="shared" si="0"/>
        <v>65677</v>
      </c>
      <c r="E7" s="291"/>
      <c r="F7" s="289"/>
      <c r="L7" t="s">
        <v>27</v>
      </c>
      <c r="M7">
        <v>7.6</v>
      </c>
    </row>
    <row r="8" spans="1:13" x14ac:dyDescent="0.2">
      <c r="A8" s="87">
        <v>500239</v>
      </c>
      <c r="B8" s="370">
        <v>896463</v>
      </c>
      <c r="C8" s="90">
        <v>934551</v>
      </c>
      <c r="D8" s="90">
        <f t="shared" si="0"/>
        <v>38088</v>
      </c>
      <c r="E8" s="291"/>
      <c r="F8" s="289"/>
    </row>
    <row r="9" spans="1:13" x14ac:dyDescent="0.2">
      <c r="A9" s="87">
        <v>500293</v>
      </c>
      <c r="B9" s="370">
        <v>481044</v>
      </c>
      <c r="C9" s="90">
        <v>610626</v>
      </c>
      <c r="D9" s="90">
        <f t="shared" si="0"/>
        <v>129582</v>
      </c>
      <c r="E9" s="291"/>
      <c r="F9" s="289"/>
    </row>
    <row r="10" spans="1:13" x14ac:dyDescent="0.2">
      <c r="A10" s="87">
        <v>500302</v>
      </c>
      <c r="B10" s="90"/>
      <c r="C10" s="90">
        <v>7950</v>
      </c>
      <c r="D10" s="90">
        <f t="shared" si="0"/>
        <v>7950</v>
      </c>
      <c r="E10" s="291"/>
      <c r="F10" s="289"/>
    </row>
    <row r="11" spans="1:13" x14ac:dyDescent="0.2">
      <c r="A11" s="87">
        <v>500303</v>
      </c>
      <c r="B11" s="370">
        <v>278090</v>
      </c>
      <c r="C11" s="90">
        <v>242018</v>
      </c>
      <c r="D11" s="90">
        <f t="shared" si="0"/>
        <v>-36072</v>
      </c>
      <c r="E11" s="291"/>
      <c r="F11" s="289"/>
    </row>
    <row r="12" spans="1:13" x14ac:dyDescent="0.2">
      <c r="A12" s="91">
        <v>500305</v>
      </c>
      <c r="B12" s="370">
        <v>1412054</v>
      </c>
      <c r="C12" s="90">
        <v>1344321</v>
      </c>
      <c r="D12" s="90">
        <f t="shared" si="0"/>
        <v>-67733</v>
      </c>
      <c r="E12" s="292"/>
      <c r="F12" s="289"/>
    </row>
    <row r="13" spans="1:13" x14ac:dyDescent="0.2">
      <c r="A13" s="87">
        <v>500307</v>
      </c>
      <c r="B13" s="90">
        <v>36311</v>
      </c>
      <c r="C13" s="90">
        <v>55275</v>
      </c>
      <c r="D13" s="90">
        <f t="shared" si="0"/>
        <v>18964</v>
      </c>
      <c r="E13" s="291"/>
      <c r="F13" s="289"/>
    </row>
    <row r="14" spans="1:13" x14ac:dyDescent="0.2">
      <c r="A14" s="87">
        <v>500313</v>
      </c>
      <c r="B14" s="90"/>
      <c r="C14" s="341">
        <v>3196</v>
      </c>
      <c r="D14" s="90">
        <f t="shared" si="0"/>
        <v>3196</v>
      </c>
      <c r="E14" s="291"/>
      <c r="F14" s="289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91"/>
      <c r="F15" s="289"/>
    </row>
    <row r="16" spans="1:13" x14ac:dyDescent="0.2">
      <c r="A16" s="87">
        <v>500655</v>
      </c>
      <c r="B16" s="370">
        <v>51442</v>
      </c>
      <c r="C16" s="90"/>
      <c r="D16" s="90">
        <f t="shared" si="0"/>
        <v>-51442</v>
      </c>
      <c r="E16" s="291"/>
      <c r="F16" s="289"/>
    </row>
    <row r="17" spans="1:6" x14ac:dyDescent="0.2">
      <c r="A17" s="87">
        <v>500657</v>
      </c>
      <c r="B17" s="371">
        <v>257670</v>
      </c>
      <c r="C17" s="88">
        <v>228846</v>
      </c>
      <c r="D17" s="94">
        <f t="shared" si="0"/>
        <v>-28824</v>
      </c>
      <c r="E17" s="291"/>
      <c r="F17" s="289"/>
    </row>
    <row r="18" spans="1:6" x14ac:dyDescent="0.2">
      <c r="A18" s="87"/>
      <c r="B18" s="88"/>
      <c r="C18" s="88"/>
      <c r="D18" s="88">
        <f>SUM(D5:D17)</f>
        <v>57056</v>
      </c>
      <c r="E18" s="291"/>
      <c r="F18" s="289"/>
    </row>
    <row r="19" spans="1:6" x14ac:dyDescent="0.2">
      <c r="A19" s="87" t="s">
        <v>88</v>
      </c>
      <c r="B19" s="88"/>
      <c r="C19" s="88"/>
      <c r="D19" s="95">
        <f>+summary!P13</f>
        <v>8.33</v>
      </c>
      <c r="E19" s="293"/>
      <c r="F19" s="289"/>
    </row>
    <row r="20" spans="1:6" x14ac:dyDescent="0.2">
      <c r="A20" s="87"/>
      <c r="B20" s="88"/>
      <c r="C20" s="88"/>
      <c r="D20" s="96">
        <f>+D19*D18</f>
        <v>475276.48</v>
      </c>
      <c r="E20" s="209"/>
      <c r="F20" s="290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36860</v>
      </c>
      <c r="B22" s="88"/>
      <c r="C22" s="88"/>
      <c r="D22" s="382">
        <v>-122087.9</v>
      </c>
      <c r="E22" s="209"/>
      <c r="F22" s="66"/>
    </row>
    <row r="23" spans="1:6" x14ac:dyDescent="0.2">
      <c r="A23" s="87"/>
      <c r="B23" s="88"/>
      <c r="C23" s="88"/>
      <c r="D23" s="96"/>
      <c r="E23" s="209"/>
      <c r="F23" s="66"/>
    </row>
    <row r="24" spans="1:6" ht="13.5" thickBot="1" x14ac:dyDescent="0.25">
      <c r="A24" s="99">
        <v>36885</v>
      </c>
      <c r="B24" s="88"/>
      <c r="C24" s="88"/>
      <c r="D24" s="98">
        <f>+D22+D20</f>
        <v>353188.57999999996</v>
      </c>
      <c r="E24" s="209"/>
      <c r="F24" s="66"/>
    </row>
    <row r="25" spans="1:6" ht="13.5" thickTop="1" x14ac:dyDescent="0.2">
      <c r="E25" s="294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31" workbookViewId="1">
      <selection activeCell="C55" sqref="C55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105467</v>
      </c>
      <c r="C5" s="11">
        <f>177825+10</f>
        <v>177835</v>
      </c>
      <c r="D5" s="11"/>
      <c r="E5" s="11">
        <v>77908</v>
      </c>
      <c r="F5" s="11">
        <f>+D5+C5-E5-B5</f>
        <v>-5540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131083</v>
      </c>
      <c r="C6" s="11">
        <f>174103+3</f>
        <v>174106</v>
      </c>
      <c r="D6" s="11"/>
      <c r="E6" s="11">
        <v>45263</v>
      </c>
      <c r="F6" s="11">
        <f>+D6+C6-E6-B6</f>
        <v>-2240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134074</v>
      </c>
      <c r="C7" s="11">
        <v>161714</v>
      </c>
      <c r="D7" s="11"/>
      <c r="E7" s="11">
        <v>31644</v>
      </c>
      <c r="F7" s="11">
        <f>+D7+C7-E7-B7</f>
        <v>-4004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147980</v>
      </c>
      <c r="C8" s="11">
        <v>162355</v>
      </c>
      <c r="D8" s="11"/>
      <c r="E8" s="11">
        <v>16460</v>
      </c>
      <c r="F8" s="11">
        <f t="shared" ref="F8:F35" si="5">+D8+C8-E8-B8</f>
        <v>-2085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145971</v>
      </c>
      <c r="C9" s="11">
        <v>164906</v>
      </c>
      <c r="D9" s="11"/>
      <c r="E9" s="11">
        <v>22551</v>
      </c>
      <c r="F9" s="11">
        <f t="shared" si="5"/>
        <v>-3616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127718</v>
      </c>
      <c r="C10" s="11">
        <f>170115+232</f>
        <v>170347</v>
      </c>
      <c r="D10" s="11"/>
      <c r="E10" s="11">
        <v>45207</v>
      </c>
      <c r="F10" s="11">
        <f t="shared" si="5"/>
        <v>-2578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172839</v>
      </c>
      <c r="C11" s="11">
        <f>176576+1380</f>
        <v>177956</v>
      </c>
      <c r="D11" s="11"/>
      <c r="E11" s="11">
        <v>8766</v>
      </c>
      <c r="F11" s="11">
        <f t="shared" si="5"/>
        <v>-3649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168553</v>
      </c>
      <c r="C12" s="11">
        <f>186268+631</f>
        <v>186899</v>
      </c>
      <c r="D12" s="11"/>
      <c r="E12" s="11">
        <v>21417</v>
      </c>
      <c r="F12" s="11">
        <f t="shared" si="5"/>
        <v>-3071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147907</v>
      </c>
      <c r="C13" s="11">
        <f>173785+1452</f>
        <v>175237</v>
      </c>
      <c r="D13" s="11"/>
      <c r="E13" s="11">
        <v>28501</v>
      </c>
      <c r="F13" s="11">
        <f t="shared" si="5"/>
        <v>-1171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156409</v>
      </c>
      <c r="C14" s="11">
        <f>163271+1506</f>
        <v>164777</v>
      </c>
      <c r="D14" s="11"/>
      <c r="E14" s="11">
        <v>11318</v>
      </c>
      <c r="F14" s="11">
        <f t="shared" si="5"/>
        <v>-2950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>
        <v>123568</v>
      </c>
      <c r="C15" s="11">
        <v>164677</v>
      </c>
      <c r="D15" s="11"/>
      <c r="E15" s="11">
        <v>40741</v>
      </c>
      <c r="F15" s="11">
        <f t="shared" si="5"/>
        <v>368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>
        <v>166229</v>
      </c>
      <c r="C16" s="11">
        <v>185212</v>
      </c>
      <c r="D16" s="11"/>
      <c r="E16" s="11">
        <v>22793</v>
      </c>
      <c r="F16" s="11">
        <f t="shared" si="5"/>
        <v>-3810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>
        <v>156491</v>
      </c>
      <c r="C17" s="11">
        <f>177663+688</f>
        <v>178351</v>
      </c>
      <c r="D17" s="11"/>
      <c r="E17" s="11">
        <v>25001</v>
      </c>
      <c r="F17" s="11">
        <f t="shared" si="5"/>
        <v>-3141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>
        <v>140824</v>
      </c>
      <c r="C18" s="11">
        <v>153538</v>
      </c>
      <c r="D18" s="11"/>
      <c r="E18" s="11">
        <v>15227</v>
      </c>
      <c r="F18" s="11">
        <f t="shared" si="5"/>
        <v>-2513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>
        <v>159652</v>
      </c>
      <c r="C19" s="11">
        <v>176538</v>
      </c>
      <c r="D19" s="11"/>
      <c r="E19" s="11">
        <v>19424</v>
      </c>
      <c r="F19" s="11">
        <f t="shared" si="5"/>
        <v>-2538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>
        <v>154895</v>
      </c>
      <c r="C20" s="11">
        <v>164011</v>
      </c>
      <c r="D20" s="11"/>
      <c r="E20" s="11">
        <v>11465</v>
      </c>
      <c r="F20" s="11">
        <f t="shared" si="5"/>
        <v>-2349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>
        <v>142559</v>
      </c>
      <c r="C21" s="11">
        <v>163518</v>
      </c>
      <c r="D21" s="11"/>
      <c r="E21" s="11">
        <v>24182</v>
      </c>
      <c r="F21" s="11">
        <f t="shared" si="5"/>
        <v>-3223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>
        <v>182382</v>
      </c>
      <c r="C22" s="11">
        <v>185948</v>
      </c>
      <c r="D22" s="11"/>
      <c r="E22" s="11">
        <v>7223</v>
      </c>
      <c r="F22" s="11">
        <f t="shared" si="5"/>
        <v>-3657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148178</v>
      </c>
      <c r="C23" s="11">
        <v>156546</v>
      </c>
      <c r="D23" s="11"/>
      <c r="E23" s="11">
        <v>12871</v>
      </c>
      <c r="F23" s="11">
        <f t="shared" si="5"/>
        <v>-4503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153844</v>
      </c>
      <c r="C24" s="11">
        <v>153538</v>
      </c>
      <c r="D24" s="11"/>
      <c r="E24" s="11">
        <v>2510</v>
      </c>
      <c r="F24" s="11">
        <f t="shared" si="5"/>
        <v>-2816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162746</v>
      </c>
      <c r="C25" s="11">
        <v>167538</v>
      </c>
      <c r="D25" s="11"/>
      <c r="E25" s="11">
        <v>7650</v>
      </c>
      <c r="F25" s="11">
        <f t="shared" si="5"/>
        <v>-2858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166258</v>
      </c>
      <c r="C26" s="11">
        <v>181221</v>
      </c>
      <c r="D26" s="11"/>
      <c r="E26" s="11"/>
      <c r="F26" s="11">
        <f t="shared" si="5"/>
        <v>14963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164668</v>
      </c>
      <c r="C27" s="11">
        <v>174965</v>
      </c>
      <c r="D27" s="11"/>
      <c r="E27" s="11">
        <v>8893</v>
      </c>
      <c r="F27" s="11">
        <f t="shared" si="5"/>
        <v>1404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141426</v>
      </c>
      <c r="C28" s="11">
        <v>169219</v>
      </c>
      <c r="D28" s="11"/>
      <c r="E28" s="11">
        <v>27435</v>
      </c>
      <c r="F28" s="11">
        <f t="shared" si="5"/>
        <v>358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136316</v>
      </c>
      <c r="C29" s="11">
        <v>167125</v>
      </c>
      <c r="D29" s="11"/>
      <c r="E29" s="11">
        <v>28033</v>
      </c>
      <c r="F29" s="11">
        <f t="shared" si="5"/>
        <v>2776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3738037</v>
      </c>
      <c r="C36" s="11">
        <f>SUM(C5:C35)</f>
        <v>4258077</v>
      </c>
      <c r="D36" s="11"/>
      <c r="E36" s="11">
        <f>SUM(E5:E35)</f>
        <v>562483</v>
      </c>
      <c r="F36" s="11">
        <f>SUM(F5:F35)</f>
        <v>-42443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36860</v>
      </c>
      <c r="F39" s="372">
        <v>-75432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36885</v>
      </c>
      <c r="F41" s="281">
        <f>+F39+F36</f>
        <v>-117875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9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B34" sqref="B34"/>
    </sheetView>
    <sheetView topLeftCell="A21" workbookViewId="1">
      <selection activeCell="C26" sqref="C26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77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23550</v>
      </c>
      <c r="C8" s="11">
        <v>23150</v>
      </c>
      <c r="D8" s="11">
        <f>+C8-B8</f>
        <v>-400</v>
      </c>
      <c r="E8" s="10"/>
      <c r="F8" s="11"/>
      <c r="G8" s="11"/>
      <c r="H8" s="11"/>
    </row>
    <row r="9" spans="1:8" x14ac:dyDescent="0.2">
      <c r="A9" s="10">
        <v>2</v>
      </c>
      <c r="B9" s="11">
        <v>23965</v>
      </c>
      <c r="C9" s="11">
        <v>23150</v>
      </c>
      <c r="D9" s="11">
        <f t="shared" ref="D9:D38" si="0">+C9-B9</f>
        <v>-815</v>
      </c>
      <c r="E9" s="10"/>
      <c r="F9" s="11"/>
      <c r="G9" s="11"/>
      <c r="H9" s="11"/>
    </row>
    <row r="10" spans="1:8" x14ac:dyDescent="0.2">
      <c r="A10" s="10">
        <v>3</v>
      </c>
      <c r="B10" s="11">
        <v>23996</v>
      </c>
      <c r="C10" s="11">
        <v>23150</v>
      </c>
      <c r="D10" s="11">
        <f t="shared" si="0"/>
        <v>-846</v>
      </c>
      <c r="E10" s="10"/>
      <c r="F10" s="11"/>
      <c r="G10" s="11"/>
      <c r="H10" s="11"/>
    </row>
    <row r="11" spans="1:8" x14ac:dyDescent="0.2">
      <c r="A11" s="10">
        <v>4</v>
      </c>
      <c r="B11" s="11">
        <v>23484</v>
      </c>
      <c r="C11" s="11">
        <v>23150</v>
      </c>
      <c r="D11" s="11">
        <f t="shared" si="0"/>
        <v>-334</v>
      </c>
      <c r="E11" s="10"/>
      <c r="F11" s="11"/>
      <c r="G11" s="11"/>
      <c r="H11" s="11"/>
    </row>
    <row r="12" spans="1:8" x14ac:dyDescent="0.2">
      <c r="A12" s="10">
        <v>5</v>
      </c>
      <c r="B12" s="11">
        <v>23000</v>
      </c>
      <c r="C12" s="11">
        <v>23150</v>
      </c>
      <c r="D12" s="11">
        <f t="shared" si="0"/>
        <v>150</v>
      </c>
      <c r="E12" s="10"/>
      <c r="F12" s="11"/>
      <c r="G12" s="11"/>
      <c r="H12" s="11"/>
    </row>
    <row r="13" spans="1:8" x14ac:dyDescent="0.2">
      <c r="A13" s="10">
        <v>6</v>
      </c>
      <c r="B13" s="11">
        <v>23146</v>
      </c>
      <c r="C13" s="11">
        <v>23150</v>
      </c>
      <c r="D13" s="11">
        <f t="shared" si="0"/>
        <v>4</v>
      </c>
      <c r="E13" s="10"/>
      <c r="F13" s="11"/>
      <c r="G13" s="11"/>
      <c r="H13" s="11"/>
    </row>
    <row r="14" spans="1:8" x14ac:dyDescent="0.2">
      <c r="A14" s="10">
        <v>7</v>
      </c>
      <c r="B14" s="11">
        <v>20037</v>
      </c>
      <c r="C14" s="11">
        <v>23150</v>
      </c>
      <c r="D14" s="11">
        <f t="shared" si="0"/>
        <v>3113</v>
      </c>
      <c r="E14" s="10"/>
      <c r="F14" s="11"/>
      <c r="G14" s="11"/>
      <c r="H14" s="11"/>
    </row>
    <row r="15" spans="1:8" x14ac:dyDescent="0.2">
      <c r="A15" s="10">
        <v>8</v>
      </c>
      <c r="B15" s="11">
        <v>23762</v>
      </c>
      <c r="C15" s="11">
        <v>23150</v>
      </c>
      <c r="D15" s="11">
        <f t="shared" si="0"/>
        <v>-612</v>
      </c>
      <c r="E15" s="10"/>
      <c r="F15" s="11"/>
      <c r="G15" s="11"/>
      <c r="H15" s="11"/>
    </row>
    <row r="16" spans="1:8" x14ac:dyDescent="0.2">
      <c r="A16" s="10">
        <v>9</v>
      </c>
      <c r="B16" s="11">
        <v>23829</v>
      </c>
      <c r="C16" s="11">
        <v>23150</v>
      </c>
      <c r="D16" s="11">
        <f t="shared" si="0"/>
        <v>-679</v>
      </c>
      <c r="E16" s="10"/>
      <c r="F16" s="11"/>
      <c r="G16" s="11"/>
      <c r="H16" s="11"/>
    </row>
    <row r="17" spans="1:8" x14ac:dyDescent="0.2">
      <c r="A17" s="10">
        <v>10</v>
      </c>
      <c r="B17" s="11">
        <v>23318</v>
      </c>
      <c r="C17" s="11">
        <v>23150</v>
      </c>
      <c r="D17" s="11">
        <f t="shared" si="0"/>
        <v>-168</v>
      </c>
      <c r="E17" s="10"/>
      <c r="F17" s="11"/>
      <c r="G17" s="11"/>
      <c r="H17" s="11"/>
    </row>
    <row r="18" spans="1:8" x14ac:dyDescent="0.2">
      <c r="A18" s="10">
        <v>11</v>
      </c>
      <c r="B18" s="11">
        <v>23655</v>
      </c>
      <c r="C18" s="11">
        <v>23150</v>
      </c>
      <c r="D18" s="11">
        <f t="shared" si="0"/>
        <v>-505</v>
      </c>
      <c r="E18" s="10"/>
      <c r="F18" s="11"/>
      <c r="G18" s="11"/>
      <c r="H18" s="11"/>
    </row>
    <row r="19" spans="1:8" x14ac:dyDescent="0.2">
      <c r="A19" s="10">
        <v>12</v>
      </c>
      <c r="B19" s="11">
        <v>26348</v>
      </c>
      <c r="C19" s="11">
        <v>23150</v>
      </c>
      <c r="D19" s="11">
        <f t="shared" si="0"/>
        <v>-3198</v>
      </c>
      <c r="E19" s="10"/>
      <c r="F19" s="11"/>
      <c r="G19" s="11"/>
      <c r="H19" s="11"/>
    </row>
    <row r="20" spans="1:8" x14ac:dyDescent="0.2">
      <c r="A20" s="10">
        <v>13</v>
      </c>
      <c r="B20" s="11">
        <v>39174</v>
      </c>
      <c r="C20" s="11">
        <v>43466</v>
      </c>
      <c r="D20" s="11">
        <f t="shared" si="0"/>
        <v>4292</v>
      </c>
      <c r="E20" s="10"/>
      <c r="F20" s="11"/>
      <c r="G20" s="11"/>
      <c r="H20" s="11"/>
    </row>
    <row r="21" spans="1:8" x14ac:dyDescent="0.2">
      <c r="A21" s="10">
        <v>14</v>
      </c>
      <c r="B21" s="11">
        <v>22742</v>
      </c>
      <c r="C21" s="11">
        <v>23150</v>
      </c>
      <c r="D21" s="11">
        <f t="shared" si="0"/>
        <v>408</v>
      </c>
      <c r="E21" s="10"/>
      <c r="F21" s="11"/>
      <c r="G21" s="11"/>
      <c r="H21" s="11"/>
    </row>
    <row r="22" spans="1:8" x14ac:dyDescent="0.2">
      <c r="A22" s="10">
        <v>15</v>
      </c>
      <c r="B22" s="11">
        <v>22935</v>
      </c>
      <c r="C22" s="11">
        <v>23150</v>
      </c>
      <c r="D22" s="11">
        <f t="shared" si="0"/>
        <v>215</v>
      </c>
      <c r="E22" s="10"/>
      <c r="F22" s="11"/>
      <c r="G22" s="11"/>
      <c r="H22" s="11"/>
    </row>
    <row r="23" spans="1:8" x14ac:dyDescent="0.2">
      <c r="A23" s="10">
        <v>16</v>
      </c>
      <c r="B23" s="11">
        <v>23156</v>
      </c>
      <c r="C23" s="11">
        <v>23150</v>
      </c>
      <c r="D23" s="11">
        <f t="shared" si="0"/>
        <v>-6</v>
      </c>
      <c r="E23" s="10"/>
      <c r="F23" s="11"/>
      <c r="G23" s="11"/>
      <c r="H23" s="11"/>
    </row>
    <row r="24" spans="1:8" x14ac:dyDescent="0.2">
      <c r="A24" s="10">
        <v>17</v>
      </c>
      <c r="B24" s="11">
        <v>23636</v>
      </c>
      <c r="C24" s="11">
        <v>23150</v>
      </c>
      <c r="D24" s="11">
        <f t="shared" si="0"/>
        <v>-486</v>
      </c>
      <c r="E24" s="10"/>
      <c r="F24" s="11"/>
      <c r="G24" s="11"/>
      <c r="H24" s="11"/>
    </row>
    <row r="25" spans="1:8" x14ac:dyDescent="0.2">
      <c r="A25" s="10">
        <v>18</v>
      </c>
      <c r="B25" s="11">
        <v>29873</v>
      </c>
      <c r="C25" s="11">
        <v>23150</v>
      </c>
      <c r="D25" s="11">
        <f t="shared" si="0"/>
        <v>-6723</v>
      </c>
      <c r="E25" s="10"/>
      <c r="F25" s="11"/>
      <c r="G25" s="11"/>
      <c r="H25" s="11"/>
    </row>
    <row r="26" spans="1:8" x14ac:dyDescent="0.2">
      <c r="A26" s="10">
        <v>19</v>
      </c>
      <c r="B26" s="11">
        <v>20100</v>
      </c>
      <c r="C26" s="11">
        <v>32025</v>
      </c>
      <c r="D26" s="11">
        <f t="shared" si="0"/>
        <v>11925</v>
      </c>
      <c r="E26" s="10"/>
      <c r="F26" s="11"/>
      <c r="G26" s="11"/>
      <c r="H26" s="11"/>
    </row>
    <row r="27" spans="1:8" x14ac:dyDescent="0.2">
      <c r="A27" s="10">
        <v>20</v>
      </c>
      <c r="B27" s="11">
        <v>23626</v>
      </c>
      <c r="C27" s="11">
        <v>23150</v>
      </c>
      <c r="D27" s="11">
        <f t="shared" si="0"/>
        <v>-476</v>
      </c>
      <c r="E27" s="10"/>
      <c r="F27" s="11"/>
      <c r="G27" s="11"/>
      <c r="H27" s="11"/>
    </row>
    <row r="28" spans="1:8" x14ac:dyDescent="0.2">
      <c r="A28" s="10">
        <v>21</v>
      </c>
      <c r="B28" s="11">
        <v>41512</v>
      </c>
      <c r="C28" s="11">
        <v>41280</v>
      </c>
      <c r="D28" s="11">
        <f t="shared" si="0"/>
        <v>-232</v>
      </c>
      <c r="E28" s="10"/>
      <c r="F28" s="11"/>
      <c r="G28" s="11"/>
      <c r="H28" s="11"/>
    </row>
    <row r="29" spans="1:8" x14ac:dyDescent="0.2">
      <c r="A29" s="10">
        <v>22</v>
      </c>
      <c r="B29" s="11">
        <v>20533</v>
      </c>
      <c r="C29" s="11">
        <v>23150</v>
      </c>
      <c r="D29" s="11">
        <f t="shared" si="0"/>
        <v>2617</v>
      </c>
      <c r="E29" s="10"/>
      <c r="F29" s="11"/>
      <c r="G29" s="11"/>
      <c r="H29" s="11"/>
    </row>
    <row r="30" spans="1:8" x14ac:dyDescent="0.2">
      <c r="A30" s="10">
        <v>23</v>
      </c>
      <c r="B30" s="11">
        <v>24002</v>
      </c>
      <c r="C30" s="11">
        <v>23150</v>
      </c>
      <c r="D30" s="11">
        <f t="shared" si="0"/>
        <v>-852</v>
      </c>
      <c r="E30" s="10"/>
      <c r="F30" s="11"/>
      <c r="G30" s="11"/>
      <c r="H30" s="11"/>
    </row>
    <row r="31" spans="1:8" x14ac:dyDescent="0.2">
      <c r="A31" s="10">
        <v>24</v>
      </c>
      <c r="B31" s="11">
        <v>13702</v>
      </c>
      <c r="C31" s="11">
        <v>23150</v>
      </c>
      <c r="D31" s="11">
        <f t="shared" si="0"/>
        <v>9448</v>
      </c>
      <c r="E31" s="10"/>
      <c r="F31" s="11"/>
      <c r="G31" s="11"/>
      <c r="H31" s="11"/>
    </row>
    <row r="32" spans="1:8" x14ac:dyDescent="0.2">
      <c r="A32" s="10">
        <v>25</v>
      </c>
      <c r="B32" s="11">
        <v>23371</v>
      </c>
      <c r="C32" s="11">
        <v>23150</v>
      </c>
      <c r="D32" s="11">
        <f t="shared" si="0"/>
        <v>-221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610452</v>
      </c>
      <c r="C39" s="11">
        <f>SUM(C8:C38)</f>
        <v>626071</v>
      </c>
      <c r="D39" s="11">
        <f>SUM(D8:D38)</f>
        <v>15619</v>
      </c>
      <c r="E39" s="10"/>
      <c r="F39" s="11"/>
      <c r="G39" s="11"/>
      <c r="H39" s="11"/>
    </row>
    <row r="40" spans="1:8" x14ac:dyDescent="0.2">
      <c r="A40" s="26"/>
      <c r="D40" s="75">
        <f>+summary!P13</f>
        <v>8.33</v>
      </c>
      <c r="E40" s="26"/>
      <c r="H40" s="75"/>
    </row>
    <row r="41" spans="1:8" x14ac:dyDescent="0.2">
      <c r="D41" s="197">
        <f>+D40*D39</f>
        <v>130106.27</v>
      </c>
      <c r="F41" s="254"/>
      <c r="H41" s="197"/>
    </row>
    <row r="42" spans="1:8" x14ac:dyDescent="0.2">
      <c r="A42" s="57">
        <v>36860</v>
      </c>
      <c r="D42" s="387">
        <v>95639.73</v>
      </c>
      <c r="E42" s="57"/>
      <c r="H42" s="197"/>
    </row>
    <row r="43" spans="1:8" x14ac:dyDescent="0.2">
      <c r="A43" s="57">
        <v>36885</v>
      </c>
      <c r="D43" s="198">
        <f>+D42+D41</f>
        <v>225746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workbookViewId="0">
      <selection activeCell="B9" sqref="B9"/>
    </sheetView>
    <sheetView workbookViewId="1">
      <selection activeCell="B12" sqref="B12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9.140625" style="32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104</v>
      </c>
      <c r="G2" s="32"/>
      <c r="H2" s="15"/>
      <c r="I2" s="32"/>
      <c r="J2" s="32"/>
    </row>
    <row r="3" spans="1:10" x14ac:dyDescent="0.2">
      <c r="A3" s="2" t="s">
        <v>78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70">
        <v>36860</v>
      </c>
      <c r="C5" s="388">
        <v>-208801.6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36885</v>
      </c>
      <c r="G7" s="32"/>
      <c r="H7" s="15"/>
      <c r="I7" s="32"/>
      <c r="J7" s="32"/>
    </row>
    <row r="8" spans="1:10" x14ac:dyDescent="0.2">
      <c r="A8" s="255">
        <v>60874</v>
      </c>
      <c r="B8" s="212">
        <v>2833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5">
        <v>500248</v>
      </c>
      <c r="B10" s="212">
        <f>27418-23836</f>
        <v>3582</v>
      </c>
      <c r="G10" s="32"/>
      <c r="H10" s="15"/>
      <c r="I10" s="32"/>
      <c r="J10" s="32"/>
    </row>
    <row r="11" spans="1:10" x14ac:dyDescent="0.2">
      <c r="A11" s="255">
        <v>500251</v>
      </c>
      <c r="B11" s="354">
        <f>11058-11626</f>
        <v>-568</v>
      </c>
      <c r="G11" s="32"/>
      <c r="H11" s="15"/>
      <c r="I11" s="32"/>
      <c r="J11" s="32"/>
    </row>
    <row r="12" spans="1:10" x14ac:dyDescent="0.2">
      <c r="A12" s="255">
        <v>500254</v>
      </c>
      <c r="B12" s="212">
        <f>1389-965</f>
        <v>424</v>
      </c>
      <c r="G12" s="32"/>
      <c r="H12" s="15"/>
      <c r="I12" s="32"/>
      <c r="J12" s="32"/>
    </row>
    <row r="13" spans="1:10" x14ac:dyDescent="0.2">
      <c r="A13" s="32">
        <v>500255</v>
      </c>
      <c r="B13" s="212">
        <f>16817-25035</f>
        <v>-8218</v>
      </c>
      <c r="G13" s="32"/>
      <c r="H13" s="15"/>
      <c r="I13" s="32"/>
      <c r="J13" s="32"/>
    </row>
    <row r="14" spans="1:10" x14ac:dyDescent="0.2">
      <c r="A14" s="32">
        <v>500262</v>
      </c>
      <c r="B14" s="212">
        <f>8531-6686</f>
        <v>1845</v>
      </c>
      <c r="G14" s="32"/>
      <c r="H14" s="15"/>
      <c r="I14" s="32"/>
      <c r="J14" s="32"/>
    </row>
    <row r="15" spans="1:10" x14ac:dyDescent="0.2">
      <c r="A15" s="296">
        <v>500267</v>
      </c>
      <c r="B15" s="355">
        <f>751944-780542-34665</f>
        <v>-63263</v>
      </c>
      <c r="G15" s="32"/>
      <c r="H15" s="15"/>
      <c r="I15" s="32"/>
      <c r="J15" s="32"/>
    </row>
    <row r="16" spans="1:10" x14ac:dyDescent="0.2">
      <c r="B16" s="14">
        <f>SUM(B8:B15)</f>
        <v>-63365</v>
      </c>
      <c r="G16" s="32"/>
      <c r="H16" s="15"/>
      <c r="I16" s="32"/>
      <c r="J16" s="32"/>
    </row>
    <row r="17" spans="1:10" x14ac:dyDescent="0.2">
      <c r="B17" s="15">
        <f>+B30</f>
        <v>8.33</v>
      </c>
      <c r="C17" s="201">
        <f>+B17*B16</f>
        <v>-527830.44999999995</v>
      </c>
      <c r="G17" s="32"/>
      <c r="H17" s="15"/>
      <c r="I17" s="32"/>
      <c r="J17" s="32"/>
    </row>
    <row r="18" spans="1:10" x14ac:dyDescent="0.2">
      <c r="C18" s="260">
        <f>+C17+C5</f>
        <v>-736632.04999999993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96</v>
      </c>
      <c r="G20" s="32"/>
      <c r="H20" s="15"/>
      <c r="I20" s="32"/>
      <c r="J20" s="32"/>
    </row>
    <row r="21" spans="1:10" x14ac:dyDescent="0.2">
      <c r="A21" s="2" t="s">
        <v>79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36860</v>
      </c>
      <c r="C24" s="385">
        <v>166829.88</v>
      </c>
      <c r="G24" s="32"/>
      <c r="H24" s="15"/>
      <c r="I24" s="32"/>
      <c r="J24" s="32"/>
    </row>
    <row r="25" spans="1:10" x14ac:dyDescent="0.2">
      <c r="F25" s="272"/>
      <c r="G25" s="32"/>
      <c r="H25" s="15"/>
      <c r="I25" s="32"/>
      <c r="J25" s="32"/>
    </row>
    <row r="26" spans="1:10" x14ac:dyDescent="0.2">
      <c r="A26" s="57">
        <v>36885</v>
      </c>
      <c r="G26" s="32"/>
      <c r="H26" s="15"/>
      <c r="I26" s="32"/>
      <c r="J26" s="32"/>
    </row>
    <row r="27" spans="1:10" x14ac:dyDescent="0.2">
      <c r="A27" s="32">
        <v>9164</v>
      </c>
      <c r="B27" s="212">
        <v>12556</v>
      </c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12556</v>
      </c>
    </row>
    <row r="30" spans="1:10" x14ac:dyDescent="0.2">
      <c r="B30" s="15">
        <f>+summary!P13</f>
        <v>8.33</v>
      </c>
      <c r="C30" s="201">
        <f>+B30*B29</f>
        <v>104591.48</v>
      </c>
    </row>
    <row r="31" spans="1:10" x14ac:dyDescent="0.2">
      <c r="C31" s="260">
        <f>+C30+C24</f>
        <v>271421.36</v>
      </c>
      <c r="E31" s="15"/>
    </row>
    <row r="33" spans="1:6" x14ac:dyDescent="0.2">
      <c r="E33" s="277"/>
    </row>
    <row r="34" spans="1:6" x14ac:dyDescent="0.2">
      <c r="A34" s="32" t="s">
        <v>96</v>
      </c>
      <c r="E34" s="15"/>
    </row>
    <row r="35" spans="1:6" x14ac:dyDescent="0.2">
      <c r="A35" s="32" t="s">
        <v>80</v>
      </c>
      <c r="E35" s="15"/>
    </row>
    <row r="38" spans="1:6" x14ac:dyDescent="0.2">
      <c r="A38" s="49">
        <v>36860</v>
      </c>
      <c r="C38" s="384">
        <v>285553.17</v>
      </c>
      <c r="E38" s="15"/>
      <c r="F38" s="272"/>
    </row>
    <row r="40" spans="1:6" x14ac:dyDescent="0.2">
      <c r="A40" s="251">
        <v>36885</v>
      </c>
    </row>
    <row r="41" spans="1:6" x14ac:dyDescent="0.2">
      <c r="A41" s="255">
        <v>500241</v>
      </c>
      <c r="B41" s="14"/>
    </row>
    <row r="42" spans="1:6" x14ac:dyDescent="0.2">
      <c r="A42" s="32">
        <v>500391</v>
      </c>
      <c r="B42" s="212">
        <v>6636</v>
      </c>
    </row>
    <row r="43" spans="1:6" x14ac:dyDescent="0.2">
      <c r="A43" s="32">
        <v>500392</v>
      </c>
      <c r="B43" s="259">
        <v>1914</v>
      </c>
    </row>
    <row r="44" spans="1:6" x14ac:dyDescent="0.2">
      <c r="B44" s="14">
        <f>SUM(B41:B43)</f>
        <v>8550</v>
      </c>
    </row>
    <row r="45" spans="1:6" x14ac:dyDescent="0.2">
      <c r="B45" s="201">
        <f>+B30</f>
        <v>8.33</v>
      </c>
      <c r="C45" s="201">
        <f>+B45*B44</f>
        <v>71221.5</v>
      </c>
    </row>
    <row r="46" spans="1:6" x14ac:dyDescent="0.2">
      <c r="C46" s="260">
        <f>+C45+C38</f>
        <v>356774.67</v>
      </c>
      <c r="E46" s="206"/>
    </row>
    <row r="47" spans="1:6" x14ac:dyDescent="0.2">
      <c r="E47" s="218"/>
    </row>
    <row r="48" spans="1:6" x14ac:dyDescent="0.2">
      <c r="E48" s="206"/>
    </row>
    <row r="49" spans="1:5" x14ac:dyDescent="0.2">
      <c r="C49" s="364"/>
      <c r="E49" s="218"/>
    </row>
    <row r="50" spans="1:5" x14ac:dyDescent="0.2">
      <c r="A50" s="32" t="s">
        <v>96</v>
      </c>
    </row>
    <row r="51" spans="1:5" x14ac:dyDescent="0.2">
      <c r="A51" s="32">
        <v>21665</v>
      </c>
      <c r="C51" s="394">
        <v>73449.16</v>
      </c>
      <c r="E51" s="50"/>
    </row>
    <row r="52" spans="1:5" x14ac:dyDescent="0.2">
      <c r="A52" s="32">
        <v>22664</v>
      </c>
      <c r="C52" s="396">
        <v>23612.35</v>
      </c>
    </row>
    <row r="53" spans="1:5" x14ac:dyDescent="0.2">
      <c r="A53" s="32">
        <v>20248</v>
      </c>
      <c r="C53" s="47">
        <v>-15794</v>
      </c>
      <c r="E53" s="15"/>
    </row>
    <row r="54" spans="1:5" x14ac:dyDescent="0.2">
      <c r="A54" s="32">
        <v>25873</v>
      </c>
      <c r="C54" s="47">
        <v>-259</v>
      </c>
    </row>
    <row r="55" spans="1:5" x14ac:dyDescent="0.2">
      <c r="A55" s="32">
        <v>26758</v>
      </c>
      <c r="C55" s="47">
        <v>-596</v>
      </c>
    </row>
    <row r="56" spans="1:5" x14ac:dyDescent="0.2">
      <c r="A56" s="32">
        <v>26372</v>
      </c>
      <c r="C56" s="47">
        <v>2997.09</v>
      </c>
    </row>
    <row r="57" spans="1:5" x14ac:dyDescent="0.2">
      <c r="A57" s="32">
        <v>26700</v>
      </c>
      <c r="C57" s="47">
        <v>4077.9</v>
      </c>
    </row>
    <row r="58" spans="1:5" x14ac:dyDescent="0.2">
      <c r="A58" s="32">
        <v>26422</v>
      </c>
      <c r="C58" s="47">
        <v>8155.8</v>
      </c>
    </row>
    <row r="59" spans="1:5" x14ac:dyDescent="0.2">
      <c r="A59" s="32">
        <v>26661</v>
      </c>
      <c r="C59" s="47">
        <v>139411.09</v>
      </c>
    </row>
    <row r="60" spans="1:5" x14ac:dyDescent="0.2">
      <c r="A60" s="32">
        <v>27291</v>
      </c>
      <c r="C60" s="47">
        <v>-17965</v>
      </c>
    </row>
    <row r="61" spans="1:5" x14ac:dyDescent="0.2">
      <c r="A61" s="32">
        <v>27123</v>
      </c>
      <c r="C61" s="397">
        <v>-6425.19</v>
      </c>
    </row>
    <row r="62" spans="1:5" x14ac:dyDescent="0.2">
      <c r="C62" s="395">
        <f>+C18+C31+C46+C51+C52+C53+C54+C55+C56+C57+C58+C59+C60+C61</f>
        <v>102228.18000000004</v>
      </c>
    </row>
    <row r="63" spans="1:5" x14ac:dyDescent="0.2">
      <c r="C63" s="395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A36" sqref="A36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75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8697</v>
      </c>
      <c r="C8" s="11">
        <v>6399</v>
      </c>
      <c r="D8" s="11">
        <v>114</v>
      </c>
      <c r="E8" s="11">
        <v>179</v>
      </c>
      <c r="F8" s="11">
        <v>1543</v>
      </c>
      <c r="G8" s="11">
        <v>1323</v>
      </c>
      <c r="H8" s="11">
        <v>322</v>
      </c>
      <c r="I8" s="11">
        <v>298</v>
      </c>
      <c r="J8" s="25">
        <f>+C8-B8+E8-D8+G8-F8+I8-H8</f>
        <v>-2477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8008</v>
      </c>
      <c r="C9" s="11">
        <v>6399</v>
      </c>
      <c r="D9" s="11">
        <v>120</v>
      </c>
      <c r="E9" s="11">
        <v>179</v>
      </c>
      <c r="F9" s="11">
        <v>1630</v>
      </c>
      <c r="G9" s="11">
        <v>1323</v>
      </c>
      <c r="H9" s="11">
        <v>176</v>
      </c>
      <c r="I9" s="11">
        <v>298</v>
      </c>
      <c r="J9" s="25">
        <f t="shared" ref="J9:J38" si="0">+C9-B9+E9-D9+G9-F9+I9-H9</f>
        <v>-1735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7274</v>
      </c>
      <c r="C10" s="11">
        <v>6399</v>
      </c>
      <c r="D10" s="11">
        <v>177</v>
      </c>
      <c r="E10" s="11">
        <v>179</v>
      </c>
      <c r="F10" s="11">
        <v>1555</v>
      </c>
      <c r="G10" s="11">
        <v>1323</v>
      </c>
      <c r="H10" s="11">
        <v>41</v>
      </c>
      <c r="I10" s="11">
        <v>298</v>
      </c>
      <c r="J10" s="25">
        <f t="shared" si="0"/>
        <v>-848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6935</v>
      </c>
      <c r="C11" s="11">
        <v>6399</v>
      </c>
      <c r="D11" s="11">
        <v>213</v>
      </c>
      <c r="E11" s="11">
        <v>179</v>
      </c>
      <c r="F11" s="11">
        <v>1427</v>
      </c>
      <c r="G11" s="11">
        <v>1323</v>
      </c>
      <c r="H11" s="11">
        <v>0</v>
      </c>
      <c r="I11" s="11">
        <v>298</v>
      </c>
      <c r="J11" s="25">
        <f t="shared" si="0"/>
        <v>-376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6927</v>
      </c>
      <c r="C12" s="11">
        <v>6399</v>
      </c>
      <c r="D12" s="11">
        <v>188</v>
      </c>
      <c r="E12" s="11">
        <v>179</v>
      </c>
      <c r="F12" s="11">
        <v>1521</v>
      </c>
      <c r="G12" s="11">
        <v>1323</v>
      </c>
      <c r="H12" s="11">
        <v>5</v>
      </c>
      <c r="I12" s="11">
        <v>298</v>
      </c>
      <c r="J12" s="25">
        <f t="shared" si="0"/>
        <v>-442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2953</v>
      </c>
      <c r="C13" s="11">
        <v>6399</v>
      </c>
      <c r="D13" s="11">
        <v>167</v>
      </c>
      <c r="E13" s="11">
        <v>179</v>
      </c>
      <c r="F13" s="11">
        <v>1484</v>
      </c>
      <c r="G13" s="11">
        <v>1323</v>
      </c>
      <c r="H13" s="11">
        <v>318</v>
      </c>
      <c r="I13" s="11">
        <v>298</v>
      </c>
      <c r="J13" s="25">
        <f t="shared" si="0"/>
        <v>3277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6098</v>
      </c>
      <c r="C14" s="11">
        <v>6399</v>
      </c>
      <c r="D14" s="11">
        <v>170</v>
      </c>
      <c r="E14" s="11">
        <v>179</v>
      </c>
      <c r="F14" s="11">
        <v>442</v>
      </c>
      <c r="G14" s="11">
        <v>1323</v>
      </c>
      <c r="H14" s="11">
        <v>408</v>
      </c>
      <c r="I14" s="129">
        <v>298</v>
      </c>
      <c r="J14" s="25">
        <f t="shared" si="0"/>
        <v>1081</v>
      </c>
      <c r="K14" s="10"/>
      <c r="L14" s="11"/>
      <c r="M14" s="11"/>
      <c r="N14" s="11"/>
      <c r="O14" s="11"/>
      <c r="P14" s="11"/>
      <c r="Q14" s="11"/>
      <c r="R14" s="123"/>
      <c r="S14" s="295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8005</v>
      </c>
      <c r="C15" s="11">
        <v>6399</v>
      </c>
      <c r="D15" s="11">
        <v>97</v>
      </c>
      <c r="E15" s="11">
        <v>179</v>
      </c>
      <c r="F15" s="11">
        <v>276</v>
      </c>
      <c r="G15" s="11">
        <v>1323</v>
      </c>
      <c r="H15" s="11">
        <v>308</v>
      </c>
      <c r="I15" s="11">
        <v>298</v>
      </c>
      <c r="J15" s="25">
        <f t="shared" si="0"/>
        <v>-487</v>
      </c>
      <c r="K15" s="10"/>
      <c r="L15" s="11"/>
      <c r="M15" s="11"/>
      <c r="N15" s="11"/>
      <c r="O15" s="11"/>
      <c r="P15" s="11"/>
      <c r="Q15" s="11"/>
      <c r="R15" s="123"/>
      <c r="S15" s="295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7359</v>
      </c>
      <c r="C16" s="11">
        <v>6878</v>
      </c>
      <c r="D16" s="11">
        <v>112</v>
      </c>
      <c r="E16" s="11">
        <v>179</v>
      </c>
      <c r="F16" s="11">
        <v>346</v>
      </c>
      <c r="G16" s="11">
        <v>1323</v>
      </c>
      <c r="H16" s="11">
        <v>242</v>
      </c>
      <c r="I16" s="11">
        <v>298</v>
      </c>
      <c r="J16" s="25">
        <f t="shared" si="0"/>
        <v>619</v>
      </c>
      <c r="K16" s="10"/>
      <c r="L16" s="11"/>
      <c r="M16" s="11"/>
      <c r="N16" s="11"/>
      <c r="O16" s="11"/>
      <c r="P16" s="11"/>
      <c r="Q16" s="11"/>
      <c r="R16" s="123"/>
      <c r="S16" s="295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6248</v>
      </c>
      <c r="C17" s="11">
        <v>6857</v>
      </c>
      <c r="D17" s="11">
        <v>192</v>
      </c>
      <c r="E17" s="11">
        <v>179</v>
      </c>
      <c r="F17" s="11">
        <v>604</v>
      </c>
      <c r="G17" s="11">
        <v>1323</v>
      </c>
      <c r="H17" s="11">
        <v>201</v>
      </c>
      <c r="I17" s="11">
        <v>298</v>
      </c>
      <c r="J17" s="25">
        <f t="shared" si="0"/>
        <v>1412</v>
      </c>
      <c r="K17" s="10"/>
      <c r="L17" s="11"/>
      <c r="M17" s="11"/>
      <c r="N17" s="11"/>
      <c r="O17" s="11"/>
      <c r="P17" s="11"/>
      <c r="Q17" s="11"/>
      <c r="R17" s="123"/>
      <c r="S17" s="295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6822</v>
      </c>
      <c r="C18" s="11">
        <v>6848</v>
      </c>
      <c r="D18" s="11">
        <v>90</v>
      </c>
      <c r="E18" s="11">
        <v>179</v>
      </c>
      <c r="F18" s="11">
        <v>1135</v>
      </c>
      <c r="G18" s="11">
        <v>1323</v>
      </c>
      <c r="H18" s="11">
        <v>82</v>
      </c>
      <c r="I18" s="11">
        <v>298</v>
      </c>
      <c r="J18" s="25">
        <f t="shared" si="0"/>
        <v>519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3692</v>
      </c>
      <c r="C19" s="11">
        <v>6899</v>
      </c>
      <c r="D19" s="11">
        <v>16</v>
      </c>
      <c r="E19" s="11">
        <v>179</v>
      </c>
      <c r="F19" s="11">
        <v>1161</v>
      </c>
      <c r="G19" s="11">
        <v>1406</v>
      </c>
      <c r="H19" s="11">
        <v>143</v>
      </c>
      <c r="I19" s="11">
        <v>298</v>
      </c>
      <c r="J19" s="25">
        <f t="shared" si="0"/>
        <v>3770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6044</v>
      </c>
      <c r="C20" s="11">
        <v>6872</v>
      </c>
      <c r="D20" s="11">
        <v>99</v>
      </c>
      <c r="E20" s="11">
        <v>179</v>
      </c>
      <c r="F20" s="11">
        <v>759</v>
      </c>
      <c r="G20" s="11">
        <v>1323</v>
      </c>
      <c r="H20" s="11">
        <v>144</v>
      </c>
      <c r="I20" s="11">
        <v>298</v>
      </c>
      <c r="J20" s="25">
        <f t="shared" si="0"/>
        <v>1626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7706</v>
      </c>
      <c r="C21" s="11">
        <v>6899</v>
      </c>
      <c r="D21" s="11">
        <v>157</v>
      </c>
      <c r="E21" s="11">
        <v>179</v>
      </c>
      <c r="F21" s="11">
        <v>653</v>
      </c>
      <c r="G21" s="11">
        <v>1423</v>
      </c>
      <c r="H21" s="11">
        <v>38</v>
      </c>
      <c r="I21" s="11">
        <v>298</v>
      </c>
      <c r="J21" s="25">
        <f t="shared" si="0"/>
        <v>245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6236</v>
      </c>
      <c r="C22" s="11">
        <v>6899</v>
      </c>
      <c r="D22" s="11">
        <v>131</v>
      </c>
      <c r="E22" s="11">
        <v>179</v>
      </c>
      <c r="F22" s="11">
        <v>1179</v>
      </c>
      <c r="G22" s="11">
        <v>1323</v>
      </c>
      <c r="H22" s="11">
        <v>92</v>
      </c>
      <c r="I22" s="11">
        <v>298</v>
      </c>
      <c r="J22" s="25">
        <f t="shared" si="0"/>
        <v>1061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6459</v>
      </c>
      <c r="C23" s="11">
        <v>6899</v>
      </c>
      <c r="D23" s="11">
        <v>187</v>
      </c>
      <c r="E23" s="11">
        <v>179</v>
      </c>
      <c r="F23" s="11">
        <v>890</v>
      </c>
      <c r="G23" s="11">
        <v>1423</v>
      </c>
      <c r="H23" s="11"/>
      <c r="I23" s="11">
        <v>298</v>
      </c>
      <c r="J23" s="25">
        <f t="shared" si="0"/>
        <v>1263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6567</v>
      </c>
      <c r="C24" s="11">
        <v>6899</v>
      </c>
      <c r="D24" s="11">
        <v>202</v>
      </c>
      <c r="E24" s="11">
        <v>179</v>
      </c>
      <c r="F24" s="11">
        <v>1063</v>
      </c>
      <c r="G24" s="11">
        <v>1423</v>
      </c>
      <c r="H24" s="11"/>
      <c r="I24" s="11">
        <v>298</v>
      </c>
      <c r="J24" s="25">
        <f t="shared" si="0"/>
        <v>967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6214</v>
      </c>
      <c r="C25" s="11">
        <v>6899</v>
      </c>
      <c r="D25" s="11">
        <v>162</v>
      </c>
      <c r="E25" s="11">
        <v>179</v>
      </c>
      <c r="F25" s="11">
        <v>1759</v>
      </c>
      <c r="G25" s="11">
        <v>1423</v>
      </c>
      <c r="H25" s="11">
        <v>1038</v>
      </c>
      <c r="I25" s="11">
        <v>298</v>
      </c>
      <c r="J25" s="25">
        <f t="shared" si="0"/>
        <v>-374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6380</v>
      </c>
      <c r="C26" s="11">
        <v>6899</v>
      </c>
      <c r="D26" s="11">
        <v>137</v>
      </c>
      <c r="E26" s="11">
        <v>179</v>
      </c>
      <c r="F26" s="11">
        <v>1806</v>
      </c>
      <c r="G26" s="11">
        <v>1423</v>
      </c>
      <c r="H26" s="11">
        <v>917</v>
      </c>
      <c r="I26" s="11">
        <v>298</v>
      </c>
      <c r="J26" s="25">
        <f t="shared" si="0"/>
        <v>-441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6020</v>
      </c>
      <c r="C27" s="11">
        <v>6899</v>
      </c>
      <c r="D27" s="11">
        <v>175</v>
      </c>
      <c r="E27" s="11">
        <v>179</v>
      </c>
      <c r="F27" s="11">
        <v>1734</v>
      </c>
      <c r="G27" s="11">
        <v>1423</v>
      </c>
      <c r="H27" s="11">
        <v>804</v>
      </c>
      <c r="I27" s="11">
        <v>298</v>
      </c>
      <c r="J27" s="25">
        <f t="shared" si="0"/>
        <v>66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6377</v>
      </c>
      <c r="C28" s="11">
        <v>6899</v>
      </c>
      <c r="D28" s="11">
        <v>133</v>
      </c>
      <c r="E28" s="11">
        <v>179</v>
      </c>
      <c r="F28" s="11">
        <v>1154</v>
      </c>
      <c r="G28" s="11">
        <v>1423</v>
      </c>
      <c r="H28" s="11">
        <v>1020</v>
      </c>
      <c r="I28" s="11">
        <v>298</v>
      </c>
      <c r="J28" s="25">
        <f t="shared" si="0"/>
        <v>115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6054</v>
      </c>
      <c r="C29" s="11">
        <v>6899</v>
      </c>
      <c r="D29" s="11">
        <v>100</v>
      </c>
      <c r="E29" s="11">
        <v>179</v>
      </c>
      <c r="F29" s="11">
        <v>1462</v>
      </c>
      <c r="G29" s="11">
        <v>1423</v>
      </c>
      <c r="H29" s="11"/>
      <c r="I29" s="11">
        <v>298</v>
      </c>
      <c r="J29" s="25">
        <f t="shared" si="0"/>
        <v>1183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6365</v>
      </c>
      <c r="C30" s="11">
        <v>7371</v>
      </c>
      <c r="D30" s="11">
        <v>103</v>
      </c>
      <c r="E30" s="11">
        <v>179</v>
      </c>
      <c r="F30" s="11">
        <v>1502</v>
      </c>
      <c r="G30" s="11">
        <v>1323</v>
      </c>
      <c r="H30" s="11">
        <v>57</v>
      </c>
      <c r="I30" s="11">
        <v>1298</v>
      </c>
      <c r="J30" s="25">
        <f t="shared" si="0"/>
        <v>2144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6060</v>
      </c>
      <c r="C31" s="11">
        <v>7371</v>
      </c>
      <c r="D31" s="11">
        <v>126</v>
      </c>
      <c r="E31" s="11">
        <v>179</v>
      </c>
      <c r="F31" s="11">
        <v>1452</v>
      </c>
      <c r="G31" s="11">
        <v>1323</v>
      </c>
      <c r="H31" s="11">
        <v>824</v>
      </c>
      <c r="I31" s="11">
        <v>1298</v>
      </c>
      <c r="J31" s="25">
        <f t="shared" si="0"/>
        <v>1709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4400</v>
      </c>
      <c r="C32" s="11">
        <v>7371</v>
      </c>
      <c r="D32" s="11">
        <v>181</v>
      </c>
      <c r="E32" s="11">
        <v>179</v>
      </c>
      <c r="F32" s="11">
        <v>810</v>
      </c>
      <c r="G32" s="11">
        <v>1323</v>
      </c>
      <c r="H32" s="11">
        <v>782</v>
      </c>
      <c r="I32" s="11">
        <v>1298</v>
      </c>
      <c r="J32" s="25">
        <f t="shared" si="0"/>
        <v>3998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159900</v>
      </c>
      <c r="C39" s="11">
        <f t="shared" si="1"/>
        <v>169750</v>
      </c>
      <c r="D39" s="11">
        <f t="shared" si="1"/>
        <v>3549</v>
      </c>
      <c r="E39" s="11">
        <f t="shared" si="1"/>
        <v>4475</v>
      </c>
      <c r="F39" s="11">
        <f t="shared" si="1"/>
        <v>29347</v>
      </c>
      <c r="G39" s="11">
        <f t="shared" si="1"/>
        <v>33958</v>
      </c>
      <c r="H39" s="11">
        <f t="shared" si="1"/>
        <v>7962</v>
      </c>
      <c r="I39" s="11">
        <f t="shared" si="1"/>
        <v>10450</v>
      </c>
      <c r="J39" s="25">
        <f t="shared" si="1"/>
        <v>17875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4">
        <f>+summary!P13</f>
        <v>8.33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148898.75</v>
      </c>
      <c r="L41"/>
      <c r="R41" s="138"/>
      <c r="X41" s="138"/>
    </row>
    <row r="42" spans="1:24" x14ac:dyDescent="0.2">
      <c r="A42" s="57">
        <v>36860</v>
      </c>
      <c r="C42" s="15"/>
      <c r="J42" s="376">
        <v>509472.93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36885</v>
      </c>
      <c r="C43" s="48"/>
      <c r="J43" s="138">
        <f>+J42+J41</f>
        <v>658371.67999999993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C26" sqref="C26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76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48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17119</v>
      </c>
      <c r="C8" s="11">
        <v>21220</v>
      </c>
      <c r="D8" s="25">
        <f>+C8-B8</f>
        <v>4101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16670</v>
      </c>
      <c r="C9" s="11">
        <v>18277</v>
      </c>
      <c r="D9" s="25">
        <f>+C9-B9</f>
        <v>1607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16648</v>
      </c>
      <c r="C10" s="11">
        <v>16986</v>
      </c>
      <c r="D10" s="25">
        <f t="shared" ref="D10:D38" si="0">+C10-B10</f>
        <v>338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16896</v>
      </c>
      <c r="C11" s="11">
        <v>21488</v>
      </c>
      <c r="D11" s="25">
        <f t="shared" si="0"/>
        <v>4592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>
        <v>17028</v>
      </c>
      <c r="C12" s="11">
        <v>16345</v>
      </c>
      <c r="D12" s="25">
        <f t="shared" si="0"/>
        <v>-683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>
        <v>16981</v>
      </c>
      <c r="C13" s="11">
        <v>16988</v>
      </c>
      <c r="D13" s="25">
        <f t="shared" si="0"/>
        <v>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>
        <v>16743</v>
      </c>
      <c r="C14" s="11">
        <v>16988</v>
      </c>
      <c r="D14" s="25">
        <f t="shared" si="0"/>
        <v>245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>
        <v>16645</v>
      </c>
      <c r="C15" s="11">
        <v>16988</v>
      </c>
      <c r="D15" s="25">
        <f t="shared" si="0"/>
        <v>343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>
        <v>16869</v>
      </c>
      <c r="C16" s="11">
        <v>13954</v>
      </c>
      <c r="D16" s="25">
        <f t="shared" si="0"/>
        <v>-2915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>
        <v>17177</v>
      </c>
      <c r="C17" s="11">
        <v>16887</v>
      </c>
      <c r="D17" s="25">
        <f t="shared" si="0"/>
        <v>-290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>
        <v>15991</v>
      </c>
      <c r="C18" s="11">
        <v>16854</v>
      </c>
      <c r="D18" s="25">
        <f t="shared" si="0"/>
        <v>863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>
        <v>14061</v>
      </c>
      <c r="C19" s="11">
        <v>16789</v>
      </c>
      <c r="D19" s="25">
        <f t="shared" si="0"/>
        <v>2728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>
        <v>15546</v>
      </c>
      <c r="C20" s="11">
        <v>16211</v>
      </c>
      <c r="D20" s="25">
        <f t="shared" si="0"/>
        <v>665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>
        <v>16512</v>
      </c>
      <c r="C21" s="11">
        <v>16988</v>
      </c>
      <c r="D21" s="25">
        <f t="shared" si="0"/>
        <v>476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>
        <v>16723</v>
      </c>
      <c r="C22" s="11">
        <v>16365</v>
      </c>
      <c r="D22" s="25">
        <f t="shared" si="0"/>
        <v>-358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>
        <v>16042</v>
      </c>
      <c r="C23" s="11">
        <v>16835</v>
      </c>
      <c r="D23" s="25">
        <f t="shared" si="0"/>
        <v>793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>
        <v>16517</v>
      </c>
      <c r="C24" s="11">
        <v>16758</v>
      </c>
      <c r="D24" s="25">
        <f t="shared" si="0"/>
        <v>241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>
        <v>15605</v>
      </c>
      <c r="C25" s="11">
        <v>16758</v>
      </c>
      <c r="D25" s="25">
        <f t="shared" si="0"/>
        <v>1153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>
        <v>16163</v>
      </c>
      <c r="C26" s="11">
        <v>16628</v>
      </c>
      <c r="D26" s="25">
        <f t="shared" si="0"/>
        <v>465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>
        <v>16105</v>
      </c>
      <c r="C27" s="11">
        <v>16538</v>
      </c>
      <c r="D27" s="25">
        <f t="shared" si="0"/>
        <v>433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>
        <v>15358</v>
      </c>
      <c r="C28" s="11">
        <v>16988</v>
      </c>
      <c r="D28" s="25">
        <f t="shared" si="0"/>
        <v>1630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>
        <v>15654</v>
      </c>
      <c r="C29" s="11">
        <v>16441</v>
      </c>
      <c r="D29" s="25">
        <f t="shared" si="0"/>
        <v>787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>
        <v>15978</v>
      </c>
      <c r="C30" s="11">
        <v>16758</v>
      </c>
      <c r="D30" s="25">
        <f t="shared" si="0"/>
        <v>780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>
        <v>16251</v>
      </c>
      <c r="C31" s="11">
        <v>16758</v>
      </c>
      <c r="D31" s="25">
        <f t="shared" si="0"/>
        <v>507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>
        <v>15286</v>
      </c>
      <c r="C32" s="11">
        <v>16758</v>
      </c>
      <c r="D32" s="25">
        <f t="shared" si="0"/>
        <v>1472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406568</v>
      </c>
      <c r="C39" s="11">
        <f>SUM(C8:C38)</f>
        <v>426548</v>
      </c>
      <c r="D39" s="11">
        <f>SUM(D8:D38)</f>
        <v>19980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+summary!P13</f>
        <v>8.33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166433.4</v>
      </c>
      <c r="H41" s="138"/>
      <c r="L41" s="138"/>
      <c r="P41" s="138"/>
      <c r="T41" s="138"/>
      <c r="X41" s="138"/>
    </row>
    <row r="42" spans="1:24" x14ac:dyDescent="0.2">
      <c r="A42" s="57">
        <v>36860</v>
      </c>
      <c r="C42" s="15"/>
      <c r="D42" s="380">
        <v>-65848.31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36885</v>
      </c>
      <c r="C43" s="48"/>
      <c r="D43" s="110">
        <f>+D42+D41</f>
        <v>100585.09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topLeftCell="A2" workbookViewId="1">
      <selection activeCell="B11" sqref="B11"/>
    </sheetView>
  </sheetViews>
  <sheetFormatPr defaultRowHeight="11.25" x14ac:dyDescent="0.2"/>
  <cols>
    <col min="1" max="3" width="9.140625" style="32"/>
    <col min="4" max="4" width="12" style="32" bestFit="1" customWidth="1"/>
    <col min="5" max="16384" width="9.140625" style="32"/>
  </cols>
  <sheetData>
    <row r="4" spans="1:8" ht="12.75" x14ac:dyDescent="0.2">
      <c r="A4" s="34" t="s">
        <v>97</v>
      </c>
      <c r="B4" s="69"/>
      <c r="C4" s="297"/>
      <c r="D4" s="69"/>
    </row>
    <row r="5" spans="1:8" x14ac:dyDescent="0.2">
      <c r="B5" s="298" t="s">
        <v>21</v>
      </c>
      <c r="C5" s="298" t="s">
        <v>22</v>
      </c>
      <c r="D5" s="299" t="s">
        <v>54</v>
      </c>
    </row>
    <row r="6" spans="1:8" x14ac:dyDescent="0.2">
      <c r="A6" s="32">
        <v>1635</v>
      </c>
      <c r="B6" s="306">
        <v>-562072</v>
      </c>
      <c r="C6" s="80"/>
      <c r="D6" s="80">
        <f t="shared" ref="D6:D14" si="0">+C6-B6</f>
        <v>562072</v>
      </c>
    </row>
    <row r="7" spans="1:8" x14ac:dyDescent="0.2">
      <c r="A7" s="32">
        <v>3531</v>
      </c>
      <c r="B7" s="306">
        <v>-751415</v>
      </c>
      <c r="C7" s="306">
        <v>-719894</v>
      </c>
      <c r="D7" s="80">
        <f t="shared" si="0"/>
        <v>31521</v>
      </c>
    </row>
    <row r="8" spans="1:8" x14ac:dyDescent="0.2">
      <c r="A8" s="32">
        <v>60667</v>
      </c>
      <c r="B8" s="306">
        <v>-334488</v>
      </c>
      <c r="C8" s="306">
        <v>-543279</v>
      </c>
      <c r="D8" s="80">
        <f t="shared" si="0"/>
        <v>-208791</v>
      </c>
      <c r="H8" s="256"/>
    </row>
    <row r="9" spans="1:8" x14ac:dyDescent="0.2">
      <c r="A9" s="32">
        <v>60749</v>
      </c>
      <c r="B9" s="306">
        <v>430645</v>
      </c>
      <c r="C9" s="383">
        <v>-364017</v>
      </c>
      <c r="D9" s="80">
        <f t="shared" si="0"/>
        <v>-794662</v>
      </c>
      <c r="H9" s="256"/>
    </row>
    <row r="10" spans="1:8" x14ac:dyDescent="0.2">
      <c r="A10" s="32">
        <v>61206</v>
      </c>
      <c r="B10" s="80">
        <f>-497-19650-78-97</f>
        <v>-20322</v>
      </c>
      <c r="C10" s="80"/>
      <c r="D10" s="80">
        <f t="shared" si="0"/>
        <v>20322</v>
      </c>
      <c r="H10" s="256"/>
    </row>
    <row r="11" spans="1:8" x14ac:dyDescent="0.2">
      <c r="A11" s="32">
        <v>61334</v>
      </c>
      <c r="B11" s="306">
        <v>-372178</v>
      </c>
      <c r="C11" s="80"/>
      <c r="D11" s="80">
        <f t="shared" si="0"/>
        <v>372178</v>
      </c>
      <c r="H11" s="256"/>
    </row>
    <row r="12" spans="1:8" x14ac:dyDescent="0.2">
      <c r="A12" s="32">
        <v>62960</v>
      </c>
      <c r="B12" s="353"/>
      <c r="C12" s="80"/>
      <c r="D12" s="80">
        <f t="shared" si="0"/>
        <v>0</v>
      </c>
      <c r="H12" s="256"/>
    </row>
    <row r="13" spans="1:8" x14ac:dyDescent="0.2">
      <c r="A13" s="300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-17360</v>
      </c>
    </row>
    <row r="19" spans="1:5" x14ac:dyDescent="0.2">
      <c r="A19" s="32" t="s">
        <v>88</v>
      </c>
      <c r="B19" s="69"/>
      <c r="C19" s="69"/>
      <c r="D19" s="73">
        <f>+summary!P13</f>
        <v>8.33</v>
      </c>
    </row>
    <row r="20" spans="1:5" x14ac:dyDescent="0.2">
      <c r="B20" s="69"/>
      <c r="C20" s="69"/>
      <c r="D20" s="75">
        <f>+D19*D18</f>
        <v>-144608.79999999999</v>
      </c>
    </row>
    <row r="21" spans="1:5" x14ac:dyDescent="0.2">
      <c r="B21" s="69"/>
      <c r="C21" s="80"/>
      <c r="D21" s="304"/>
      <c r="E21" s="256"/>
    </row>
    <row r="22" spans="1:5" x14ac:dyDescent="0.2">
      <c r="A22" s="49">
        <v>36860</v>
      </c>
      <c r="B22" s="69"/>
      <c r="C22" s="80"/>
      <c r="D22" s="375">
        <v>52631.01</v>
      </c>
      <c r="E22" s="256"/>
    </row>
    <row r="23" spans="1:5" x14ac:dyDescent="0.2">
      <c r="B23" s="69"/>
      <c r="C23" s="80"/>
      <c r="D23" s="304"/>
      <c r="E23" s="256"/>
    </row>
    <row r="24" spans="1:5" ht="12" thickBot="1" x14ac:dyDescent="0.25">
      <c r="A24" s="49">
        <v>36885</v>
      </c>
      <c r="B24" s="69"/>
      <c r="C24" s="69"/>
      <c r="D24" s="305">
        <f>+D22+D20</f>
        <v>-91977.789999999979</v>
      </c>
      <c r="E24" s="256"/>
    </row>
    <row r="25" spans="1:5" ht="12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3" sqref="C13"/>
    </sheetView>
    <sheetView workbookViewId="1">
      <selection activeCell="A24" sqref="A2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90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9236</v>
      </c>
      <c r="B5" s="341">
        <v>-63712</v>
      </c>
      <c r="C5" s="90">
        <v>-98118</v>
      </c>
      <c r="D5" s="90">
        <f t="shared" ref="D5:D13" si="0">+C5-B5</f>
        <v>-34406</v>
      </c>
      <c r="E5" s="69"/>
      <c r="F5" s="70"/>
    </row>
    <row r="6" spans="1:13" x14ac:dyDescent="0.2">
      <c r="A6" s="87">
        <v>9238</v>
      </c>
      <c r="B6" s="90"/>
      <c r="C6" s="90"/>
      <c r="D6" s="90">
        <f t="shared" si="0"/>
        <v>0</v>
      </c>
      <c r="E6" s="291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41">
        <v>-2454815</v>
      </c>
      <c r="C7" s="90">
        <v>-2552677</v>
      </c>
      <c r="D7" s="90">
        <f t="shared" si="0"/>
        <v>-97862</v>
      </c>
      <c r="E7" s="291"/>
      <c r="F7" s="70"/>
    </row>
    <row r="8" spans="1:13" x14ac:dyDescent="0.2">
      <c r="A8" s="87">
        <v>58710</v>
      </c>
      <c r="B8" s="341">
        <v>-303205</v>
      </c>
      <c r="C8" s="352">
        <v>-131512</v>
      </c>
      <c r="D8" s="90">
        <f t="shared" si="0"/>
        <v>171693</v>
      </c>
      <c r="E8" s="291"/>
      <c r="F8" s="70"/>
    </row>
    <row r="9" spans="1:13" x14ac:dyDescent="0.2">
      <c r="A9" s="87">
        <v>60921</v>
      </c>
      <c r="B9" s="341">
        <v>-723382</v>
      </c>
      <c r="C9" s="90">
        <v>-752098</v>
      </c>
      <c r="D9" s="90">
        <f t="shared" si="0"/>
        <v>-28716</v>
      </c>
      <c r="E9" s="291"/>
      <c r="F9" s="70"/>
    </row>
    <row r="10" spans="1:13" x14ac:dyDescent="0.2">
      <c r="A10" s="87">
        <v>78026</v>
      </c>
      <c r="B10" s="341">
        <v>53935</v>
      </c>
      <c r="C10" s="90"/>
      <c r="D10" s="90">
        <f t="shared" si="0"/>
        <v>-53935</v>
      </c>
      <c r="E10" s="291"/>
      <c r="F10" s="289"/>
    </row>
    <row r="11" spans="1:13" x14ac:dyDescent="0.2">
      <c r="A11" s="87">
        <v>500084</v>
      </c>
      <c r="B11" s="341">
        <f>-51185-1942</f>
        <v>-53127</v>
      </c>
      <c r="C11" s="90">
        <v>-75000</v>
      </c>
      <c r="D11" s="90">
        <f t="shared" si="0"/>
        <v>-21873</v>
      </c>
      <c r="E11" s="292"/>
      <c r="F11" s="289"/>
    </row>
    <row r="12" spans="1:13" x14ac:dyDescent="0.2">
      <c r="A12" s="91">
        <v>500085</v>
      </c>
      <c r="B12" s="341">
        <v>-218343</v>
      </c>
      <c r="C12" s="352">
        <v>-123775</v>
      </c>
      <c r="D12" s="90">
        <f t="shared" si="0"/>
        <v>94568</v>
      </c>
      <c r="E12" s="291"/>
      <c r="F12" s="289"/>
    </row>
    <row r="13" spans="1:13" x14ac:dyDescent="0.2">
      <c r="A13" s="87">
        <v>500097</v>
      </c>
      <c r="B13" s="341">
        <v>-33833</v>
      </c>
      <c r="C13" s="90"/>
      <c r="D13" s="90">
        <f t="shared" si="0"/>
        <v>33833</v>
      </c>
      <c r="E13" s="291"/>
      <c r="F13" s="289"/>
    </row>
    <row r="14" spans="1:13" x14ac:dyDescent="0.2">
      <c r="A14" s="87"/>
      <c r="B14" s="90"/>
      <c r="C14" s="90"/>
      <c r="D14" s="90"/>
      <c r="E14" s="291"/>
      <c r="F14" s="289"/>
    </row>
    <row r="15" spans="1:13" x14ac:dyDescent="0.2">
      <c r="A15" s="87"/>
      <c r="B15" s="90"/>
      <c r="C15" s="90"/>
      <c r="D15" s="90"/>
      <c r="E15" s="291"/>
      <c r="F15" s="289"/>
    </row>
    <row r="16" spans="1:13" x14ac:dyDescent="0.2">
      <c r="A16" s="87"/>
      <c r="B16" s="88"/>
      <c r="C16" s="88"/>
      <c r="D16" s="94"/>
      <c r="E16" s="291"/>
      <c r="F16" s="289"/>
    </row>
    <row r="17" spans="1:7" x14ac:dyDescent="0.2">
      <c r="A17" s="87"/>
      <c r="B17" s="88"/>
      <c r="C17" s="88"/>
      <c r="D17" s="88">
        <f>SUM(D5:D16)</f>
        <v>63302</v>
      </c>
      <c r="E17" s="291"/>
      <c r="F17" s="289"/>
    </row>
    <row r="18" spans="1:7" x14ac:dyDescent="0.2">
      <c r="A18" s="87" t="s">
        <v>88</v>
      </c>
      <c r="B18" s="88"/>
      <c r="C18" s="88"/>
      <c r="D18" s="95">
        <f>+summary!P13</f>
        <v>8.33</v>
      </c>
      <c r="E18" s="293"/>
      <c r="F18" s="289"/>
    </row>
    <row r="19" spans="1:7" x14ac:dyDescent="0.2">
      <c r="A19" s="87"/>
      <c r="B19" s="88"/>
      <c r="C19" s="88"/>
      <c r="D19" s="96">
        <f>+D18*D17</f>
        <v>527305.66</v>
      </c>
      <c r="E19" s="209"/>
      <c r="F19" s="290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36860</v>
      </c>
      <c r="B21" s="88"/>
      <c r="C21" s="88"/>
      <c r="D21" s="382">
        <v>370218.8</v>
      </c>
      <c r="E21" s="209"/>
      <c r="F21" s="66"/>
    </row>
    <row r="22" spans="1:7" x14ac:dyDescent="0.2">
      <c r="A22" s="87"/>
      <c r="B22" s="88"/>
      <c r="C22" s="88"/>
      <c r="D22" s="350"/>
      <c r="E22" s="209"/>
      <c r="F22" s="66"/>
    </row>
    <row r="23" spans="1:7" ht="13.5" thickBot="1" x14ac:dyDescent="0.25">
      <c r="A23" s="99">
        <v>36885</v>
      </c>
      <c r="B23" s="88"/>
      <c r="C23" s="88"/>
      <c r="D23" s="98">
        <f>+D21+D19</f>
        <v>897524.46</v>
      </c>
      <c r="E23" s="209"/>
      <c r="F23" s="66"/>
    </row>
    <row r="24" spans="1:7" ht="13.5" thickTop="1" x14ac:dyDescent="0.2">
      <c r="E24" s="294"/>
    </row>
    <row r="25" spans="1:7" x14ac:dyDescent="0.2">
      <c r="E25" s="294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25"/>
      <c r="E36" s="69"/>
      <c r="F36" s="70"/>
      <c r="G36" s="32"/>
    </row>
    <row r="37" spans="1:7" x14ac:dyDescent="0.2">
      <c r="B37" s="69"/>
      <c r="C37" s="69"/>
      <c r="D37" s="325"/>
      <c r="E37" s="69"/>
      <c r="F37" s="70"/>
      <c r="G37" s="32"/>
    </row>
    <row r="38" spans="1:7" x14ac:dyDescent="0.2">
      <c r="B38" s="69"/>
      <c r="C38" s="69"/>
      <c r="D38" s="325"/>
      <c r="E38" s="69"/>
      <c r="F38" s="70"/>
      <c r="G38" s="32"/>
    </row>
    <row r="39" spans="1:7" x14ac:dyDescent="0.2">
      <c r="B39" s="69"/>
      <c r="C39" s="69"/>
      <c r="D39" s="325"/>
      <c r="E39" s="69"/>
      <c r="F39" s="70"/>
      <c r="G39" s="32"/>
    </row>
    <row r="40" spans="1:7" x14ac:dyDescent="0.2">
      <c r="B40" s="69"/>
      <c r="C40" s="69">
        <v>300</v>
      </c>
      <c r="D40" s="325">
        <v>7.75</v>
      </c>
      <c r="E40" s="69">
        <f>+D40*C40</f>
        <v>2325</v>
      </c>
      <c r="F40" s="70"/>
      <c r="G40" s="32"/>
    </row>
    <row r="41" spans="1:7" x14ac:dyDescent="0.2">
      <c r="B41" s="69"/>
      <c r="C41" s="69">
        <v>300</v>
      </c>
      <c r="D41" s="325">
        <v>6.375</v>
      </c>
      <c r="E41" s="69">
        <f>+D41*C41</f>
        <v>1912.5</v>
      </c>
      <c r="F41" s="70"/>
      <c r="G41" s="32"/>
    </row>
    <row r="42" spans="1:7" x14ac:dyDescent="0.2">
      <c r="B42" s="69"/>
      <c r="C42" s="69">
        <v>400</v>
      </c>
      <c r="D42" s="325">
        <v>5</v>
      </c>
      <c r="E42" s="69">
        <f>+D42*C42</f>
        <v>2000</v>
      </c>
      <c r="F42" s="70"/>
      <c r="G42" s="32"/>
    </row>
    <row r="43" spans="1:7" x14ac:dyDescent="0.2">
      <c r="B43" s="69"/>
      <c r="C43" s="69">
        <f>SUM(C40:C42)</f>
        <v>1000</v>
      </c>
      <c r="D43" s="325">
        <f>+E43/C43</f>
        <v>6.2374999999999998</v>
      </c>
      <c r="E43" s="69">
        <f>SUM(E40:E42)</f>
        <v>6237.5</v>
      </c>
      <c r="F43" s="70"/>
      <c r="G43" s="32"/>
    </row>
    <row r="44" spans="1:7" x14ac:dyDescent="0.2">
      <c r="B44" s="69"/>
      <c r="C44" s="69">
        <v>1000</v>
      </c>
      <c r="D44" s="326"/>
      <c r="E44" s="291">
        <f>+D44*C44</f>
        <v>0</v>
      </c>
      <c r="F44" s="289"/>
      <c r="G44" s="206"/>
    </row>
    <row r="45" spans="1:7" x14ac:dyDescent="0.2">
      <c r="B45" s="69"/>
      <c r="C45" s="69"/>
      <c r="D45" s="326"/>
      <c r="E45" s="291"/>
      <c r="F45" s="289"/>
      <c r="G45" s="206"/>
    </row>
    <row r="46" spans="1:7" x14ac:dyDescent="0.2">
      <c r="A46" s="32"/>
      <c r="B46" s="69"/>
      <c r="C46" s="69"/>
      <c r="D46" s="291"/>
      <c r="E46" s="291"/>
      <c r="F46" s="289"/>
      <c r="G46" s="206"/>
    </row>
    <row r="47" spans="1:7" x14ac:dyDescent="0.2">
      <c r="A47" s="32"/>
      <c r="B47" s="69"/>
      <c r="C47" s="69"/>
      <c r="D47" s="293"/>
      <c r="E47" s="293"/>
      <c r="F47" s="289"/>
      <c r="G47" s="206"/>
    </row>
    <row r="48" spans="1:7" x14ac:dyDescent="0.2">
      <c r="B48" s="69"/>
      <c r="C48" s="69"/>
      <c r="D48" s="291"/>
      <c r="E48" s="291"/>
      <c r="F48" s="290"/>
      <c r="G48" s="206"/>
    </row>
    <row r="49" spans="1:7" x14ac:dyDescent="0.2">
      <c r="B49" s="69"/>
      <c r="C49" s="69"/>
      <c r="D49" s="291"/>
      <c r="E49" s="291"/>
      <c r="F49" s="290"/>
      <c r="G49" s="206"/>
    </row>
    <row r="50" spans="1:7" x14ac:dyDescent="0.2">
      <c r="D50" s="322"/>
      <c r="E50" s="322"/>
      <c r="F50" s="323"/>
      <c r="G50" s="324"/>
    </row>
    <row r="51" spans="1:7" x14ac:dyDescent="0.2">
      <c r="A51" s="32"/>
      <c r="D51" s="67"/>
      <c r="E51" s="67"/>
      <c r="F51" s="66"/>
    </row>
    <row r="52" spans="1:7" x14ac:dyDescent="0.2">
      <c r="A52" s="32"/>
      <c r="E52" s="63"/>
      <c r="F52" s="66"/>
    </row>
    <row r="53" spans="1:7" x14ac:dyDescent="0.2">
      <c r="A53" s="32"/>
      <c r="E53" s="63"/>
      <c r="F53" s="66"/>
    </row>
    <row r="54" spans="1:7" ht="13.5" thickBot="1" x14ac:dyDescent="0.25">
      <c r="A54" s="32"/>
      <c r="D54" s="68"/>
      <c r="E54" s="68"/>
      <c r="F54" s="66"/>
    </row>
    <row r="55" spans="1:7" ht="13.5" thickTop="1" x14ac:dyDescent="0.2">
      <c r="A55" s="32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opLeftCell="A22" workbookViewId="1">
      <selection activeCell="C22" sqref="C22"/>
    </sheetView>
  </sheetViews>
  <sheetFormatPr defaultRowHeight="12.75" x14ac:dyDescent="0.2"/>
  <cols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9</v>
      </c>
      <c r="D1" s="1" t="s">
        <v>110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41033</v>
      </c>
      <c r="C4" s="11">
        <v>47479</v>
      </c>
      <c r="D4" s="11">
        <v>386304</v>
      </c>
      <c r="E4" s="11">
        <v>382606</v>
      </c>
      <c r="F4" s="11">
        <v>38081</v>
      </c>
      <c r="G4" s="11">
        <v>48634</v>
      </c>
      <c r="H4" s="11">
        <v>153724</v>
      </c>
      <c r="I4" s="11">
        <v>143155</v>
      </c>
      <c r="J4" s="11">
        <f t="shared" ref="J4:J34" si="0">+C4+E4+G4+I4-H4-F4-D4-B4</f>
        <v>2732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59989</v>
      </c>
      <c r="C5" s="11">
        <v>71232</v>
      </c>
      <c r="D5" s="11">
        <v>403458</v>
      </c>
      <c r="E5" s="11">
        <v>384185</v>
      </c>
      <c r="F5" s="11">
        <v>36007</v>
      </c>
      <c r="G5" s="11">
        <v>36585</v>
      </c>
      <c r="H5" s="11">
        <v>151696</v>
      </c>
      <c r="I5" s="11">
        <v>152989</v>
      </c>
      <c r="J5" s="11">
        <f t="shared" si="0"/>
        <v>-6159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64884</v>
      </c>
      <c r="C6" s="11">
        <v>73689</v>
      </c>
      <c r="D6" s="11">
        <v>391197</v>
      </c>
      <c r="E6" s="11">
        <v>397054</v>
      </c>
      <c r="F6" s="11">
        <v>43616</v>
      </c>
      <c r="G6" s="11">
        <v>48634</v>
      </c>
      <c r="H6" s="11">
        <v>171875</v>
      </c>
      <c r="I6" s="11">
        <v>151856</v>
      </c>
      <c r="J6" s="11">
        <f t="shared" si="0"/>
        <v>-339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72845</v>
      </c>
      <c r="C7" s="11">
        <v>72969</v>
      </c>
      <c r="D7" s="11">
        <v>370233</v>
      </c>
      <c r="E7" s="11">
        <v>375070</v>
      </c>
      <c r="F7" s="11">
        <v>41520</v>
      </c>
      <c r="G7" s="11">
        <v>48634</v>
      </c>
      <c r="H7" s="11">
        <v>162638</v>
      </c>
      <c r="I7" s="11">
        <v>146490</v>
      </c>
      <c r="J7" s="11">
        <f t="shared" si="0"/>
        <v>-4073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86850</v>
      </c>
      <c r="C8" s="11">
        <v>87100</v>
      </c>
      <c r="D8" s="11">
        <v>349554</v>
      </c>
      <c r="E8" s="11">
        <v>354190</v>
      </c>
      <c r="F8" s="11">
        <v>45007</v>
      </c>
      <c r="G8" s="11">
        <v>48634</v>
      </c>
      <c r="H8" s="11">
        <v>129789</v>
      </c>
      <c r="I8" s="11">
        <v>115758</v>
      </c>
      <c r="J8" s="11">
        <f t="shared" si="0"/>
        <v>-5518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73245</v>
      </c>
      <c r="C9" s="11">
        <v>63737</v>
      </c>
      <c r="D9" s="11">
        <v>393698</v>
      </c>
      <c r="E9" s="11">
        <v>399032</v>
      </c>
      <c r="F9" s="11">
        <v>45036</v>
      </c>
      <c r="G9" s="11">
        <v>47052</v>
      </c>
      <c r="H9" s="11">
        <v>160393</v>
      </c>
      <c r="I9" s="11">
        <v>159872</v>
      </c>
      <c r="J9" s="11">
        <f t="shared" si="0"/>
        <v>-2679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75161</v>
      </c>
      <c r="C10" s="11">
        <v>67069</v>
      </c>
      <c r="D10" s="11">
        <v>354762</v>
      </c>
      <c r="E10" s="11">
        <v>357960</v>
      </c>
      <c r="F10" s="11">
        <v>47482</v>
      </c>
      <c r="G10" s="11">
        <v>49634</v>
      </c>
      <c r="H10" s="11">
        <v>171241</v>
      </c>
      <c r="I10" s="11">
        <v>170091</v>
      </c>
      <c r="J10" s="11">
        <f t="shared" si="0"/>
        <v>-3892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74164</v>
      </c>
      <c r="C11" s="11">
        <v>64177</v>
      </c>
      <c r="D11" s="11">
        <v>360958</v>
      </c>
      <c r="E11" s="11">
        <v>364836</v>
      </c>
      <c r="F11" s="11">
        <v>43337</v>
      </c>
      <c r="G11" s="11">
        <v>49634</v>
      </c>
      <c r="H11" s="11">
        <v>165147</v>
      </c>
      <c r="I11" s="11">
        <v>160172</v>
      </c>
      <c r="J11" s="11">
        <f t="shared" si="0"/>
        <v>-4787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79821</v>
      </c>
      <c r="C12" s="11">
        <v>70948</v>
      </c>
      <c r="D12" s="11">
        <v>376404</v>
      </c>
      <c r="E12" s="11">
        <v>367006</v>
      </c>
      <c r="F12" s="11">
        <v>36696</v>
      </c>
      <c r="G12" s="11">
        <v>49445</v>
      </c>
      <c r="H12" s="11">
        <v>155105</v>
      </c>
      <c r="I12" s="11">
        <v>159892</v>
      </c>
      <c r="J12" s="11">
        <f t="shared" si="0"/>
        <v>-735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76661</v>
      </c>
      <c r="C13" s="11">
        <v>78888</v>
      </c>
      <c r="D13" s="11">
        <v>370941</v>
      </c>
      <c r="E13" s="11">
        <v>370727</v>
      </c>
      <c r="F13" s="11">
        <v>46256</v>
      </c>
      <c r="G13" s="11">
        <v>49634</v>
      </c>
      <c r="H13" s="11">
        <v>140105</v>
      </c>
      <c r="I13" s="11">
        <v>141029</v>
      </c>
      <c r="J13" s="11">
        <f t="shared" si="0"/>
        <v>6315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74009</v>
      </c>
      <c r="C14" s="11">
        <v>63470</v>
      </c>
      <c r="D14" s="11">
        <v>379203</v>
      </c>
      <c r="E14" s="11">
        <v>384429</v>
      </c>
      <c r="F14" s="11">
        <v>47147</v>
      </c>
      <c r="G14" s="11">
        <v>49634</v>
      </c>
      <c r="H14" s="11">
        <v>157262</v>
      </c>
      <c r="I14" s="11">
        <v>167982</v>
      </c>
      <c r="J14" s="11">
        <f t="shared" si="0"/>
        <v>7894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74887</v>
      </c>
      <c r="C15" s="11">
        <v>63118</v>
      </c>
      <c r="D15" s="11">
        <v>371023</v>
      </c>
      <c r="E15" s="11">
        <v>380378</v>
      </c>
      <c r="F15" s="11">
        <v>16894</v>
      </c>
      <c r="G15" s="11">
        <v>49634</v>
      </c>
      <c r="H15" s="11">
        <v>148358</v>
      </c>
      <c r="I15" s="11">
        <v>144322</v>
      </c>
      <c r="J15" s="11">
        <f t="shared" si="0"/>
        <v>26290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46233</v>
      </c>
      <c r="C16" s="11">
        <v>57685</v>
      </c>
      <c r="D16" s="11">
        <v>369488</v>
      </c>
      <c r="E16" s="11">
        <v>352026</v>
      </c>
      <c r="F16" s="11">
        <v>48965</v>
      </c>
      <c r="G16" s="11">
        <v>46503</v>
      </c>
      <c r="H16" s="11">
        <v>149509</v>
      </c>
      <c r="I16" s="11">
        <v>152847</v>
      </c>
      <c r="J16" s="11">
        <f t="shared" si="0"/>
        <v>-5134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35761</v>
      </c>
      <c r="C17" s="11">
        <v>48937</v>
      </c>
      <c r="D17" s="11">
        <v>363620</v>
      </c>
      <c r="E17" s="11">
        <v>357197</v>
      </c>
      <c r="F17" s="11">
        <v>57692</v>
      </c>
      <c r="G17" s="11">
        <v>49017</v>
      </c>
      <c r="H17" s="11">
        <v>140228</v>
      </c>
      <c r="I17" s="11">
        <v>141399</v>
      </c>
      <c r="J17" s="11">
        <f t="shared" si="0"/>
        <v>-751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50850</v>
      </c>
      <c r="C18" s="11">
        <v>50899</v>
      </c>
      <c r="D18" s="11">
        <v>393572</v>
      </c>
      <c r="E18" s="11">
        <v>393441</v>
      </c>
      <c r="F18" s="11">
        <v>51801</v>
      </c>
      <c r="G18" s="11">
        <v>49378</v>
      </c>
      <c r="H18" s="11">
        <v>153273</v>
      </c>
      <c r="I18" s="11">
        <v>153529</v>
      </c>
      <c r="J18" s="11">
        <f t="shared" si="0"/>
        <v>-2249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64953</v>
      </c>
      <c r="C19" s="11">
        <v>63754</v>
      </c>
      <c r="D19" s="11">
        <v>360765</v>
      </c>
      <c r="E19" s="11">
        <v>355443</v>
      </c>
      <c r="F19" s="11">
        <v>70118</v>
      </c>
      <c r="G19" s="11">
        <v>72130</v>
      </c>
      <c r="H19" s="11">
        <v>119699</v>
      </c>
      <c r="I19" s="11">
        <v>120351</v>
      </c>
      <c r="J19" s="11">
        <f t="shared" si="0"/>
        <v>-3857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65022</v>
      </c>
      <c r="C20" s="11">
        <v>58374</v>
      </c>
      <c r="D20" s="11">
        <v>353354</v>
      </c>
      <c r="E20" s="11">
        <v>355446</v>
      </c>
      <c r="F20" s="11">
        <v>72391</v>
      </c>
      <c r="G20" s="11">
        <v>72130</v>
      </c>
      <c r="H20" s="11">
        <v>112811</v>
      </c>
      <c r="I20" s="11">
        <v>123153</v>
      </c>
      <c r="J20" s="11">
        <f t="shared" si="0"/>
        <v>5525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59652</v>
      </c>
      <c r="C21" s="11">
        <v>63384</v>
      </c>
      <c r="D21" s="11">
        <v>378732</v>
      </c>
      <c r="E21" s="11">
        <v>366403</v>
      </c>
      <c r="F21" s="11">
        <v>62349</v>
      </c>
      <c r="G21" s="11">
        <v>66537</v>
      </c>
      <c r="H21" s="11">
        <v>150054</v>
      </c>
      <c r="I21" s="11">
        <v>150008</v>
      </c>
      <c r="J21" s="11">
        <f t="shared" si="0"/>
        <v>-4455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42249</v>
      </c>
      <c r="C22" s="11">
        <v>57651</v>
      </c>
      <c r="D22" s="11">
        <v>356474</v>
      </c>
      <c r="E22" s="11">
        <v>355569</v>
      </c>
      <c r="F22" s="11">
        <v>67835</v>
      </c>
      <c r="G22" s="11">
        <v>66616</v>
      </c>
      <c r="H22" s="11">
        <v>162327</v>
      </c>
      <c r="I22" s="11">
        <v>157991</v>
      </c>
      <c r="J22" s="11">
        <f t="shared" si="0"/>
        <v>8942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56722</v>
      </c>
      <c r="C23" s="11">
        <v>55452</v>
      </c>
      <c r="D23" s="11">
        <v>331339</v>
      </c>
      <c r="E23" s="11">
        <v>339674</v>
      </c>
      <c r="F23" s="11">
        <v>70002</v>
      </c>
      <c r="G23" s="11">
        <v>68692</v>
      </c>
      <c r="H23" s="11">
        <v>166018</v>
      </c>
      <c r="I23" s="11">
        <v>154353</v>
      </c>
      <c r="J23" s="11">
        <f t="shared" si="0"/>
        <v>-5910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60745</v>
      </c>
      <c r="C24" s="11">
        <v>55196</v>
      </c>
      <c r="D24" s="11">
        <v>260235</v>
      </c>
      <c r="E24" s="11">
        <v>260000</v>
      </c>
      <c r="F24" s="11">
        <v>64031</v>
      </c>
      <c r="G24" s="11">
        <v>73078</v>
      </c>
      <c r="H24" s="11">
        <v>154464</v>
      </c>
      <c r="I24" s="11">
        <v>146740</v>
      </c>
      <c r="J24" s="11">
        <f t="shared" si="0"/>
        <v>-4461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63980</v>
      </c>
      <c r="C25" s="11">
        <v>46705</v>
      </c>
      <c r="D25" s="11">
        <v>339359</v>
      </c>
      <c r="E25" s="11">
        <v>347926</v>
      </c>
      <c r="F25" s="11">
        <v>70269</v>
      </c>
      <c r="G25" s="11">
        <v>72131</v>
      </c>
      <c r="H25" s="11">
        <v>150905</v>
      </c>
      <c r="I25" s="11">
        <v>150249</v>
      </c>
      <c r="J25" s="11">
        <f t="shared" si="0"/>
        <v>-7502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63726</v>
      </c>
      <c r="C26" s="11">
        <v>43178</v>
      </c>
      <c r="D26" s="11">
        <v>343232</v>
      </c>
      <c r="E26" s="11">
        <v>355876</v>
      </c>
      <c r="F26" s="11">
        <v>79743</v>
      </c>
      <c r="G26" s="11">
        <v>75218</v>
      </c>
      <c r="H26" s="11">
        <v>155918</v>
      </c>
      <c r="I26" s="11">
        <v>158919</v>
      </c>
      <c r="J26" s="11">
        <f t="shared" si="0"/>
        <v>-9428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64206</v>
      </c>
      <c r="C27" s="11">
        <v>47399</v>
      </c>
      <c r="D27" s="11">
        <v>342521</v>
      </c>
      <c r="E27" s="11">
        <v>368186</v>
      </c>
      <c r="F27" s="11">
        <v>78786</v>
      </c>
      <c r="G27" s="11">
        <v>75835</v>
      </c>
      <c r="H27" s="11">
        <v>153264</v>
      </c>
      <c r="I27" s="11">
        <v>160430</v>
      </c>
      <c r="J27" s="11">
        <f t="shared" si="0"/>
        <v>13073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62358</v>
      </c>
      <c r="C28" s="11">
        <v>39090</v>
      </c>
      <c r="D28" s="11">
        <v>343976</v>
      </c>
      <c r="E28" s="11">
        <v>359786</v>
      </c>
      <c r="F28" s="11">
        <v>71632</v>
      </c>
      <c r="G28" s="11">
        <v>75834</v>
      </c>
      <c r="H28" s="11">
        <v>157193</v>
      </c>
      <c r="I28" s="11">
        <v>161433</v>
      </c>
      <c r="J28" s="11">
        <f t="shared" si="0"/>
        <v>984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1590006</v>
      </c>
      <c r="C35" s="11">
        <f t="shared" ref="C35:I35" si="1">SUM(C4:C34)</f>
        <v>1511580</v>
      </c>
      <c r="D35" s="11">
        <f t="shared" si="1"/>
        <v>9044402</v>
      </c>
      <c r="E35" s="11">
        <f t="shared" si="1"/>
        <v>9084446</v>
      </c>
      <c r="F35" s="11">
        <f t="shared" si="1"/>
        <v>1352693</v>
      </c>
      <c r="G35" s="11">
        <f t="shared" si="1"/>
        <v>1438887</v>
      </c>
      <c r="H35" s="11">
        <f t="shared" si="1"/>
        <v>3792996</v>
      </c>
      <c r="I35" s="11">
        <f t="shared" si="1"/>
        <v>3745010</v>
      </c>
      <c r="J35" s="11">
        <f>SUM(J4:J34)</f>
        <v>-174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36860</v>
      </c>
      <c r="C38" s="25"/>
      <c r="E38" s="25"/>
      <c r="G38" s="25"/>
      <c r="I38" s="25"/>
      <c r="J38" s="244">
        <v>-34361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36885</v>
      </c>
      <c r="J40" s="36">
        <f>+J38+J35</f>
        <v>-34535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20" workbookViewId="1">
      <selection activeCell="A37" sqref="A3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54</v>
      </c>
    </row>
    <row r="3" spans="1:6" x14ac:dyDescent="0.2">
      <c r="A3">
        <v>1</v>
      </c>
      <c r="B3" s="90">
        <v>8395</v>
      </c>
      <c r="C3" s="90">
        <v>22000</v>
      </c>
      <c r="D3" s="90"/>
      <c r="E3" s="90"/>
      <c r="F3" s="90">
        <f>+C3-B3+D3-E3</f>
        <v>13605</v>
      </c>
    </row>
    <row r="4" spans="1:6" x14ac:dyDescent="0.2">
      <c r="A4">
        <v>2</v>
      </c>
      <c r="B4" s="90">
        <v>21884</v>
      </c>
      <c r="C4" s="90">
        <v>22000</v>
      </c>
      <c r="D4" s="90"/>
      <c r="E4" s="90"/>
      <c r="F4" s="90">
        <f t="shared" ref="F4:F33" si="0">+C4-B4+D4-E4</f>
        <v>116</v>
      </c>
    </row>
    <row r="5" spans="1:6" x14ac:dyDescent="0.2">
      <c r="A5">
        <v>3</v>
      </c>
      <c r="B5" s="90">
        <v>21942</v>
      </c>
      <c r="C5" s="90">
        <v>22000</v>
      </c>
      <c r="D5" s="90"/>
      <c r="E5" s="90"/>
      <c r="F5" s="90">
        <f t="shared" si="0"/>
        <v>58</v>
      </c>
    </row>
    <row r="6" spans="1:6" x14ac:dyDescent="0.2">
      <c r="A6">
        <v>4</v>
      </c>
      <c r="B6" s="90">
        <v>21942</v>
      </c>
      <c r="C6" s="90">
        <v>22000</v>
      </c>
      <c r="D6" s="90"/>
      <c r="E6" s="90"/>
      <c r="F6" s="90">
        <f t="shared" si="0"/>
        <v>58</v>
      </c>
    </row>
    <row r="7" spans="1:6" x14ac:dyDescent="0.2">
      <c r="A7">
        <v>5</v>
      </c>
      <c r="B7" s="90">
        <v>17203</v>
      </c>
      <c r="C7" s="90">
        <v>22000</v>
      </c>
      <c r="D7" s="90"/>
      <c r="E7" s="90"/>
      <c r="F7" s="90">
        <f t="shared" si="0"/>
        <v>4797</v>
      </c>
    </row>
    <row r="8" spans="1:6" x14ac:dyDescent="0.2">
      <c r="A8">
        <v>6</v>
      </c>
      <c r="B8" s="90">
        <v>16439</v>
      </c>
      <c r="C8" s="90">
        <v>17000</v>
      </c>
      <c r="D8" s="90"/>
      <c r="E8" s="90"/>
      <c r="F8" s="90">
        <f t="shared" si="0"/>
        <v>561</v>
      </c>
    </row>
    <row r="9" spans="1:6" x14ac:dyDescent="0.2">
      <c r="A9">
        <v>7</v>
      </c>
      <c r="B9" s="90">
        <v>16870</v>
      </c>
      <c r="C9" s="90">
        <v>12452</v>
      </c>
      <c r="D9" s="90"/>
      <c r="E9" s="90"/>
      <c r="F9" s="90">
        <f t="shared" si="0"/>
        <v>-4418</v>
      </c>
    </row>
    <row r="10" spans="1:6" x14ac:dyDescent="0.2">
      <c r="A10">
        <v>8</v>
      </c>
      <c r="B10" s="90">
        <v>13815</v>
      </c>
      <c r="C10" s="90">
        <v>15000</v>
      </c>
      <c r="D10" s="90"/>
      <c r="E10" s="90"/>
      <c r="F10" s="90">
        <f t="shared" si="0"/>
        <v>1185</v>
      </c>
    </row>
    <row r="11" spans="1:6" x14ac:dyDescent="0.2">
      <c r="A11">
        <v>9</v>
      </c>
      <c r="B11" s="90">
        <v>14270</v>
      </c>
      <c r="C11" s="90">
        <v>15000</v>
      </c>
      <c r="D11" s="90"/>
      <c r="E11" s="90"/>
      <c r="F11" s="90">
        <f t="shared" si="0"/>
        <v>730</v>
      </c>
    </row>
    <row r="12" spans="1:6" x14ac:dyDescent="0.2">
      <c r="A12">
        <v>10</v>
      </c>
      <c r="B12" s="90">
        <v>16858</v>
      </c>
      <c r="C12" s="90">
        <v>15000</v>
      </c>
      <c r="D12" s="90"/>
      <c r="E12" s="90"/>
      <c r="F12" s="90">
        <f t="shared" si="0"/>
        <v>-1858</v>
      </c>
    </row>
    <row r="13" spans="1:6" x14ac:dyDescent="0.2">
      <c r="A13">
        <v>11</v>
      </c>
      <c r="B13" s="90">
        <v>15119</v>
      </c>
      <c r="C13" s="90">
        <v>15000</v>
      </c>
      <c r="D13" s="90"/>
      <c r="E13" s="90"/>
      <c r="F13" s="90">
        <f t="shared" si="0"/>
        <v>-119</v>
      </c>
    </row>
    <row r="14" spans="1:6" x14ac:dyDescent="0.2">
      <c r="A14">
        <v>12</v>
      </c>
      <c r="B14" s="88">
        <v>19811</v>
      </c>
      <c r="C14" s="88">
        <v>20000</v>
      </c>
      <c r="D14" s="88"/>
      <c r="E14" s="88"/>
      <c r="F14" s="90">
        <f t="shared" si="0"/>
        <v>189</v>
      </c>
    </row>
    <row r="15" spans="1:6" x14ac:dyDescent="0.2">
      <c r="A15">
        <v>13</v>
      </c>
      <c r="B15" s="88">
        <v>37674</v>
      </c>
      <c r="C15" s="88">
        <v>37896</v>
      </c>
      <c r="D15" s="88"/>
      <c r="E15" s="88"/>
      <c r="F15" s="90">
        <f t="shared" si="0"/>
        <v>222</v>
      </c>
    </row>
    <row r="16" spans="1:6" x14ac:dyDescent="0.2">
      <c r="A16">
        <v>14</v>
      </c>
      <c r="B16" s="88">
        <v>19735</v>
      </c>
      <c r="C16" s="88">
        <v>20000</v>
      </c>
      <c r="D16" s="88"/>
      <c r="E16" s="88"/>
      <c r="F16" s="90">
        <f t="shared" si="0"/>
        <v>265</v>
      </c>
    </row>
    <row r="17" spans="1:6" x14ac:dyDescent="0.2">
      <c r="A17">
        <v>15</v>
      </c>
      <c r="B17" s="88">
        <v>19935</v>
      </c>
      <c r="C17" s="88">
        <v>20000</v>
      </c>
      <c r="D17" s="14"/>
      <c r="E17" s="14"/>
      <c r="F17" s="90">
        <f t="shared" si="0"/>
        <v>65</v>
      </c>
    </row>
    <row r="18" spans="1:6" x14ac:dyDescent="0.2">
      <c r="A18">
        <v>16</v>
      </c>
      <c r="B18" s="88">
        <v>19941</v>
      </c>
      <c r="C18" s="88">
        <v>20000</v>
      </c>
      <c r="D18" s="14"/>
      <c r="E18" s="14"/>
      <c r="F18" s="90">
        <f t="shared" si="0"/>
        <v>59</v>
      </c>
    </row>
    <row r="19" spans="1:6" x14ac:dyDescent="0.2">
      <c r="A19">
        <v>17</v>
      </c>
      <c r="B19" s="88">
        <v>19931</v>
      </c>
      <c r="C19" s="14">
        <v>20000</v>
      </c>
      <c r="D19" s="14"/>
      <c r="E19" s="14"/>
      <c r="F19" s="90">
        <f t="shared" si="0"/>
        <v>69</v>
      </c>
    </row>
    <row r="20" spans="1:6" x14ac:dyDescent="0.2">
      <c r="A20">
        <v>18</v>
      </c>
      <c r="B20" s="14">
        <v>19947</v>
      </c>
      <c r="C20" s="14">
        <v>20000</v>
      </c>
      <c r="D20" s="14"/>
      <c r="E20" s="14"/>
      <c r="F20" s="90">
        <f t="shared" si="0"/>
        <v>53</v>
      </c>
    </row>
    <row r="21" spans="1:6" x14ac:dyDescent="0.2">
      <c r="A21">
        <v>19</v>
      </c>
      <c r="B21" s="14">
        <v>19966</v>
      </c>
      <c r="C21" s="14">
        <v>20000</v>
      </c>
      <c r="D21" s="14"/>
      <c r="E21" s="14"/>
      <c r="F21" s="90">
        <f t="shared" si="0"/>
        <v>34</v>
      </c>
    </row>
    <row r="22" spans="1:6" x14ac:dyDescent="0.2">
      <c r="A22">
        <v>20</v>
      </c>
      <c r="B22" s="14">
        <v>10243</v>
      </c>
      <c r="C22" s="14">
        <v>10000</v>
      </c>
      <c r="D22" s="14"/>
      <c r="E22" s="14"/>
      <c r="F22" s="90">
        <f t="shared" si="0"/>
        <v>-243</v>
      </c>
    </row>
    <row r="23" spans="1:6" x14ac:dyDescent="0.2">
      <c r="A23">
        <v>21</v>
      </c>
      <c r="B23" s="14">
        <v>14021</v>
      </c>
      <c r="C23" s="14">
        <v>18000</v>
      </c>
      <c r="D23" s="14"/>
      <c r="E23" s="14"/>
      <c r="F23" s="90">
        <f t="shared" si="0"/>
        <v>3979</v>
      </c>
    </row>
    <row r="24" spans="1:6" x14ac:dyDescent="0.2">
      <c r="A24">
        <v>22</v>
      </c>
      <c r="B24" s="14">
        <v>10268</v>
      </c>
      <c r="C24" s="14">
        <v>10000</v>
      </c>
      <c r="D24" s="14"/>
      <c r="E24" s="14"/>
      <c r="F24" s="90">
        <f t="shared" si="0"/>
        <v>-268</v>
      </c>
    </row>
    <row r="25" spans="1:6" x14ac:dyDescent="0.2">
      <c r="A25">
        <v>23</v>
      </c>
      <c r="B25" s="14">
        <v>10079</v>
      </c>
      <c r="C25" s="14">
        <v>10000</v>
      </c>
      <c r="D25" s="14"/>
      <c r="E25" s="14"/>
      <c r="F25" s="90">
        <f t="shared" si="0"/>
        <v>-79</v>
      </c>
    </row>
    <row r="26" spans="1:6" x14ac:dyDescent="0.2">
      <c r="A26">
        <v>24</v>
      </c>
      <c r="B26" s="14">
        <v>10078</v>
      </c>
      <c r="C26" s="14">
        <v>10000</v>
      </c>
      <c r="D26" s="14"/>
      <c r="E26" s="14"/>
      <c r="F26" s="90">
        <f t="shared" si="0"/>
        <v>-78</v>
      </c>
    </row>
    <row r="27" spans="1:6" x14ac:dyDescent="0.2">
      <c r="A27">
        <v>25</v>
      </c>
      <c r="B27" s="14">
        <v>10031</v>
      </c>
      <c r="C27" s="14">
        <v>10000</v>
      </c>
      <c r="D27" s="14"/>
      <c r="E27" s="14"/>
      <c r="F27" s="90">
        <f t="shared" si="0"/>
        <v>-31</v>
      </c>
    </row>
    <row r="28" spans="1:6" x14ac:dyDescent="0.2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">
      <c r="B34" s="303">
        <f>SUM(B3:B33)</f>
        <v>426397</v>
      </c>
      <c r="C34" s="303">
        <f>SUM(C3:C33)</f>
        <v>445348</v>
      </c>
      <c r="D34" s="14">
        <f>SUM(D3:D33)</f>
        <v>0</v>
      </c>
      <c r="E34" s="14">
        <f>SUM(E3:E33)</f>
        <v>0</v>
      </c>
      <c r="F34" s="14">
        <f>SUM(F3:F33)</f>
        <v>18951</v>
      </c>
    </row>
    <row r="35" spans="1:6" x14ac:dyDescent="0.2">
      <c r="D35" s="14"/>
      <c r="E35" s="14"/>
      <c r="F35" s="14"/>
    </row>
    <row r="36" spans="1:6" x14ac:dyDescent="0.2">
      <c r="F36" s="261"/>
    </row>
    <row r="37" spans="1:6" x14ac:dyDescent="0.2">
      <c r="A37" s="267">
        <v>36860</v>
      </c>
      <c r="B37" s="14"/>
      <c r="C37" s="14"/>
      <c r="D37" s="14"/>
      <c r="E37" s="14"/>
      <c r="F37" s="244">
        <f>-32074+81654+87809</f>
        <v>137389</v>
      </c>
    </row>
    <row r="38" spans="1:6" x14ac:dyDescent="0.2">
      <c r="A38" s="267">
        <v>36885</v>
      </c>
      <c r="B38" s="14"/>
      <c r="C38" s="14"/>
      <c r="D38" s="14"/>
      <c r="E38" s="14"/>
      <c r="F38" s="24">
        <f>+F37+F34</f>
        <v>156340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3" workbookViewId="1">
      <selection activeCell="C48" sqref="C48"/>
    </sheetView>
  </sheetViews>
  <sheetFormatPr defaultRowHeight="12.75" x14ac:dyDescent="0.2"/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f>68683+1522</f>
        <v>70205</v>
      </c>
      <c r="C4" s="11">
        <v>71514</v>
      </c>
      <c r="D4" s="25">
        <f>+C4-B4</f>
        <v>1309</v>
      </c>
    </row>
    <row r="5" spans="1:4" x14ac:dyDescent="0.2">
      <c r="A5" s="10">
        <v>2</v>
      </c>
      <c r="B5" s="11">
        <f>72963+1274</f>
        <v>74237</v>
      </c>
      <c r="C5" s="11">
        <v>74070</v>
      </c>
      <c r="D5" s="25">
        <f t="shared" ref="D5:D34" si="0">+C5-B5</f>
        <v>-167</v>
      </c>
    </row>
    <row r="6" spans="1:4" x14ac:dyDescent="0.2">
      <c r="A6" s="10">
        <v>3</v>
      </c>
      <c r="B6" s="11">
        <v>65632</v>
      </c>
      <c r="C6" s="11">
        <v>66238</v>
      </c>
      <c r="D6" s="25">
        <f t="shared" si="0"/>
        <v>606</v>
      </c>
    </row>
    <row r="7" spans="1:4" x14ac:dyDescent="0.2">
      <c r="A7" s="10">
        <v>4</v>
      </c>
      <c r="B7" s="11">
        <v>48170</v>
      </c>
      <c r="C7" s="11">
        <v>48619</v>
      </c>
      <c r="D7" s="25">
        <f t="shared" si="0"/>
        <v>449</v>
      </c>
    </row>
    <row r="8" spans="1:4" x14ac:dyDescent="0.2">
      <c r="A8" s="10">
        <v>5</v>
      </c>
      <c r="B8" s="11">
        <f>43778+2312</f>
        <v>46090</v>
      </c>
      <c r="C8" s="11">
        <v>46708</v>
      </c>
      <c r="D8" s="25">
        <f t="shared" si="0"/>
        <v>618</v>
      </c>
    </row>
    <row r="9" spans="1:4" x14ac:dyDescent="0.2">
      <c r="A9" s="10">
        <v>6</v>
      </c>
      <c r="B9" s="11">
        <f>42174+9110</f>
        <v>51284</v>
      </c>
      <c r="C9" s="11">
        <v>53054</v>
      </c>
      <c r="D9" s="25">
        <f t="shared" si="0"/>
        <v>1770</v>
      </c>
    </row>
    <row r="10" spans="1:4" x14ac:dyDescent="0.2">
      <c r="A10" s="10">
        <v>7</v>
      </c>
      <c r="B10" s="11">
        <f>39129+1703</f>
        <v>40832</v>
      </c>
      <c r="C10" s="11">
        <v>40954</v>
      </c>
      <c r="D10" s="25">
        <f t="shared" si="0"/>
        <v>122</v>
      </c>
    </row>
    <row r="11" spans="1:4" x14ac:dyDescent="0.2">
      <c r="A11" s="10">
        <v>8</v>
      </c>
      <c r="B11" s="11">
        <f>31044+57</f>
        <v>31101</v>
      </c>
      <c r="C11" s="11">
        <v>32413</v>
      </c>
      <c r="D11" s="25">
        <f t="shared" si="0"/>
        <v>1312</v>
      </c>
    </row>
    <row r="12" spans="1:4" x14ac:dyDescent="0.2">
      <c r="A12" s="10">
        <v>9</v>
      </c>
      <c r="B12" s="11">
        <v>24867</v>
      </c>
      <c r="C12" s="11">
        <v>26010</v>
      </c>
      <c r="D12" s="25">
        <f t="shared" si="0"/>
        <v>1143</v>
      </c>
    </row>
    <row r="13" spans="1:4" x14ac:dyDescent="0.2">
      <c r="A13" s="10">
        <v>10</v>
      </c>
      <c r="B13" s="11">
        <f>24013+854</f>
        <v>24867</v>
      </c>
      <c r="C13" s="11">
        <v>25525</v>
      </c>
      <c r="D13" s="25">
        <f t="shared" si="0"/>
        <v>658</v>
      </c>
    </row>
    <row r="14" spans="1:4" x14ac:dyDescent="0.2">
      <c r="A14" s="10">
        <v>11</v>
      </c>
      <c r="B14" s="11">
        <f>22940+1007</f>
        <v>23947</v>
      </c>
      <c r="C14" s="11">
        <v>24667</v>
      </c>
      <c r="D14" s="25">
        <f t="shared" si="0"/>
        <v>720</v>
      </c>
    </row>
    <row r="15" spans="1:4" x14ac:dyDescent="0.2">
      <c r="A15" s="10">
        <v>12</v>
      </c>
      <c r="B15" s="11">
        <f>35089+2355</f>
        <v>37444</v>
      </c>
      <c r="C15" s="11">
        <v>38096</v>
      </c>
      <c r="D15" s="25">
        <f t="shared" si="0"/>
        <v>652</v>
      </c>
    </row>
    <row r="16" spans="1:4" x14ac:dyDescent="0.2">
      <c r="A16" s="10">
        <v>13</v>
      </c>
      <c r="B16" s="11">
        <f>18725+103</f>
        <v>18828</v>
      </c>
      <c r="C16" s="11">
        <v>18761</v>
      </c>
      <c r="D16" s="25">
        <f t="shared" si="0"/>
        <v>-67</v>
      </c>
    </row>
    <row r="17" spans="1:4" x14ac:dyDescent="0.2">
      <c r="A17" s="10">
        <v>14</v>
      </c>
      <c r="B17" s="11">
        <v>22897</v>
      </c>
      <c r="C17" s="11">
        <v>23514</v>
      </c>
      <c r="D17" s="25">
        <f t="shared" si="0"/>
        <v>617</v>
      </c>
    </row>
    <row r="18" spans="1:4" x14ac:dyDescent="0.2">
      <c r="A18" s="10">
        <v>15</v>
      </c>
      <c r="B18" s="11">
        <v>24866</v>
      </c>
      <c r="C18" s="11">
        <v>24876</v>
      </c>
      <c r="D18" s="25">
        <f t="shared" si="0"/>
        <v>10</v>
      </c>
    </row>
    <row r="19" spans="1:4" x14ac:dyDescent="0.2">
      <c r="A19" s="10">
        <v>16</v>
      </c>
      <c r="B19" s="11">
        <v>33771</v>
      </c>
      <c r="C19" s="11">
        <v>32400</v>
      </c>
      <c r="D19" s="25">
        <f t="shared" si="0"/>
        <v>-1371</v>
      </c>
    </row>
    <row r="20" spans="1:4" x14ac:dyDescent="0.2">
      <c r="A20" s="10">
        <v>17</v>
      </c>
      <c r="B20" s="11">
        <v>34751</v>
      </c>
      <c r="C20" s="11">
        <v>34803</v>
      </c>
      <c r="D20" s="25">
        <f t="shared" si="0"/>
        <v>52</v>
      </c>
    </row>
    <row r="21" spans="1:4" x14ac:dyDescent="0.2">
      <c r="A21" s="10">
        <v>18</v>
      </c>
      <c r="B21" s="11">
        <v>34751</v>
      </c>
      <c r="C21" s="11">
        <v>31227</v>
      </c>
      <c r="D21" s="25">
        <f t="shared" si="0"/>
        <v>-3524</v>
      </c>
    </row>
    <row r="22" spans="1:4" x14ac:dyDescent="0.2">
      <c r="A22" s="10">
        <v>19</v>
      </c>
      <c r="B22" s="11">
        <v>24612</v>
      </c>
      <c r="C22" s="11">
        <v>23031</v>
      </c>
      <c r="D22" s="25">
        <f t="shared" si="0"/>
        <v>-1581</v>
      </c>
    </row>
    <row r="23" spans="1:4" x14ac:dyDescent="0.2">
      <c r="A23" s="10">
        <v>20</v>
      </c>
      <c r="B23" s="11">
        <v>39867</v>
      </c>
      <c r="C23" s="11">
        <v>38189</v>
      </c>
      <c r="D23" s="25">
        <f t="shared" si="0"/>
        <v>-1678</v>
      </c>
    </row>
    <row r="24" spans="1:4" x14ac:dyDescent="0.2">
      <c r="A24" s="10">
        <v>21</v>
      </c>
      <c r="B24" s="11">
        <v>44866</v>
      </c>
      <c r="C24" s="11">
        <v>40946</v>
      </c>
      <c r="D24" s="25">
        <f t="shared" si="0"/>
        <v>-3920</v>
      </c>
    </row>
    <row r="25" spans="1:4" x14ac:dyDescent="0.2">
      <c r="A25" s="10">
        <v>22</v>
      </c>
      <c r="B25" s="11">
        <v>43720</v>
      </c>
      <c r="C25" s="11">
        <v>42583</v>
      </c>
      <c r="D25" s="25">
        <f t="shared" si="0"/>
        <v>-1137</v>
      </c>
    </row>
    <row r="26" spans="1:4" x14ac:dyDescent="0.2">
      <c r="A26" s="10">
        <v>23</v>
      </c>
      <c r="B26" s="11">
        <v>44494</v>
      </c>
      <c r="C26" s="11">
        <v>43315</v>
      </c>
      <c r="D26" s="25">
        <f t="shared" si="0"/>
        <v>-1179</v>
      </c>
    </row>
    <row r="27" spans="1:4" x14ac:dyDescent="0.2">
      <c r="A27" s="10">
        <v>24</v>
      </c>
      <c r="B27" s="11">
        <v>42574</v>
      </c>
      <c r="C27" s="11">
        <v>43564</v>
      </c>
      <c r="D27" s="25">
        <f t="shared" si="0"/>
        <v>990</v>
      </c>
    </row>
    <row r="28" spans="1:4" x14ac:dyDescent="0.2">
      <c r="A28" s="10">
        <v>25</v>
      </c>
      <c r="B28" s="11">
        <v>42329</v>
      </c>
      <c r="C28" s="11">
        <v>41642</v>
      </c>
      <c r="D28" s="25">
        <f t="shared" si="0"/>
        <v>-687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991002</v>
      </c>
      <c r="C35" s="11">
        <f>SUM(C4:C34)</f>
        <v>986719</v>
      </c>
      <c r="D35" s="11">
        <f>SUM(D4:D34)</f>
        <v>-4283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36860</v>
      </c>
      <c r="D38" s="246">
        <v>84016</v>
      </c>
    </row>
    <row r="39" spans="1:4" x14ac:dyDescent="0.2">
      <c r="A39" s="2"/>
      <c r="D39" s="24"/>
    </row>
    <row r="40" spans="1:4" x14ac:dyDescent="0.2">
      <c r="A40" s="57">
        <v>36885</v>
      </c>
      <c r="D40" s="36">
        <f>+D38+D35</f>
        <v>79733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4" workbookViewId="1">
      <selection activeCell="G20" sqref="G20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121</v>
      </c>
      <c r="C2" s="4"/>
      <c r="D2" s="38" t="s">
        <v>122</v>
      </c>
      <c r="E2" s="4"/>
      <c r="F2" s="38" t="s">
        <v>123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21055</v>
      </c>
      <c r="C4" s="11">
        <v>19223</v>
      </c>
      <c r="D4" s="11">
        <v>10745</v>
      </c>
      <c r="E4" s="11">
        <v>10000</v>
      </c>
      <c r="F4" s="11"/>
      <c r="G4" s="11"/>
      <c r="H4" s="11"/>
      <c r="I4" s="11"/>
      <c r="J4" s="11">
        <f t="shared" ref="J4:J34" si="0">+C4+E4+G4+I4-H4-F4-D4-B4</f>
        <v>-2577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21202</v>
      </c>
      <c r="C5" s="11">
        <v>19584</v>
      </c>
      <c r="D5" s="11">
        <v>10722</v>
      </c>
      <c r="E5" s="11">
        <v>10000</v>
      </c>
      <c r="F5" s="11"/>
      <c r="G5" s="11"/>
      <c r="H5" s="11"/>
      <c r="I5" s="11"/>
      <c r="J5" s="11">
        <f t="shared" si="0"/>
        <v>-2340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17314</v>
      </c>
      <c r="C6" s="11">
        <v>17788</v>
      </c>
      <c r="D6" s="11">
        <v>10773</v>
      </c>
      <c r="E6" s="11">
        <v>10000</v>
      </c>
      <c r="F6" s="11"/>
      <c r="G6" s="11"/>
      <c r="H6" s="11"/>
      <c r="I6" s="11"/>
      <c r="J6" s="11">
        <f t="shared" si="0"/>
        <v>-299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27334</v>
      </c>
      <c r="C7" s="11">
        <v>19584</v>
      </c>
      <c r="D7" s="11">
        <v>10003</v>
      </c>
      <c r="E7" s="11">
        <v>10000</v>
      </c>
      <c r="F7" s="11"/>
      <c r="G7" s="11"/>
      <c r="H7" s="11"/>
      <c r="I7" s="11"/>
      <c r="J7" s="11">
        <f t="shared" si="0"/>
        <v>-7753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30871</v>
      </c>
      <c r="C8" s="11">
        <v>33371</v>
      </c>
      <c r="D8" s="11">
        <v>10556</v>
      </c>
      <c r="E8" s="11">
        <v>10500</v>
      </c>
      <c r="F8" s="11"/>
      <c r="G8" s="11"/>
      <c r="H8" s="11"/>
      <c r="I8" s="11"/>
      <c r="J8" s="11">
        <f t="shared" si="0"/>
        <v>2444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31042</v>
      </c>
      <c r="C9" s="11">
        <v>29250</v>
      </c>
      <c r="D9" s="11">
        <v>9009</v>
      </c>
      <c r="E9" s="11">
        <v>10500</v>
      </c>
      <c r="F9" s="11"/>
      <c r="G9" s="11"/>
      <c r="H9" s="11"/>
      <c r="I9" s="11"/>
      <c r="J9" s="11">
        <f t="shared" si="0"/>
        <v>-301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31704</v>
      </c>
      <c r="C10" s="11">
        <v>34250</v>
      </c>
      <c r="D10" s="11">
        <v>9973</v>
      </c>
      <c r="E10" s="11">
        <v>10500</v>
      </c>
      <c r="F10" s="11"/>
      <c r="G10" s="11"/>
      <c r="H10" s="11"/>
      <c r="I10" s="11"/>
      <c r="J10" s="11">
        <f t="shared" si="0"/>
        <v>3073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31619</v>
      </c>
      <c r="C11" s="11">
        <v>34219</v>
      </c>
      <c r="D11" s="11">
        <v>9894</v>
      </c>
      <c r="E11" s="11">
        <v>10000</v>
      </c>
      <c r="F11" s="11"/>
      <c r="G11" s="11"/>
      <c r="H11" s="11"/>
      <c r="I11" s="11"/>
      <c r="J11" s="11">
        <f t="shared" si="0"/>
        <v>2706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31577</v>
      </c>
      <c r="C12" s="11">
        <v>30678</v>
      </c>
      <c r="D12" s="11">
        <v>11348</v>
      </c>
      <c r="E12" s="11">
        <v>8750</v>
      </c>
      <c r="F12" s="11"/>
      <c r="G12" s="11"/>
      <c r="H12" s="11"/>
      <c r="I12" s="11"/>
      <c r="J12" s="11">
        <f t="shared" si="0"/>
        <v>-3497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31492</v>
      </c>
      <c r="C13" s="11">
        <v>30632</v>
      </c>
      <c r="D13" s="11">
        <v>11398</v>
      </c>
      <c r="E13" s="11">
        <v>8750</v>
      </c>
      <c r="F13" s="11">
        <v>671</v>
      </c>
      <c r="G13" s="11"/>
      <c r="H13" s="11"/>
      <c r="I13" s="11"/>
      <c r="J13" s="11">
        <f t="shared" si="0"/>
        <v>-4179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31398</v>
      </c>
      <c r="C14" s="11">
        <v>30267</v>
      </c>
      <c r="D14" s="11">
        <v>11008</v>
      </c>
      <c r="E14" s="11">
        <v>8750</v>
      </c>
      <c r="F14" s="11"/>
      <c r="G14" s="11"/>
      <c r="H14" s="11"/>
      <c r="I14" s="11"/>
      <c r="J14" s="11">
        <f t="shared" si="0"/>
        <v>-3389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31349</v>
      </c>
      <c r="C15" s="11">
        <v>32989</v>
      </c>
      <c r="D15" s="11">
        <v>10713</v>
      </c>
      <c r="E15" s="11">
        <v>11802</v>
      </c>
      <c r="F15" s="11">
        <v>1</v>
      </c>
      <c r="G15" s="11"/>
      <c r="H15" s="11"/>
      <c r="I15" s="11"/>
      <c r="J15" s="11">
        <f t="shared" si="0"/>
        <v>2728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31276</v>
      </c>
      <c r="C16" s="11">
        <v>33000</v>
      </c>
      <c r="D16" s="11">
        <v>9316</v>
      </c>
      <c r="E16" s="11">
        <v>11783</v>
      </c>
      <c r="F16" s="11">
        <v>69</v>
      </c>
      <c r="G16" s="11"/>
      <c r="H16" s="11"/>
      <c r="I16" s="11"/>
      <c r="J16" s="11">
        <f t="shared" si="0"/>
        <v>4122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31176</v>
      </c>
      <c r="C17" s="11">
        <v>33688</v>
      </c>
      <c r="D17" s="11">
        <v>10651</v>
      </c>
      <c r="E17" s="11">
        <v>12500</v>
      </c>
      <c r="F17" s="11"/>
      <c r="G17" s="11"/>
      <c r="H17" s="11"/>
      <c r="I17" s="11"/>
      <c r="J17" s="11">
        <f t="shared" si="0"/>
        <v>4361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31266</v>
      </c>
      <c r="C18" s="11">
        <v>33750</v>
      </c>
      <c r="D18" s="11">
        <v>9937</v>
      </c>
      <c r="E18" s="11">
        <v>12500</v>
      </c>
      <c r="F18" s="11"/>
      <c r="G18" s="11"/>
      <c r="H18" s="11"/>
      <c r="I18" s="11"/>
      <c r="J18" s="11">
        <f t="shared" si="0"/>
        <v>5047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31180</v>
      </c>
      <c r="C19" s="11">
        <v>33750</v>
      </c>
      <c r="D19" s="11">
        <v>8772</v>
      </c>
      <c r="E19" s="11">
        <v>11000</v>
      </c>
      <c r="F19" s="11"/>
      <c r="G19" s="11"/>
      <c r="H19" s="11"/>
      <c r="I19" s="11"/>
      <c r="J19" s="11">
        <f t="shared" si="0"/>
        <v>4798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31204</v>
      </c>
      <c r="C20" s="11">
        <v>33750</v>
      </c>
      <c r="D20" s="11">
        <v>10588</v>
      </c>
      <c r="E20" s="11">
        <v>11000</v>
      </c>
      <c r="F20" s="11"/>
      <c r="G20" s="11"/>
      <c r="H20" s="11"/>
      <c r="I20" s="11"/>
      <c r="J20" s="11">
        <f t="shared" si="0"/>
        <v>2958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31116</v>
      </c>
      <c r="C21" s="11">
        <v>33750</v>
      </c>
      <c r="D21" s="11">
        <v>10759</v>
      </c>
      <c r="E21" s="11">
        <v>11000</v>
      </c>
      <c r="F21" s="11"/>
      <c r="G21" s="11"/>
      <c r="H21" s="11"/>
      <c r="I21" s="11"/>
      <c r="J21" s="11">
        <f t="shared" si="0"/>
        <v>2875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31031</v>
      </c>
      <c r="C22" s="11">
        <v>27160</v>
      </c>
      <c r="D22" s="11">
        <v>10512</v>
      </c>
      <c r="E22" s="11">
        <v>8500</v>
      </c>
      <c r="F22" s="11"/>
      <c r="G22" s="11"/>
      <c r="H22" s="11"/>
      <c r="I22" s="11"/>
      <c r="J22" s="11">
        <f t="shared" si="0"/>
        <v>-5883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30984</v>
      </c>
      <c r="C23" s="11">
        <v>32750</v>
      </c>
      <c r="D23" s="11">
        <v>10962</v>
      </c>
      <c r="E23" s="11">
        <v>12000</v>
      </c>
      <c r="F23" s="11"/>
      <c r="G23" s="11"/>
      <c r="H23" s="11"/>
      <c r="I23" s="11"/>
      <c r="J23" s="11">
        <f t="shared" si="0"/>
        <v>2804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38918</v>
      </c>
      <c r="C24" s="11">
        <v>42749</v>
      </c>
      <c r="D24" s="11">
        <v>10803</v>
      </c>
      <c r="E24" s="11">
        <v>12000</v>
      </c>
      <c r="F24" s="11">
        <v>10737</v>
      </c>
      <c r="G24" s="11">
        <v>10000</v>
      </c>
      <c r="H24" s="11"/>
      <c r="I24" s="11"/>
      <c r="J24" s="11">
        <f t="shared" si="0"/>
        <v>4291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39201</v>
      </c>
      <c r="C25" s="11">
        <v>36960</v>
      </c>
      <c r="D25" s="11">
        <v>10732</v>
      </c>
      <c r="E25" s="11">
        <v>12000</v>
      </c>
      <c r="F25" s="11">
        <v>13149</v>
      </c>
      <c r="G25" s="11">
        <v>10000</v>
      </c>
      <c r="H25" s="11"/>
      <c r="I25" s="11"/>
      <c r="J25" s="11">
        <f t="shared" si="0"/>
        <v>-4122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39181</v>
      </c>
      <c r="C26" s="11">
        <v>37311</v>
      </c>
      <c r="D26" s="11">
        <v>10339</v>
      </c>
      <c r="E26" s="11">
        <v>12000</v>
      </c>
      <c r="F26" s="11">
        <v>13715</v>
      </c>
      <c r="G26" s="11">
        <v>10000</v>
      </c>
      <c r="H26" s="11"/>
      <c r="I26" s="11"/>
      <c r="J26" s="11">
        <f t="shared" si="0"/>
        <v>-3924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39009</v>
      </c>
      <c r="C27" s="11">
        <v>39743</v>
      </c>
      <c r="D27" s="11">
        <v>10280</v>
      </c>
      <c r="E27" s="11">
        <v>12000</v>
      </c>
      <c r="F27" s="11">
        <v>13618</v>
      </c>
      <c r="G27" s="11">
        <v>10000</v>
      </c>
      <c r="H27" s="11"/>
      <c r="I27" s="11"/>
      <c r="J27" s="11">
        <f t="shared" si="0"/>
        <v>-1164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38731</v>
      </c>
      <c r="C28" s="11">
        <v>39802</v>
      </c>
      <c r="D28" s="11">
        <v>10415</v>
      </c>
      <c r="E28" s="11">
        <v>12000</v>
      </c>
      <c r="F28" s="11">
        <v>13438</v>
      </c>
      <c r="G28" s="11">
        <v>10000</v>
      </c>
      <c r="H28" s="11">
        <v>3235</v>
      </c>
      <c r="I28" s="11"/>
      <c r="J28" s="11">
        <f t="shared" si="0"/>
        <v>-4017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782230</v>
      </c>
      <c r="C35" s="11">
        <f t="shared" ref="C35:I35" si="1">SUM(C4:C34)</f>
        <v>789998</v>
      </c>
      <c r="D35" s="11">
        <f t="shared" si="1"/>
        <v>260208</v>
      </c>
      <c r="E35" s="11">
        <f t="shared" si="1"/>
        <v>269835</v>
      </c>
      <c r="F35" s="11">
        <f t="shared" si="1"/>
        <v>65398</v>
      </c>
      <c r="G35" s="11">
        <f t="shared" si="1"/>
        <v>50000</v>
      </c>
      <c r="H35" s="11">
        <f t="shared" si="1"/>
        <v>3235</v>
      </c>
      <c r="I35" s="11">
        <f t="shared" si="1"/>
        <v>0</v>
      </c>
      <c r="J35" s="11">
        <f>SUM(J4:J34)</f>
        <v>-1238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+summary!P13</f>
        <v>8.33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-10312.540000000001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4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36860</v>
      </c>
      <c r="C39" s="25"/>
      <c r="E39" s="25"/>
      <c r="G39" s="25"/>
      <c r="I39" s="25"/>
      <c r="J39" s="379">
        <v>-532429.6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137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36885</v>
      </c>
      <c r="J41" s="365">
        <f>+J39+J37</f>
        <v>-542742.14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4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36" workbookViewId="1">
      <selection activeCell="A40" sqref="A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2.1406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1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81</v>
      </c>
      <c r="AD1" s="38" t="s">
        <v>82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01"/>
      <c r="B4" s="237">
        <v>500168</v>
      </c>
      <c r="C4" s="24" t="s">
        <v>83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41027</v>
      </c>
      <c r="C6" s="24">
        <v>41272</v>
      </c>
      <c r="D6" s="24">
        <f>+C6-B6</f>
        <v>245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45258</v>
      </c>
      <c r="C7" s="24">
        <v>44915</v>
      </c>
      <c r="D7" s="24">
        <f t="shared" ref="D7:D36" si="0">+C7-B7</f>
        <v>-343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46312</v>
      </c>
      <c r="C8" s="24">
        <v>46328</v>
      </c>
      <c r="D8" s="24">
        <f t="shared" si="0"/>
        <v>16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61758</v>
      </c>
      <c r="C9" s="24">
        <v>60404</v>
      </c>
      <c r="D9" s="24">
        <f t="shared" si="0"/>
        <v>-1354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85857</v>
      </c>
      <c r="C10" s="24">
        <v>84606</v>
      </c>
      <c r="D10" s="24">
        <f t="shared" si="0"/>
        <v>-1251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63270</v>
      </c>
      <c r="C11" s="24">
        <v>62581</v>
      </c>
      <c r="D11" s="24">
        <f t="shared" si="0"/>
        <v>-689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45500</v>
      </c>
      <c r="C12" s="24">
        <v>43699</v>
      </c>
      <c r="D12" s="24">
        <f t="shared" si="0"/>
        <v>-1801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35500</v>
      </c>
      <c r="C13" s="24">
        <v>34169</v>
      </c>
      <c r="D13" s="24">
        <f t="shared" si="0"/>
        <v>-1331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35500</v>
      </c>
      <c r="C14" s="24">
        <v>35835</v>
      </c>
      <c r="D14" s="24">
        <f t="shared" si="0"/>
        <v>335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35500</v>
      </c>
      <c r="C15" s="24">
        <v>35962</v>
      </c>
      <c r="D15" s="24">
        <f t="shared" si="0"/>
        <v>462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20500</v>
      </c>
      <c r="C16" s="24">
        <v>23884</v>
      </c>
      <c r="D16" s="24">
        <f t="shared" si="0"/>
        <v>3384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49007</v>
      </c>
      <c r="C17" s="24">
        <v>48263</v>
      </c>
      <c r="D17" s="24">
        <f t="shared" si="0"/>
        <v>-744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41552</v>
      </c>
      <c r="C18" s="24">
        <v>41466</v>
      </c>
      <c r="D18" s="24">
        <f t="shared" si="0"/>
        <v>-86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40500</v>
      </c>
      <c r="C19" s="24">
        <v>40429</v>
      </c>
      <c r="D19" s="24">
        <f t="shared" si="0"/>
        <v>-71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40500</v>
      </c>
      <c r="C20" s="24">
        <v>39475</v>
      </c>
      <c r="D20" s="24">
        <f t="shared" si="0"/>
        <v>-1025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50500</v>
      </c>
      <c r="C21" s="24">
        <v>50444</v>
      </c>
      <c r="D21" s="24">
        <f t="shared" si="0"/>
        <v>-56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50500</v>
      </c>
      <c r="C22" s="24">
        <v>50422</v>
      </c>
      <c r="D22" s="24">
        <f t="shared" si="0"/>
        <v>-78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19910</v>
      </c>
      <c r="C23" s="24">
        <v>24369</v>
      </c>
      <c r="D23" s="24">
        <f t="shared" si="0"/>
        <v>4459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6537</v>
      </c>
      <c r="C24" s="24">
        <v>8251</v>
      </c>
      <c r="D24" s="24">
        <f t="shared" si="0"/>
        <v>1714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26335</v>
      </c>
      <c r="C25" s="24">
        <v>30776</v>
      </c>
      <c r="D25" s="24">
        <f t="shared" si="0"/>
        <v>4441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35486</v>
      </c>
      <c r="C26" s="24">
        <v>40798</v>
      </c>
      <c r="D26" s="24">
        <f t="shared" si="0"/>
        <v>5312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59622</v>
      </c>
      <c r="C27" s="24">
        <v>57832</v>
      </c>
      <c r="D27" s="24">
        <f t="shared" si="0"/>
        <v>-1790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55873</v>
      </c>
      <c r="C28" s="24">
        <v>58513</v>
      </c>
      <c r="D28" s="24">
        <f t="shared" si="0"/>
        <v>2640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66165</v>
      </c>
      <c r="C29" s="24">
        <v>67606</v>
      </c>
      <c r="D29" s="24">
        <f t="shared" si="0"/>
        <v>1441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46454</v>
      </c>
      <c r="C30" s="24">
        <v>47161</v>
      </c>
      <c r="D30" s="24">
        <f t="shared" si="0"/>
        <v>707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1104923</v>
      </c>
      <c r="C37" s="24">
        <f>SUM(C6:C36)</f>
        <v>1119460</v>
      </c>
      <c r="D37" s="24">
        <f>SUM(D6:D36)</f>
        <v>14537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84</v>
      </c>
      <c r="B38" s="14"/>
      <c r="C38" s="14"/>
      <c r="D38" s="104">
        <f>+summary!P13</f>
        <v>8.33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121093.21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36860</v>
      </c>
      <c r="B40" s="14"/>
      <c r="C40" s="14"/>
      <c r="D40" s="377">
        <v>191557.42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36885</v>
      </c>
      <c r="B41" s="14"/>
      <c r="C41" s="14"/>
      <c r="D41" s="104">
        <f>+D40+D39</f>
        <v>312650.63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5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5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5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5" customHeight="1" x14ac:dyDescent="0.25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5" customHeight="1" x14ac:dyDescent="0.25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" bottom="0" header="0.5" footer="0.5"/>
  <pageSetup paperSize="5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3"/>
  <sheetViews>
    <sheetView workbookViewId="0"/>
    <sheetView topLeftCell="A20" workbookViewId="1">
      <selection activeCell="E26" sqref="E26"/>
    </sheetView>
  </sheetViews>
  <sheetFormatPr defaultRowHeight="12.75" x14ac:dyDescent="0.2"/>
  <sheetData>
    <row r="5" spans="1:6" ht="15" x14ac:dyDescent="0.25">
      <c r="A5" s="134"/>
      <c r="B5" s="34" t="s">
        <v>126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>
        <v>6188</v>
      </c>
      <c r="C8" s="11">
        <v>6546</v>
      </c>
      <c r="D8" s="11">
        <v>3125</v>
      </c>
      <c r="E8" s="11">
        <v>2754</v>
      </c>
      <c r="F8" s="25">
        <f>+E8+C8-D8-B8</f>
        <v>-13</v>
      </c>
    </row>
    <row r="9" spans="1:6" x14ac:dyDescent="0.2">
      <c r="A9" s="10">
        <v>2</v>
      </c>
      <c r="B9" s="11">
        <v>6334</v>
      </c>
      <c r="C9" s="11">
        <v>6546</v>
      </c>
      <c r="D9" s="11">
        <v>1812</v>
      </c>
      <c r="E9" s="11">
        <v>2733</v>
      </c>
      <c r="F9" s="25">
        <f t="shared" ref="F9:F38" si="0">+E9+C9-D9-B9</f>
        <v>1133</v>
      </c>
    </row>
    <row r="10" spans="1:6" x14ac:dyDescent="0.2">
      <c r="A10" s="10">
        <v>3</v>
      </c>
      <c r="B10" s="11">
        <v>6939</v>
      </c>
      <c r="C10" s="11">
        <v>6546</v>
      </c>
      <c r="D10" s="11">
        <v>2006</v>
      </c>
      <c r="E10" s="11">
        <v>2738</v>
      </c>
      <c r="F10" s="25">
        <f t="shared" si="0"/>
        <v>339</v>
      </c>
    </row>
    <row r="11" spans="1:6" x14ac:dyDescent="0.2">
      <c r="A11" s="10">
        <v>4</v>
      </c>
      <c r="B11" s="11">
        <v>6807</v>
      </c>
      <c r="C11" s="11">
        <v>6295</v>
      </c>
      <c r="D11" s="11">
        <v>2497</v>
      </c>
      <c r="E11" s="11">
        <v>3004</v>
      </c>
      <c r="F11" s="25">
        <f t="shared" si="0"/>
        <v>-5</v>
      </c>
    </row>
    <row r="12" spans="1:6" x14ac:dyDescent="0.2">
      <c r="A12" s="10">
        <v>5</v>
      </c>
      <c r="B12" s="11">
        <v>6573</v>
      </c>
      <c r="C12" s="11">
        <v>7471</v>
      </c>
      <c r="D12" s="11">
        <v>903</v>
      </c>
      <c r="E12" s="11">
        <v>3647</v>
      </c>
      <c r="F12" s="25">
        <f t="shared" si="0"/>
        <v>3642</v>
      </c>
    </row>
    <row r="13" spans="1:6" x14ac:dyDescent="0.2">
      <c r="A13" s="10">
        <v>6</v>
      </c>
      <c r="B13" s="11">
        <v>6768</v>
      </c>
      <c r="C13" s="11">
        <v>7471</v>
      </c>
      <c r="D13" s="11">
        <v>4368</v>
      </c>
      <c r="E13" s="11">
        <v>3647</v>
      </c>
      <c r="F13" s="25">
        <f t="shared" si="0"/>
        <v>-18</v>
      </c>
    </row>
    <row r="14" spans="1:6" x14ac:dyDescent="0.2">
      <c r="A14" s="10">
        <v>7</v>
      </c>
      <c r="B14" s="11">
        <v>6935</v>
      </c>
      <c r="C14" s="11">
        <v>7471</v>
      </c>
      <c r="D14" s="11">
        <v>4015</v>
      </c>
      <c r="E14" s="11">
        <v>3647</v>
      </c>
      <c r="F14" s="25">
        <f t="shared" si="0"/>
        <v>168</v>
      </c>
    </row>
    <row r="15" spans="1:6" x14ac:dyDescent="0.2">
      <c r="A15" s="10">
        <v>8</v>
      </c>
      <c r="B15" s="11">
        <v>5156</v>
      </c>
      <c r="C15" s="11">
        <v>7471</v>
      </c>
      <c r="D15" s="11">
        <v>2736</v>
      </c>
      <c r="E15" s="11">
        <v>3647</v>
      </c>
      <c r="F15" s="25">
        <f t="shared" si="0"/>
        <v>3226</v>
      </c>
    </row>
    <row r="16" spans="1:6" x14ac:dyDescent="0.2">
      <c r="A16" s="10">
        <v>9</v>
      </c>
      <c r="B16" s="11">
        <v>6608</v>
      </c>
      <c r="C16" s="11">
        <v>7437</v>
      </c>
      <c r="D16" s="11">
        <v>4783</v>
      </c>
      <c r="E16" s="11">
        <v>3647</v>
      </c>
      <c r="F16" s="25">
        <f t="shared" si="0"/>
        <v>-307</v>
      </c>
    </row>
    <row r="17" spans="1:6" x14ac:dyDescent="0.2">
      <c r="A17" s="10">
        <v>10</v>
      </c>
      <c r="B17" s="11">
        <v>7241</v>
      </c>
      <c r="C17" s="11">
        <v>7403</v>
      </c>
      <c r="D17" s="11">
        <v>3618</v>
      </c>
      <c r="E17" s="11">
        <v>3647</v>
      </c>
      <c r="F17" s="25">
        <f t="shared" si="0"/>
        <v>191</v>
      </c>
    </row>
    <row r="18" spans="1:6" x14ac:dyDescent="0.2">
      <c r="A18" s="10">
        <v>11</v>
      </c>
      <c r="B18" s="11">
        <v>6667</v>
      </c>
      <c r="C18" s="11">
        <v>7389</v>
      </c>
      <c r="D18" s="11">
        <v>2891</v>
      </c>
      <c r="E18" s="11">
        <v>3647</v>
      </c>
      <c r="F18" s="25">
        <f t="shared" si="0"/>
        <v>1478</v>
      </c>
    </row>
    <row r="19" spans="1:6" x14ac:dyDescent="0.2">
      <c r="A19" s="10">
        <v>12</v>
      </c>
      <c r="B19" s="11">
        <v>12863</v>
      </c>
      <c r="C19" s="11">
        <v>7471</v>
      </c>
      <c r="D19" s="11">
        <v>2671</v>
      </c>
      <c r="E19" s="11">
        <v>3647</v>
      </c>
      <c r="F19" s="25">
        <f t="shared" si="0"/>
        <v>-4416</v>
      </c>
    </row>
    <row r="20" spans="1:6" x14ac:dyDescent="0.2">
      <c r="A20" s="10">
        <v>13</v>
      </c>
      <c r="B20" s="11">
        <v>8057</v>
      </c>
      <c r="C20" s="11">
        <v>7457</v>
      </c>
      <c r="D20" s="11">
        <v>2295</v>
      </c>
      <c r="E20" s="11">
        <v>3647</v>
      </c>
      <c r="F20" s="25">
        <f t="shared" si="0"/>
        <v>752</v>
      </c>
    </row>
    <row r="21" spans="1:6" x14ac:dyDescent="0.2">
      <c r="A21" s="10">
        <v>14</v>
      </c>
      <c r="B21" s="11">
        <v>5798</v>
      </c>
      <c r="C21" s="11">
        <v>7471</v>
      </c>
      <c r="D21" s="11">
        <v>2648</v>
      </c>
      <c r="E21" s="11">
        <v>3647</v>
      </c>
      <c r="F21" s="25">
        <f t="shared" si="0"/>
        <v>2672</v>
      </c>
    </row>
    <row r="22" spans="1:6" x14ac:dyDescent="0.2">
      <c r="A22" s="10">
        <v>15</v>
      </c>
      <c r="B22" s="11">
        <v>6590</v>
      </c>
      <c r="C22" s="11">
        <v>7471</v>
      </c>
      <c r="D22" s="11">
        <v>3194</v>
      </c>
      <c r="E22" s="11">
        <v>3647</v>
      </c>
      <c r="F22" s="25">
        <f t="shared" si="0"/>
        <v>1334</v>
      </c>
    </row>
    <row r="23" spans="1:6" x14ac:dyDescent="0.2">
      <c r="A23" s="10">
        <v>16</v>
      </c>
      <c r="B23" s="11">
        <v>6633</v>
      </c>
      <c r="C23" s="11">
        <v>7471</v>
      </c>
      <c r="D23" s="11">
        <v>3458</v>
      </c>
      <c r="E23" s="11">
        <v>3647</v>
      </c>
      <c r="F23" s="25">
        <f t="shared" si="0"/>
        <v>1027</v>
      </c>
    </row>
    <row r="24" spans="1:6" x14ac:dyDescent="0.2">
      <c r="A24" s="10">
        <v>17</v>
      </c>
      <c r="B24" s="11">
        <v>6718</v>
      </c>
      <c r="C24" s="11">
        <v>7471</v>
      </c>
      <c r="D24" s="11">
        <v>3506</v>
      </c>
      <c r="E24" s="11">
        <v>3647</v>
      </c>
      <c r="F24" s="25">
        <f t="shared" si="0"/>
        <v>894</v>
      </c>
    </row>
    <row r="25" spans="1:6" x14ac:dyDescent="0.2">
      <c r="A25" s="10">
        <v>18</v>
      </c>
      <c r="B25" s="11">
        <v>6666</v>
      </c>
      <c r="C25" s="11">
        <v>7471</v>
      </c>
      <c r="D25" s="11">
        <v>3730</v>
      </c>
      <c r="E25" s="11">
        <v>3647</v>
      </c>
      <c r="F25" s="25">
        <f t="shared" si="0"/>
        <v>722</v>
      </c>
    </row>
    <row r="26" spans="1:6" x14ac:dyDescent="0.2">
      <c r="A26" s="10">
        <v>19</v>
      </c>
      <c r="B26" s="11">
        <v>6379</v>
      </c>
      <c r="C26" s="11">
        <v>7471</v>
      </c>
      <c r="D26" s="11">
        <v>3674</v>
      </c>
      <c r="E26" s="11">
        <v>3647</v>
      </c>
      <c r="F26" s="25">
        <f t="shared" si="0"/>
        <v>1065</v>
      </c>
    </row>
    <row r="27" spans="1:6" x14ac:dyDescent="0.2">
      <c r="A27" s="10">
        <v>20</v>
      </c>
      <c r="B27" s="11">
        <v>6530</v>
      </c>
      <c r="C27" s="11">
        <v>7471</v>
      </c>
      <c r="D27" s="11">
        <v>3333</v>
      </c>
      <c r="E27" s="11">
        <v>3647</v>
      </c>
      <c r="F27" s="25">
        <f t="shared" si="0"/>
        <v>1255</v>
      </c>
    </row>
    <row r="28" spans="1:6" x14ac:dyDescent="0.2">
      <c r="A28" s="10">
        <v>21</v>
      </c>
      <c r="B28" s="11">
        <v>7007</v>
      </c>
      <c r="C28" s="11">
        <v>7471</v>
      </c>
      <c r="D28" s="11">
        <v>2856</v>
      </c>
      <c r="E28" s="11">
        <v>3647</v>
      </c>
      <c r="F28" s="25">
        <f t="shared" si="0"/>
        <v>1255</v>
      </c>
    </row>
    <row r="29" spans="1:6" x14ac:dyDescent="0.2">
      <c r="A29" s="10">
        <v>22</v>
      </c>
      <c r="B29" s="11">
        <v>6962</v>
      </c>
      <c r="C29" s="11">
        <v>7471</v>
      </c>
      <c r="D29" s="11">
        <v>3011</v>
      </c>
      <c r="E29" s="11">
        <v>3647</v>
      </c>
      <c r="F29" s="25">
        <f t="shared" si="0"/>
        <v>1145</v>
      </c>
    </row>
    <row r="30" spans="1:6" x14ac:dyDescent="0.2">
      <c r="A30" s="10">
        <v>23</v>
      </c>
      <c r="B30" s="11">
        <v>6701</v>
      </c>
      <c r="C30" s="11">
        <v>7471</v>
      </c>
      <c r="D30" s="11">
        <v>2984</v>
      </c>
      <c r="E30" s="11">
        <v>3647</v>
      </c>
      <c r="F30" s="25">
        <f t="shared" si="0"/>
        <v>1433</v>
      </c>
    </row>
    <row r="31" spans="1:6" x14ac:dyDescent="0.2">
      <c r="A31" s="10">
        <v>24</v>
      </c>
      <c r="B31" s="11">
        <v>14022</v>
      </c>
      <c r="C31" s="11">
        <v>7471</v>
      </c>
      <c r="D31" s="11">
        <v>2420</v>
      </c>
      <c r="E31" s="11">
        <v>3647</v>
      </c>
      <c r="F31" s="25">
        <f t="shared" si="0"/>
        <v>-5324</v>
      </c>
    </row>
    <row r="32" spans="1:6" x14ac:dyDescent="0.2">
      <c r="A32" s="10">
        <v>25</v>
      </c>
      <c r="B32" s="11">
        <v>19658</v>
      </c>
      <c r="C32" s="11">
        <v>7471</v>
      </c>
      <c r="D32" s="11">
        <v>2702</v>
      </c>
      <c r="E32" s="11">
        <v>3647</v>
      </c>
      <c r="F32" s="25">
        <f t="shared" si="0"/>
        <v>-11242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192800</v>
      </c>
      <c r="C39" s="11">
        <f>SUM(C8:C38)</f>
        <v>182626</v>
      </c>
      <c r="D39" s="11">
        <f>SUM(D8:D38)</f>
        <v>75236</v>
      </c>
      <c r="E39" s="11">
        <f>SUM(E8:E38)</f>
        <v>87816</v>
      </c>
      <c r="F39" s="25">
        <f>SUM(F8:F38)</f>
        <v>2406</v>
      </c>
    </row>
    <row r="40" spans="1:6" x14ac:dyDescent="0.2">
      <c r="A40" s="26"/>
      <c r="C40" s="14"/>
      <c r="F40" s="264">
        <f>+summary!P13</f>
        <v>8.33</v>
      </c>
    </row>
    <row r="41" spans="1:6" x14ac:dyDescent="0.2">
      <c r="F41" s="138">
        <f>+F40*F39</f>
        <v>20041.98</v>
      </c>
    </row>
    <row r="42" spans="1:6" x14ac:dyDescent="0.2">
      <c r="A42" s="57">
        <v>36860</v>
      </c>
      <c r="C42" s="15"/>
      <c r="F42" s="376">
        <v>-282710.67</v>
      </c>
    </row>
    <row r="43" spans="1:6" x14ac:dyDescent="0.2">
      <c r="A43" s="57">
        <v>36885</v>
      </c>
      <c r="C43" s="48"/>
      <c r="F43" s="138">
        <f>+F42+F41</f>
        <v>-262668.69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C33" sqref="C33"/>
    </sheetView>
  </sheetViews>
  <sheetFormatPr defaultRowHeight="12.75" x14ac:dyDescent="0.2"/>
  <sheetData>
    <row r="5" spans="1:4" ht="15" x14ac:dyDescent="0.25">
      <c r="A5" s="134"/>
      <c r="B5" s="34" t="s">
        <v>129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>
        <v>17996</v>
      </c>
      <c r="C8" s="11">
        <v>25998</v>
      </c>
      <c r="D8" s="25">
        <f>+C8-B8</f>
        <v>8002</v>
      </c>
    </row>
    <row r="9" spans="1:4" x14ac:dyDescent="0.2">
      <c r="A9" s="10">
        <v>2</v>
      </c>
      <c r="B9" s="11">
        <v>27242</v>
      </c>
      <c r="C9" s="11">
        <v>40000</v>
      </c>
      <c r="D9" s="25">
        <f t="shared" ref="D9:D38" si="0">+C9-B9</f>
        <v>12758</v>
      </c>
    </row>
    <row r="10" spans="1:4" x14ac:dyDescent="0.2">
      <c r="A10" s="10">
        <v>3</v>
      </c>
      <c r="B10" s="11">
        <v>30344</v>
      </c>
      <c r="C10" s="11">
        <v>39999</v>
      </c>
      <c r="D10" s="25">
        <f t="shared" si="0"/>
        <v>9655</v>
      </c>
    </row>
    <row r="11" spans="1:4" x14ac:dyDescent="0.2">
      <c r="A11" s="10">
        <v>4</v>
      </c>
      <c r="B11" s="11">
        <v>29336</v>
      </c>
      <c r="C11" s="11">
        <v>38306</v>
      </c>
      <c r="D11" s="25">
        <f t="shared" si="0"/>
        <v>8970</v>
      </c>
    </row>
    <row r="12" spans="1:4" x14ac:dyDescent="0.2">
      <c r="A12" s="10">
        <v>5</v>
      </c>
      <c r="B12" s="11">
        <v>23080</v>
      </c>
      <c r="C12" s="11">
        <f>23233+1123</f>
        <v>24356</v>
      </c>
      <c r="D12" s="25">
        <f t="shared" si="0"/>
        <v>1276</v>
      </c>
    </row>
    <row r="13" spans="1:4" x14ac:dyDescent="0.2">
      <c r="A13" s="10">
        <v>6</v>
      </c>
      <c r="B13" s="11">
        <v>31559</v>
      </c>
      <c r="C13" s="11">
        <v>38450</v>
      </c>
      <c r="D13" s="25">
        <f t="shared" si="0"/>
        <v>6891</v>
      </c>
    </row>
    <row r="14" spans="1:4" x14ac:dyDescent="0.2">
      <c r="A14" s="10">
        <v>7</v>
      </c>
      <c r="B14" s="11">
        <v>30721</v>
      </c>
      <c r="C14" s="11">
        <v>31076</v>
      </c>
      <c r="D14" s="25">
        <f t="shared" si="0"/>
        <v>355</v>
      </c>
    </row>
    <row r="15" spans="1:4" x14ac:dyDescent="0.2">
      <c r="A15" s="10">
        <v>8</v>
      </c>
      <c r="B15" s="11">
        <v>25834</v>
      </c>
      <c r="C15" s="11">
        <v>26000</v>
      </c>
      <c r="D15" s="25">
        <f t="shared" si="0"/>
        <v>166</v>
      </c>
    </row>
    <row r="16" spans="1:4" x14ac:dyDescent="0.2">
      <c r="A16" s="10">
        <v>9</v>
      </c>
      <c r="B16" s="11">
        <v>26005</v>
      </c>
      <c r="C16" s="11">
        <v>26000</v>
      </c>
      <c r="D16" s="25">
        <f t="shared" si="0"/>
        <v>-5</v>
      </c>
    </row>
    <row r="17" spans="1:4" x14ac:dyDescent="0.2">
      <c r="A17" s="10">
        <v>10</v>
      </c>
      <c r="B17" s="11">
        <v>25879</v>
      </c>
      <c r="C17" s="11">
        <v>26000</v>
      </c>
      <c r="D17" s="25">
        <f t="shared" si="0"/>
        <v>121</v>
      </c>
    </row>
    <row r="18" spans="1:4" x14ac:dyDescent="0.2">
      <c r="A18" s="10">
        <v>11</v>
      </c>
      <c r="B18" s="11">
        <v>27732</v>
      </c>
      <c r="C18" s="11">
        <v>26000</v>
      </c>
      <c r="D18" s="25">
        <f t="shared" si="0"/>
        <v>-1732</v>
      </c>
    </row>
    <row r="19" spans="1:4" x14ac:dyDescent="0.2">
      <c r="A19" s="10">
        <v>12</v>
      </c>
      <c r="B19" s="11">
        <v>33840</v>
      </c>
      <c r="C19" s="11">
        <v>26000</v>
      </c>
      <c r="D19" s="25">
        <f t="shared" si="0"/>
        <v>-7840</v>
      </c>
    </row>
    <row r="20" spans="1:4" x14ac:dyDescent="0.2">
      <c r="A20" s="10">
        <v>13</v>
      </c>
      <c r="B20" s="11">
        <v>28685</v>
      </c>
      <c r="C20" s="11">
        <v>29986</v>
      </c>
      <c r="D20" s="25">
        <f t="shared" si="0"/>
        <v>1301</v>
      </c>
    </row>
    <row r="21" spans="1:4" x14ac:dyDescent="0.2">
      <c r="A21" s="10">
        <v>14</v>
      </c>
      <c r="B21" s="11">
        <v>30565</v>
      </c>
      <c r="C21" s="11">
        <v>35963</v>
      </c>
      <c r="D21" s="25">
        <f t="shared" si="0"/>
        <v>5398</v>
      </c>
    </row>
    <row r="22" spans="1:4" x14ac:dyDescent="0.2">
      <c r="A22" s="10">
        <v>15</v>
      </c>
      <c r="B22" s="11">
        <v>24896</v>
      </c>
      <c r="C22" s="11">
        <v>25999</v>
      </c>
      <c r="D22" s="25">
        <f t="shared" si="0"/>
        <v>1103</v>
      </c>
    </row>
    <row r="23" spans="1:4" x14ac:dyDescent="0.2">
      <c r="A23" s="10">
        <v>16</v>
      </c>
      <c r="B23" s="11">
        <v>24310</v>
      </c>
      <c r="C23" s="11">
        <v>26000</v>
      </c>
      <c r="D23" s="25">
        <f t="shared" si="0"/>
        <v>1690</v>
      </c>
    </row>
    <row r="24" spans="1:4" x14ac:dyDescent="0.2">
      <c r="A24" s="10">
        <v>17</v>
      </c>
      <c r="B24" s="11">
        <v>24306</v>
      </c>
      <c r="C24" s="11">
        <v>26000</v>
      </c>
      <c r="D24" s="25">
        <f t="shared" si="0"/>
        <v>1694</v>
      </c>
    </row>
    <row r="25" spans="1:4" x14ac:dyDescent="0.2">
      <c r="A25" s="10">
        <v>18</v>
      </c>
      <c r="B25" s="11">
        <v>24583</v>
      </c>
      <c r="C25" s="11">
        <v>26000</v>
      </c>
      <c r="D25" s="25">
        <f t="shared" si="0"/>
        <v>1417</v>
      </c>
    </row>
    <row r="26" spans="1:4" x14ac:dyDescent="0.2">
      <c r="A26" s="10">
        <v>19</v>
      </c>
      <c r="B26" s="11">
        <v>24273</v>
      </c>
      <c r="C26" s="11">
        <v>31000</v>
      </c>
      <c r="D26" s="25">
        <f t="shared" si="0"/>
        <v>6727</v>
      </c>
    </row>
    <row r="27" spans="1:4" x14ac:dyDescent="0.2">
      <c r="A27" s="10">
        <v>20</v>
      </c>
      <c r="B27" s="11">
        <v>24703</v>
      </c>
      <c r="C27" s="11">
        <v>25999</v>
      </c>
      <c r="D27" s="25">
        <f t="shared" si="0"/>
        <v>1296</v>
      </c>
    </row>
    <row r="28" spans="1:4" x14ac:dyDescent="0.2">
      <c r="A28" s="10">
        <v>21</v>
      </c>
      <c r="B28" s="11">
        <v>24285</v>
      </c>
      <c r="C28" s="11">
        <v>30999</v>
      </c>
      <c r="D28" s="25">
        <f t="shared" si="0"/>
        <v>6714</v>
      </c>
    </row>
    <row r="29" spans="1:4" x14ac:dyDescent="0.2">
      <c r="A29" s="10">
        <v>22</v>
      </c>
      <c r="B29" s="11">
        <v>23418</v>
      </c>
      <c r="C29" s="11">
        <v>26000</v>
      </c>
      <c r="D29" s="25">
        <f t="shared" si="0"/>
        <v>2582</v>
      </c>
    </row>
    <row r="30" spans="1:4" x14ac:dyDescent="0.2">
      <c r="A30" s="10">
        <v>23</v>
      </c>
      <c r="B30" s="11">
        <v>25841</v>
      </c>
      <c r="C30" s="11">
        <v>26000</v>
      </c>
      <c r="D30" s="25">
        <f t="shared" si="0"/>
        <v>159</v>
      </c>
    </row>
    <row r="31" spans="1:4" x14ac:dyDescent="0.2">
      <c r="A31" s="10">
        <v>24</v>
      </c>
      <c r="B31" s="11">
        <v>25222</v>
      </c>
      <c r="C31" s="11">
        <v>26000</v>
      </c>
      <c r="D31" s="25">
        <f t="shared" si="0"/>
        <v>778</v>
      </c>
    </row>
    <row r="32" spans="1:4" x14ac:dyDescent="0.2">
      <c r="A32" s="10">
        <v>25</v>
      </c>
      <c r="B32" s="11">
        <v>25295</v>
      </c>
      <c r="C32" s="11">
        <v>26000</v>
      </c>
      <c r="D32" s="25">
        <f t="shared" si="0"/>
        <v>705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659950</v>
      </c>
      <c r="C39" s="11">
        <f>SUM(C8:C38)</f>
        <v>730131</v>
      </c>
      <c r="D39" s="25">
        <f>SUM(D8:D38)</f>
        <v>70181</v>
      </c>
    </row>
    <row r="40" spans="1:4" x14ac:dyDescent="0.2">
      <c r="A40" s="26"/>
      <c r="C40" s="14"/>
      <c r="D40" s="264">
        <f>+summary!P13</f>
        <v>8.33</v>
      </c>
    </row>
    <row r="41" spans="1:4" x14ac:dyDescent="0.2">
      <c r="D41" s="138">
        <f>+D40*D39</f>
        <v>584607.73</v>
      </c>
    </row>
    <row r="42" spans="1:4" x14ac:dyDescent="0.2">
      <c r="A42" s="57">
        <v>36860</v>
      </c>
      <c r="C42" s="15"/>
      <c r="D42" s="376">
        <v>-557795.86</v>
      </c>
    </row>
    <row r="43" spans="1:4" x14ac:dyDescent="0.2">
      <c r="A43" s="57">
        <v>36885</v>
      </c>
      <c r="C43" s="48"/>
      <c r="D43" s="138">
        <f>+D42+D41</f>
        <v>26811.869999999995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  <sheetView topLeftCell="A26" workbookViewId="1">
      <selection activeCell="F8" sqref="F8"/>
    </sheetView>
  </sheetViews>
  <sheetFormatPr defaultRowHeight="12.75" x14ac:dyDescent="0.2"/>
  <cols>
    <col min="3" max="3" width="9.28515625" bestFit="1" customWidth="1"/>
    <col min="6" max="6" width="11.28515625" bestFit="1" customWidth="1"/>
  </cols>
  <sheetData>
    <row r="1" spans="1:8" x14ac:dyDescent="0.2">
      <c r="A1" s="54"/>
      <c r="B1" s="391">
        <v>23995</v>
      </c>
      <c r="C1" s="237"/>
      <c r="D1" s="390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>
        <v>28264</v>
      </c>
      <c r="C4" s="11">
        <v>25000</v>
      </c>
      <c r="D4" s="11">
        <v>31781</v>
      </c>
      <c r="E4" s="11">
        <v>23797</v>
      </c>
      <c r="F4" s="11">
        <f>+E4+C4-D4-B4</f>
        <v>-11248</v>
      </c>
      <c r="G4" s="11"/>
      <c r="H4" s="24"/>
    </row>
    <row r="5" spans="1:8" x14ac:dyDescent="0.2">
      <c r="A5" s="10">
        <v>2</v>
      </c>
      <c r="B5" s="11">
        <v>29161</v>
      </c>
      <c r="C5" s="11">
        <v>25000</v>
      </c>
      <c r="D5" s="11">
        <v>29371</v>
      </c>
      <c r="E5" s="11">
        <v>24000</v>
      </c>
      <c r="F5" s="11">
        <f t="shared" ref="F5:F34" si="0">+E5+C5-D5-B5</f>
        <v>-9532</v>
      </c>
      <c r="G5" s="11"/>
      <c r="H5" s="24"/>
    </row>
    <row r="6" spans="1:8" x14ac:dyDescent="0.2">
      <c r="A6" s="10">
        <v>3</v>
      </c>
      <c r="B6" s="11">
        <v>30146</v>
      </c>
      <c r="C6" s="129">
        <v>25000</v>
      </c>
      <c r="D6" s="129">
        <v>29555</v>
      </c>
      <c r="E6" s="367">
        <v>24000</v>
      </c>
      <c r="F6" s="11">
        <f t="shared" si="0"/>
        <v>-10701</v>
      </c>
      <c r="G6" s="11"/>
      <c r="H6" s="24"/>
    </row>
    <row r="7" spans="1:8" x14ac:dyDescent="0.2">
      <c r="A7" s="10">
        <v>4</v>
      </c>
      <c r="B7" s="11">
        <v>30908</v>
      </c>
      <c r="C7" s="129">
        <v>25000</v>
      </c>
      <c r="D7" s="129">
        <v>24416</v>
      </c>
      <c r="E7" s="129">
        <v>24000</v>
      </c>
      <c r="F7" s="11">
        <f t="shared" si="0"/>
        <v>-6324</v>
      </c>
      <c r="G7" s="11"/>
      <c r="H7" s="24"/>
    </row>
    <row r="8" spans="1:8" x14ac:dyDescent="0.2">
      <c r="A8" s="10">
        <v>5</v>
      </c>
      <c r="B8" s="11">
        <v>31508</v>
      </c>
      <c r="C8" s="11">
        <v>28000</v>
      </c>
      <c r="D8" s="11">
        <v>23106</v>
      </c>
      <c r="E8" s="11">
        <v>24000</v>
      </c>
      <c r="F8" s="11">
        <f t="shared" si="0"/>
        <v>-2614</v>
      </c>
      <c r="G8" s="11"/>
      <c r="H8" s="24"/>
    </row>
    <row r="9" spans="1:8" x14ac:dyDescent="0.2">
      <c r="A9" s="10">
        <v>6</v>
      </c>
      <c r="B9" s="11">
        <v>30317</v>
      </c>
      <c r="C9" s="11">
        <v>25000</v>
      </c>
      <c r="D9" s="11">
        <v>24595</v>
      </c>
      <c r="E9" s="11">
        <v>24000</v>
      </c>
      <c r="F9" s="11">
        <f t="shared" si="0"/>
        <v>-5912</v>
      </c>
      <c r="G9" s="11"/>
      <c r="H9" s="24"/>
    </row>
    <row r="10" spans="1:8" x14ac:dyDescent="0.2">
      <c r="A10" s="10">
        <v>7</v>
      </c>
      <c r="B10" s="11">
        <v>29575</v>
      </c>
      <c r="C10" s="11">
        <v>30000</v>
      </c>
      <c r="D10" s="11">
        <v>25649</v>
      </c>
      <c r="E10" s="11">
        <v>24000</v>
      </c>
      <c r="F10" s="11">
        <f t="shared" si="0"/>
        <v>-1224</v>
      </c>
      <c r="G10" s="11"/>
      <c r="H10" s="24"/>
    </row>
    <row r="11" spans="1:8" x14ac:dyDescent="0.2">
      <c r="A11" s="10">
        <v>8</v>
      </c>
      <c r="B11" s="11">
        <v>29617</v>
      </c>
      <c r="C11" s="11">
        <v>30000</v>
      </c>
      <c r="D11" s="11">
        <v>25060</v>
      </c>
      <c r="E11" s="11">
        <v>25501</v>
      </c>
      <c r="F11" s="11">
        <f t="shared" si="0"/>
        <v>824</v>
      </c>
      <c r="G11" s="11"/>
      <c r="H11" s="24"/>
    </row>
    <row r="12" spans="1:8" x14ac:dyDescent="0.2">
      <c r="A12" s="10">
        <v>9</v>
      </c>
      <c r="B12" s="11">
        <v>30362</v>
      </c>
      <c r="C12" s="11">
        <v>30000</v>
      </c>
      <c r="D12" s="11">
        <v>26626</v>
      </c>
      <c r="E12" s="11">
        <v>27000</v>
      </c>
      <c r="F12" s="11">
        <f t="shared" si="0"/>
        <v>12</v>
      </c>
      <c r="G12" s="11"/>
      <c r="H12" s="24"/>
    </row>
    <row r="13" spans="1:8" x14ac:dyDescent="0.2">
      <c r="A13" s="10">
        <v>10</v>
      </c>
      <c r="B13" s="11">
        <v>35274</v>
      </c>
      <c r="C13" s="11">
        <v>30000</v>
      </c>
      <c r="D13" s="11">
        <v>25597</v>
      </c>
      <c r="E13" s="11">
        <v>27000</v>
      </c>
      <c r="F13" s="11">
        <f t="shared" si="0"/>
        <v>-3871</v>
      </c>
      <c r="G13" s="11"/>
      <c r="H13" s="24"/>
    </row>
    <row r="14" spans="1:8" x14ac:dyDescent="0.2">
      <c r="A14" s="10">
        <v>11</v>
      </c>
      <c r="B14" s="11">
        <v>35915</v>
      </c>
      <c r="C14" s="11">
        <v>30000</v>
      </c>
      <c r="D14" s="11">
        <v>24828</v>
      </c>
      <c r="E14" s="11">
        <v>27000</v>
      </c>
      <c r="F14" s="11">
        <f t="shared" si="0"/>
        <v>-3743</v>
      </c>
      <c r="G14" s="11"/>
      <c r="H14" s="24"/>
    </row>
    <row r="15" spans="1:8" x14ac:dyDescent="0.2">
      <c r="A15" s="10">
        <v>12</v>
      </c>
      <c r="B15" s="11">
        <v>29963</v>
      </c>
      <c r="C15" s="11">
        <v>30000</v>
      </c>
      <c r="D15" s="11">
        <v>25769</v>
      </c>
      <c r="E15" s="11">
        <v>27000</v>
      </c>
      <c r="F15" s="11">
        <f t="shared" si="0"/>
        <v>1268</v>
      </c>
      <c r="G15" s="11"/>
      <c r="H15" s="24"/>
    </row>
    <row r="16" spans="1:8" x14ac:dyDescent="0.2">
      <c r="A16" s="10">
        <v>13</v>
      </c>
      <c r="B16" s="11">
        <v>1184</v>
      </c>
      <c r="C16" s="11">
        <v>5000</v>
      </c>
      <c r="D16" s="11">
        <v>25774</v>
      </c>
      <c r="E16" s="11">
        <v>27000</v>
      </c>
      <c r="F16" s="11">
        <f t="shared" si="0"/>
        <v>5042</v>
      </c>
      <c r="G16" s="11"/>
      <c r="H16" s="24"/>
    </row>
    <row r="17" spans="1:8" x14ac:dyDescent="0.2">
      <c r="A17" s="10">
        <v>14</v>
      </c>
      <c r="B17" s="11"/>
      <c r="C17" s="11"/>
      <c r="D17" s="11">
        <v>25865</v>
      </c>
      <c r="E17" s="11">
        <v>26000</v>
      </c>
      <c r="F17" s="11">
        <f t="shared" si="0"/>
        <v>135</v>
      </c>
      <c r="G17" s="11"/>
      <c r="H17" s="24"/>
    </row>
    <row r="18" spans="1:8" x14ac:dyDescent="0.2">
      <c r="A18" s="10">
        <v>15</v>
      </c>
      <c r="B18" s="11"/>
      <c r="C18" s="11"/>
      <c r="D18" s="11">
        <v>25976</v>
      </c>
      <c r="E18" s="11">
        <v>26000</v>
      </c>
      <c r="F18" s="11">
        <f t="shared" si="0"/>
        <v>24</v>
      </c>
      <c r="G18" s="11"/>
      <c r="H18" s="24"/>
    </row>
    <row r="19" spans="1:8" x14ac:dyDescent="0.2">
      <c r="A19" s="10">
        <v>16</v>
      </c>
      <c r="B19" s="11">
        <v>29610</v>
      </c>
      <c r="C19" s="11">
        <v>30000</v>
      </c>
      <c r="D19" s="11">
        <v>25974</v>
      </c>
      <c r="E19" s="11">
        <v>24000</v>
      </c>
      <c r="F19" s="11">
        <f t="shared" si="0"/>
        <v>-1584</v>
      </c>
      <c r="G19" s="11"/>
      <c r="H19" s="24"/>
    </row>
    <row r="20" spans="1:8" x14ac:dyDescent="0.2">
      <c r="A20" s="10">
        <v>17</v>
      </c>
      <c r="B20" s="11">
        <v>28821</v>
      </c>
      <c r="C20" s="11">
        <v>30000</v>
      </c>
      <c r="D20" s="11">
        <v>19551</v>
      </c>
      <c r="E20" s="11">
        <v>24000</v>
      </c>
      <c r="F20" s="11">
        <f t="shared" si="0"/>
        <v>5628</v>
      </c>
      <c r="G20" s="11"/>
      <c r="H20" s="24"/>
    </row>
    <row r="21" spans="1:8" x14ac:dyDescent="0.2">
      <c r="A21" s="10">
        <v>18</v>
      </c>
      <c r="B21" s="129">
        <v>30239</v>
      </c>
      <c r="C21" s="11">
        <v>30000</v>
      </c>
      <c r="D21" s="11">
        <v>23507</v>
      </c>
      <c r="E21" s="11">
        <v>24000</v>
      </c>
      <c r="F21" s="11">
        <f t="shared" si="0"/>
        <v>254</v>
      </c>
      <c r="G21" s="11"/>
      <c r="H21" s="24"/>
    </row>
    <row r="22" spans="1:8" x14ac:dyDescent="0.2">
      <c r="A22" s="10">
        <v>19</v>
      </c>
      <c r="B22" s="11">
        <v>25557</v>
      </c>
      <c r="C22" s="11">
        <v>25000</v>
      </c>
      <c r="D22" s="11">
        <v>25532</v>
      </c>
      <c r="E22" s="11">
        <v>24000</v>
      </c>
      <c r="F22" s="11">
        <f t="shared" si="0"/>
        <v>-2089</v>
      </c>
      <c r="G22" s="11"/>
      <c r="H22" s="24"/>
    </row>
    <row r="23" spans="1:8" x14ac:dyDescent="0.2">
      <c r="A23" s="10">
        <v>20</v>
      </c>
      <c r="B23" s="11">
        <v>15</v>
      </c>
      <c r="C23" s="11"/>
      <c r="D23" s="11">
        <v>25092</v>
      </c>
      <c r="E23" s="11">
        <v>24000</v>
      </c>
      <c r="F23" s="11">
        <f t="shared" si="0"/>
        <v>-1107</v>
      </c>
      <c r="G23" s="11"/>
      <c r="H23" s="24"/>
    </row>
    <row r="24" spans="1:8" x14ac:dyDescent="0.2">
      <c r="A24" s="10">
        <v>21</v>
      </c>
      <c r="B24" s="11"/>
      <c r="C24" s="11"/>
      <c r="D24" s="11">
        <v>23790</v>
      </c>
      <c r="E24" s="11">
        <v>24000</v>
      </c>
      <c r="F24" s="11">
        <f t="shared" si="0"/>
        <v>210</v>
      </c>
      <c r="G24" s="11"/>
      <c r="H24" s="24"/>
    </row>
    <row r="25" spans="1:8" x14ac:dyDescent="0.2">
      <c r="A25" s="10">
        <v>22</v>
      </c>
      <c r="B25" s="11"/>
      <c r="C25" s="11"/>
      <c r="D25" s="11">
        <v>23862</v>
      </c>
      <c r="E25" s="11">
        <v>24000</v>
      </c>
      <c r="F25" s="11">
        <f t="shared" si="0"/>
        <v>138</v>
      </c>
      <c r="G25" s="11"/>
      <c r="H25" s="24"/>
    </row>
    <row r="26" spans="1:8" x14ac:dyDescent="0.2">
      <c r="A26" s="10">
        <v>23</v>
      </c>
      <c r="B26" s="11"/>
      <c r="C26" s="11"/>
      <c r="D26" s="11">
        <v>25747</v>
      </c>
      <c r="E26" s="11">
        <v>24000</v>
      </c>
      <c r="F26" s="11">
        <f t="shared" si="0"/>
        <v>-1747</v>
      </c>
      <c r="G26" s="11"/>
      <c r="H26" s="24"/>
    </row>
    <row r="27" spans="1:8" x14ac:dyDescent="0.2">
      <c r="A27" s="10">
        <v>24</v>
      </c>
      <c r="B27" s="11"/>
      <c r="C27" s="11"/>
      <c r="D27" s="11">
        <v>22211</v>
      </c>
      <c r="E27" s="11">
        <v>24000</v>
      </c>
      <c r="F27" s="11">
        <f t="shared" si="0"/>
        <v>1789</v>
      </c>
      <c r="G27" s="11"/>
      <c r="H27" s="24"/>
    </row>
    <row r="28" spans="1:8" x14ac:dyDescent="0.2">
      <c r="A28" s="10">
        <v>25</v>
      </c>
      <c r="B28" s="11"/>
      <c r="C28" s="11"/>
      <c r="D28" s="11">
        <v>24878</v>
      </c>
      <c r="E28" s="11">
        <v>24000</v>
      </c>
      <c r="F28" s="11">
        <f t="shared" si="0"/>
        <v>-878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486436</v>
      </c>
      <c r="C35" s="11">
        <f>SUM(C4:C34)</f>
        <v>453000</v>
      </c>
      <c r="D35" s="11">
        <f>SUM(D4:D34)</f>
        <v>634112</v>
      </c>
      <c r="E35" s="11">
        <f>SUM(E4:E34)</f>
        <v>620298</v>
      </c>
      <c r="F35" s="11">
        <f>SUM(F4:F34)</f>
        <v>-47250</v>
      </c>
      <c r="G35" s="11"/>
      <c r="H35" s="11"/>
    </row>
    <row r="36" spans="1:8" x14ac:dyDescent="0.2">
      <c r="C36" s="25">
        <f>+C35-B35</f>
        <v>-33436</v>
      </c>
      <c r="E36" s="25">
        <f>+E35-D35</f>
        <v>-13814</v>
      </c>
      <c r="F36" s="25">
        <f>+E36+C36</f>
        <v>-47250</v>
      </c>
    </row>
    <row r="37" spans="1:8" x14ac:dyDescent="0.2">
      <c r="C37" s="392">
        <f>+'[2]1200'!$E$39</f>
        <v>8.56</v>
      </c>
      <c r="E37" s="392">
        <f>+'[2]1200'!$E$39</f>
        <v>8.56</v>
      </c>
      <c r="F37" s="392">
        <f>+E37</f>
        <v>8.56</v>
      </c>
    </row>
    <row r="38" spans="1:8" x14ac:dyDescent="0.2">
      <c r="C38" s="138">
        <f>+C37*C36</f>
        <v>-286212.16000000003</v>
      </c>
      <c r="E38" s="138">
        <f>+E37*E36</f>
        <v>-118247.84000000001</v>
      </c>
      <c r="F38" s="138">
        <f>+F37*F36</f>
        <v>-404460</v>
      </c>
    </row>
    <row r="39" spans="1:8" x14ac:dyDescent="0.2">
      <c r="A39" s="57">
        <v>36860</v>
      </c>
      <c r="B39" s="2" t="s">
        <v>49</v>
      </c>
      <c r="C39" s="379">
        <f>-710525.41+93633.52</f>
        <v>-616891.89</v>
      </c>
      <c r="D39" s="360"/>
      <c r="E39" s="379">
        <f>218280.53+163648.84</f>
        <v>381929.37</v>
      </c>
      <c r="F39" s="137">
        <f>+E39+C39</f>
        <v>-234962.52000000002</v>
      </c>
      <c r="G39" s="24"/>
      <c r="H39" s="24"/>
    </row>
    <row r="40" spans="1:8" x14ac:dyDescent="0.2">
      <c r="A40" s="57">
        <v>36885</v>
      </c>
      <c r="B40" s="2" t="s">
        <v>49</v>
      </c>
      <c r="C40" s="393">
        <f>+C39+C38</f>
        <v>-903104.05</v>
      </c>
      <c r="D40" s="262"/>
      <c r="E40" s="393">
        <f>+E39+E38</f>
        <v>263681.52999999997</v>
      </c>
      <c r="F40" s="393">
        <f>+F39+F38</f>
        <v>-639422.52</v>
      </c>
      <c r="G40" s="131"/>
      <c r="H40" s="131"/>
    </row>
    <row r="41" spans="1:8" x14ac:dyDescent="0.2">
      <c r="C41" s="254"/>
    </row>
    <row r="42" spans="1:8" x14ac:dyDescent="0.2">
      <c r="F42" s="15"/>
    </row>
    <row r="43" spans="1:8" x14ac:dyDescent="0.2">
      <c r="B43" s="12" t="s">
        <v>131</v>
      </c>
      <c r="F43" s="15"/>
    </row>
    <row r="44" spans="1:8" x14ac:dyDescent="0.2">
      <c r="B44" s="12">
        <v>22864</v>
      </c>
      <c r="F44" s="104">
        <v>-58339.66</v>
      </c>
    </row>
    <row r="45" spans="1:8" x14ac:dyDescent="0.2">
      <c r="B45" s="12">
        <v>20379</v>
      </c>
      <c r="F45" s="104">
        <v>-51695.87</v>
      </c>
    </row>
    <row r="46" spans="1:8" x14ac:dyDescent="0.2">
      <c r="B46" s="12">
        <v>21459</v>
      </c>
      <c r="F46" s="104">
        <v>10570.56</v>
      </c>
    </row>
    <row r="47" spans="1:8" x14ac:dyDescent="0.2">
      <c r="B47" s="12">
        <v>26357</v>
      </c>
      <c r="F47" s="104">
        <v>44144.84</v>
      </c>
    </row>
    <row r="48" spans="1:8" x14ac:dyDescent="0.2">
      <c r="B48" s="12">
        <v>21544</v>
      </c>
      <c r="F48" s="104">
        <v>61340.160000000003</v>
      </c>
    </row>
    <row r="49" spans="2:6" x14ac:dyDescent="0.2">
      <c r="B49" s="12">
        <v>24532</v>
      </c>
      <c r="F49" s="138">
        <v>1048039.53</v>
      </c>
    </row>
    <row r="50" spans="2:6" x14ac:dyDescent="0.2">
      <c r="F50" s="104">
        <f>SUM(F40:F49)</f>
        <v>414637.04000000004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5" workbookViewId="1">
      <selection activeCell="C25" sqref="C25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48</v>
      </c>
    </row>
    <row r="7" spans="1:4" x14ac:dyDescent="0.2">
      <c r="A7" s="10">
        <v>1</v>
      </c>
      <c r="B7" s="11">
        <v>173271</v>
      </c>
      <c r="C7" s="11">
        <v>176394</v>
      </c>
      <c r="D7" s="25">
        <f>+C7-B7</f>
        <v>3123</v>
      </c>
    </row>
    <row r="8" spans="1:4" x14ac:dyDescent="0.2">
      <c r="A8" s="10">
        <v>2</v>
      </c>
      <c r="B8" s="11">
        <v>177225</v>
      </c>
      <c r="C8" s="11">
        <v>188500</v>
      </c>
      <c r="D8" s="25">
        <f>+C8-B8</f>
        <v>11275</v>
      </c>
    </row>
    <row r="9" spans="1:4" x14ac:dyDescent="0.2">
      <c r="A9" s="10">
        <v>3</v>
      </c>
      <c r="B9" s="11">
        <v>173559</v>
      </c>
      <c r="C9" s="11">
        <v>172558</v>
      </c>
      <c r="D9" s="25">
        <f t="shared" ref="D9:D37" si="0">+C9-B9</f>
        <v>-1001</v>
      </c>
    </row>
    <row r="10" spans="1:4" x14ac:dyDescent="0.2">
      <c r="A10" s="10">
        <v>4</v>
      </c>
      <c r="B10" s="11">
        <v>189185</v>
      </c>
      <c r="C10" s="11">
        <v>195274</v>
      </c>
      <c r="D10" s="25">
        <f t="shared" si="0"/>
        <v>6089</v>
      </c>
    </row>
    <row r="11" spans="1:4" x14ac:dyDescent="0.2">
      <c r="A11" s="10">
        <v>5</v>
      </c>
      <c r="B11" s="11">
        <v>184869</v>
      </c>
      <c r="C11" s="11">
        <v>181847</v>
      </c>
      <c r="D11" s="25">
        <f t="shared" si="0"/>
        <v>-3022</v>
      </c>
    </row>
    <row r="12" spans="1:4" x14ac:dyDescent="0.2">
      <c r="A12" s="10">
        <v>6</v>
      </c>
      <c r="B12" s="11">
        <v>191676</v>
      </c>
      <c r="C12" s="11">
        <v>192336</v>
      </c>
      <c r="D12" s="25">
        <f t="shared" si="0"/>
        <v>660</v>
      </c>
    </row>
    <row r="13" spans="1:4" x14ac:dyDescent="0.2">
      <c r="A13" s="10">
        <v>7</v>
      </c>
      <c r="B13" s="11">
        <v>214250</v>
      </c>
      <c r="C13" s="11">
        <v>217025</v>
      </c>
      <c r="D13" s="25">
        <f t="shared" si="0"/>
        <v>2775</v>
      </c>
    </row>
    <row r="14" spans="1:4" x14ac:dyDescent="0.2">
      <c r="A14" s="10">
        <v>8</v>
      </c>
      <c r="B14" s="11">
        <v>196255</v>
      </c>
      <c r="C14" s="11">
        <v>195210</v>
      </c>
      <c r="D14" s="25">
        <f t="shared" si="0"/>
        <v>-1045</v>
      </c>
    </row>
    <row r="15" spans="1:4" x14ac:dyDescent="0.2">
      <c r="A15" s="10">
        <v>9</v>
      </c>
      <c r="B15" s="11">
        <v>199789</v>
      </c>
      <c r="C15" s="11">
        <v>197970</v>
      </c>
      <c r="D15" s="25">
        <f t="shared" si="0"/>
        <v>-1819</v>
      </c>
    </row>
    <row r="16" spans="1:4" x14ac:dyDescent="0.2">
      <c r="A16" s="10">
        <v>10</v>
      </c>
      <c r="B16" s="11">
        <v>196513</v>
      </c>
      <c r="C16" s="11">
        <v>203483</v>
      </c>
      <c r="D16" s="25">
        <f t="shared" si="0"/>
        <v>6970</v>
      </c>
    </row>
    <row r="17" spans="1:4" x14ac:dyDescent="0.2">
      <c r="A17" s="10">
        <v>11</v>
      </c>
      <c r="B17" s="11">
        <v>190798</v>
      </c>
      <c r="C17" s="11">
        <v>188209</v>
      </c>
      <c r="D17" s="25">
        <f t="shared" si="0"/>
        <v>-2589</v>
      </c>
    </row>
    <row r="18" spans="1:4" x14ac:dyDescent="0.2">
      <c r="A18" s="10">
        <v>12</v>
      </c>
      <c r="B18" s="11">
        <v>199342</v>
      </c>
      <c r="C18" s="11">
        <v>206944</v>
      </c>
      <c r="D18" s="25">
        <f t="shared" si="0"/>
        <v>7602</v>
      </c>
    </row>
    <row r="19" spans="1:4" x14ac:dyDescent="0.2">
      <c r="A19" s="10">
        <v>13</v>
      </c>
      <c r="B19" s="11">
        <v>209774</v>
      </c>
      <c r="C19" s="11">
        <v>206540</v>
      </c>
      <c r="D19" s="25">
        <f t="shared" si="0"/>
        <v>-3234</v>
      </c>
    </row>
    <row r="20" spans="1:4" x14ac:dyDescent="0.2">
      <c r="A20" s="10">
        <v>14</v>
      </c>
      <c r="B20" s="11">
        <v>230821</v>
      </c>
      <c r="C20" s="11">
        <v>227895</v>
      </c>
      <c r="D20" s="25">
        <f t="shared" si="0"/>
        <v>-2926</v>
      </c>
    </row>
    <row r="21" spans="1:4" x14ac:dyDescent="0.2">
      <c r="A21" s="10">
        <v>15</v>
      </c>
      <c r="B21" s="11">
        <v>200667</v>
      </c>
      <c r="C21" s="11">
        <v>215379</v>
      </c>
      <c r="D21" s="25">
        <f t="shared" si="0"/>
        <v>14712</v>
      </c>
    </row>
    <row r="22" spans="1:4" x14ac:dyDescent="0.2">
      <c r="A22" s="10">
        <v>16</v>
      </c>
      <c r="B22" s="11">
        <v>201563</v>
      </c>
      <c r="C22" s="11">
        <v>211642</v>
      </c>
      <c r="D22" s="25">
        <f t="shared" si="0"/>
        <v>10079</v>
      </c>
    </row>
    <row r="23" spans="1:4" x14ac:dyDescent="0.2">
      <c r="A23" s="10">
        <v>17</v>
      </c>
      <c r="B23" s="11">
        <v>204380</v>
      </c>
      <c r="C23" s="11">
        <v>221578</v>
      </c>
      <c r="D23" s="25">
        <f t="shared" si="0"/>
        <v>17198</v>
      </c>
    </row>
    <row r="24" spans="1:4" x14ac:dyDescent="0.2">
      <c r="A24" s="10">
        <v>18</v>
      </c>
      <c r="B24" s="11">
        <v>175953</v>
      </c>
      <c r="C24" s="11">
        <v>170000</v>
      </c>
      <c r="D24" s="25">
        <f t="shared" si="0"/>
        <v>-5953</v>
      </c>
    </row>
    <row r="25" spans="1:4" x14ac:dyDescent="0.2">
      <c r="A25" s="10">
        <v>19</v>
      </c>
      <c r="B25" s="11">
        <v>187798</v>
      </c>
      <c r="C25" s="11">
        <v>175000</v>
      </c>
      <c r="D25" s="25">
        <f t="shared" si="0"/>
        <v>-12798</v>
      </c>
    </row>
    <row r="26" spans="1:4" x14ac:dyDescent="0.2">
      <c r="A26" s="10">
        <v>20</v>
      </c>
      <c r="B26" s="11">
        <v>192800</v>
      </c>
      <c r="C26" s="11">
        <v>192648</v>
      </c>
      <c r="D26" s="25">
        <f t="shared" si="0"/>
        <v>-152</v>
      </c>
    </row>
    <row r="27" spans="1:4" x14ac:dyDescent="0.2">
      <c r="A27" s="10">
        <v>21</v>
      </c>
      <c r="B27" s="11">
        <v>206330</v>
      </c>
      <c r="C27" s="11">
        <v>212027</v>
      </c>
      <c r="D27" s="25">
        <f t="shared" si="0"/>
        <v>5697</v>
      </c>
    </row>
    <row r="28" spans="1:4" x14ac:dyDescent="0.2">
      <c r="A28" s="10">
        <v>22</v>
      </c>
      <c r="B28" s="11">
        <v>209500</v>
      </c>
      <c r="C28" s="11">
        <v>205536</v>
      </c>
      <c r="D28" s="25">
        <f t="shared" si="0"/>
        <v>-3964</v>
      </c>
    </row>
    <row r="29" spans="1:4" x14ac:dyDescent="0.2">
      <c r="A29" s="10">
        <v>23</v>
      </c>
      <c r="B29" s="11">
        <v>199462</v>
      </c>
      <c r="C29" s="11">
        <v>199399</v>
      </c>
      <c r="D29" s="25">
        <f t="shared" si="0"/>
        <v>-63</v>
      </c>
    </row>
    <row r="30" spans="1:4" x14ac:dyDescent="0.2">
      <c r="A30" s="10">
        <v>24</v>
      </c>
      <c r="B30" s="11">
        <v>199184</v>
      </c>
      <c r="C30" s="11">
        <v>199221</v>
      </c>
      <c r="D30" s="25">
        <f t="shared" si="0"/>
        <v>37</v>
      </c>
    </row>
    <row r="31" spans="1:4" x14ac:dyDescent="0.2">
      <c r="A31" s="10">
        <v>25</v>
      </c>
      <c r="B31" s="11">
        <v>203753</v>
      </c>
      <c r="C31" s="11">
        <v>200522</v>
      </c>
      <c r="D31" s="25">
        <f t="shared" si="0"/>
        <v>-3231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4908717</v>
      </c>
      <c r="C38" s="11">
        <f>SUM(C7:C37)</f>
        <v>4953137</v>
      </c>
      <c r="D38" s="11">
        <f>SUM(D7:D37)</f>
        <v>44420</v>
      </c>
    </row>
    <row r="39" spans="1:4" x14ac:dyDescent="0.2">
      <c r="A39" s="26"/>
      <c r="C39" s="14"/>
      <c r="D39" s="106">
        <f>+summary!P12</f>
        <v>7.87</v>
      </c>
    </row>
    <row r="40" spans="1:4" x14ac:dyDescent="0.2">
      <c r="D40" s="138">
        <f>+D39*D38</f>
        <v>349585.4</v>
      </c>
    </row>
    <row r="41" spans="1:4" x14ac:dyDescent="0.2">
      <c r="A41" s="57">
        <v>36860</v>
      </c>
      <c r="C41" s="15"/>
      <c r="D41" s="361">
        <v>0</v>
      </c>
    </row>
    <row r="42" spans="1:4" x14ac:dyDescent="0.2">
      <c r="A42" s="57">
        <v>36885</v>
      </c>
      <c r="D42" s="347">
        <f>+D41+D40</f>
        <v>349585.4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31" workbookViewId="1">
      <selection activeCell="E54" sqref="E54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6271</v>
      </c>
      <c r="C5" s="11"/>
      <c r="D5" s="11"/>
      <c r="E5" s="11">
        <v>5000</v>
      </c>
      <c r="F5" s="11">
        <f>+B5+D5-C5-E5</f>
        <v>1271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12463</v>
      </c>
      <c r="C6" s="11"/>
      <c r="D6" s="11"/>
      <c r="E6" s="11">
        <v>10000</v>
      </c>
      <c r="F6" s="11">
        <f t="shared" ref="F6:F35" si="0">+B6+D6-C6-E6</f>
        <v>2463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10327</v>
      </c>
      <c r="C7" s="11"/>
      <c r="D7" s="11"/>
      <c r="E7" s="11">
        <v>10000</v>
      </c>
      <c r="F7" s="11">
        <f t="shared" si="0"/>
        <v>327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9612</v>
      </c>
      <c r="C8" s="11"/>
      <c r="D8" s="11"/>
      <c r="E8" s="11">
        <v>10000</v>
      </c>
      <c r="F8" s="11">
        <f t="shared" si="0"/>
        <v>-388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5169</v>
      </c>
      <c r="C9" s="11"/>
      <c r="D9" s="11"/>
      <c r="E9" s="11">
        <v>5000</v>
      </c>
      <c r="F9" s="11">
        <f t="shared" si="0"/>
        <v>169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>
        <v>5000</v>
      </c>
      <c r="F10" s="11">
        <f t="shared" si="0"/>
        <v>-5000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>
        <v>5000</v>
      </c>
      <c r="F11" s="11">
        <f t="shared" si="0"/>
        <v>-5000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>
        <v>5474</v>
      </c>
      <c r="E12" s="11">
        <v>5000</v>
      </c>
      <c r="F12" s="11">
        <f t="shared" si="0"/>
        <v>474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>
        <v>6224</v>
      </c>
      <c r="E13" s="11">
        <v>5000</v>
      </c>
      <c r="F13" s="11">
        <f t="shared" si="0"/>
        <v>1224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>
        <v>5258</v>
      </c>
      <c r="E14" s="11">
        <v>5000</v>
      </c>
      <c r="F14" s="11">
        <f t="shared" si="0"/>
        <v>258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15176</v>
      </c>
      <c r="C15" s="11"/>
      <c r="D15" s="11"/>
      <c r="E15" s="11">
        <v>15000</v>
      </c>
      <c r="F15" s="11">
        <f t="shared" si="0"/>
        <v>176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27288</v>
      </c>
      <c r="C16" s="11"/>
      <c r="D16" s="11"/>
      <c r="E16" s="11">
        <v>27053</v>
      </c>
      <c r="F16" s="11">
        <f t="shared" si="0"/>
        <v>235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16236</v>
      </c>
      <c r="C17" s="11"/>
      <c r="D17" s="11"/>
      <c r="E17" s="11">
        <v>16666</v>
      </c>
      <c r="F17" s="11">
        <f t="shared" si="0"/>
        <v>-430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>
        <v>5000</v>
      </c>
      <c r="F18" s="11">
        <f t="shared" si="0"/>
        <v>-5000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>
        <v>5000</v>
      </c>
      <c r="F19" s="11">
        <f t="shared" si="0"/>
        <v>-5000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>
        <v>5000</v>
      </c>
      <c r="F20" s="11">
        <f t="shared" si="0"/>
        <v>-5000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>
        <v>5000</v>
      </c>
      <c r="F21" s="11">
        <f t="shared" si="0"/>
        <v>-5000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>
        <v>15424</v>
      </c>
      <c r="E22" s="11">
        <v>15000</v>
      </c>
      <c r="F22" s="11">
        <f t="shared" si="0"/>
        <v>424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>
        <v>28570</v>
      </c>
      <c r="E23" s="11">
        <v>28166</v>
      </c>
      <c r="F23" s="11">
        <f t="shared" si="0"/>
        <v>404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>
        <v>4560</v>
      </c>
      <c r="E24" s="11">
        <v>5000</v>
      </c>
      <c r="F24" s="11">
        <f t="shared" si="0"/>
        <v>-440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>
        <v>4943</v>
      </c>
      <c r="E25" s="11">
        <v>4973</v>
      </c>
      <c r="F25" s="11">
        <f t="shared" si="0"/>
        <v>-30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>
        <v>4425</v>
      </c>
      <c r="E26" s="11">
        <v>4285</v>
      </c>
      <c r="F26" s="11">
        <f t="shared" si="0"/>
        <v>140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>
        <v>4427</v>
      </c>
      <c r="E27" s="11">
        <v>5000</v>
      </c>
      <c r="F27" s="11">
        <f t="shared" si="0"/>
        <v>-573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>
        <v>5993</v>
      </c>
      <c r="E28" s="11">
        <v>5000</v>
      </c>
      <c r="F28" s="11">
        <f t="shared" si="0"/>
        <v>993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>
        <v>5000</v>
      </c>
      <c r="F29" s="11">
        <f t="shared" si="0"/>
        <v>-5000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102542</v>
      </c>
      <c r="C36" s="44">
        <f>SUM(C5:C35)</f>
        <v>0</v>
      </c>
      <c r="D36" s="43">
        <f>SUM(D5:D35)</f>
        <v>85298</v>
      </c>
      <c r="E36" s="44">
        <f>SUM(E5:E35)</f>
        <v>216143</v>
      </c>
      <c r="F36" s="11">
        <f>SUM(F5:F35)</f>
        <v>-28303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102542</v>
      </c>
      <c r="D37" s="24"/>
      <c r="E37" s="24">
        <f>+D36-E36</f>
        <v>-130845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36860</v>
      </c>
      <c r="C41" s="14"/>
      <c r="D41" s="50"/>
      <c r="E41" s="50"/>
      <c r="F41" s="244">
        <v>28281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36885</v>
      </c>
      <c r="C42" s="14"/>
      <c r="D42" s="50"/>
      <c r="E42" s="50"/>
      <c r="F42" s="51">
        <f>+F41+F36</f>
        <v>-22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19" workbookViewId="1">
      <selection activeCell="C43" sqref="C43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275537</v>
      </c>
      <c r="C4" s="11">
        <v>278613</v>
      </c>
      <c r="D4" s="25">
        <f>+C4-B4</f>
        <v>3076</v>
      </c>
    </row>
    <row r="5" spans="1:4" x14ac:dyDescent="0.2">
      <c r="A5" s="10">
        <v>2</v>
      </c>
      <c r="B5" s="11">
        <v>262499</v>
      </c>
      <c r="C5" s="11">
        <v>267365</v>
      </c>
      <c r="D5" s="25">
        <f t="shared" ref="D5:D34" si="0">+C5-B5</f>
        <v>4866</v>
      </c>
    </row>
    <row r="6" spans="1:4" x14ac:dyDescent="0.2">
      <c r="A6" s="10">
        <v>3</v>
      </c>
      <c r="B6" s="11">
        <v>278050</v>
      </c>
      <c r="C6" s="11">
        <v>280155</v>
      </c>
      <c r="D6" s="25">
        <f t="shared" si="0"/>
        <v>2105</v>
      </c>
    </row>
    <row r="7" spans="1:4" x14ac:dyDescent="0.2">
      <c r="A7" s="10">
        <v>4</v>
      </c>
      <c r="B7" s="11">
        <v>284260</v>
      </c>
      <c r="C7" s="11">
        <v>287502</v>
      </c>
      <c r="D7" s="25">
        <f t="shared" si="0"/>
        <v>3242</v>
      </c>
    </row>
    <row r="8" spans="1:4" x14ac:dyDescent="0.2">
      <c r="A8" s="10">
        <v>5</v>
      </c>
      <c r="B8" s="11">
        <v>281989</v>
      </c>
      <c r="C8" s="11">
        <v>283106</v>
      </c>
      <c r="D8" s="25">
        <f t="shared" si="0"/>
        <v>1117</v>
      </c>
    </row>
    <row r="9" spans="1:4" x14ac:dyDescent="0.2">
      <c r="A9" s="10">
        <v>6</v>
      </c>
      <c r="B9" s="11">
        <v>279075</v>
      </c>
      <c r="C9" s="11">
        <v>281215</v>
      </c>
      <c r="D9" s="25">
        <f t="shared" si="0"/>
        <v>2140</v>
      </c>
    </row>
    <row r="10" spans="1:4" x14ac:dyDescent="0.2">
      <c r="A10" s="10">
        <v>7</v>
      </c>
      <c r="B10" s="11">
        <v>278417</v>
      </c>
      <c r="C10" s="11">
        <v>280191</v>
      </c>
      <c r="D10" s="25">
        <f t="shared" si="0"/>
        <v>1774</v>
      </c>
    </row>
    <row r="11" spans="1:4" x14ac:dyDescent="0.2">
      <c r="A11" s="10">
        <v>8</v>
      </c>
      <c r="B11" s="11">
        <v>281054</v>
      </c>
      <c r="C11" s="11">
        <v>284340</v>
      </c>
      <c r="D11" s="25">
        <f t="shared" si="0"/>
        <v>3286</v>
      </c>
    </row>
    <row r="12" spans="1:4" x14ac:dyDescent="0.2">
      <c r="A12" s="10">
        <v>9</v>
      </c>
      <c r="B12" s="11">
        <v>278159</v>
      </c>
      <c r="C12" s="11">
        <v>281600</v>
      </c>
      <c r="D12" s="25">
        <f t="shared" si="0"/>
        <v>3441</v>
      </c>
    </row>
    <row r="13" spans="1:4" x14ac:dyDescent="0.2">
      <c r="A13" s="10">
        <v>10</v>
      </c>
      <c r="B13" s="11">
        <v>281851</v>
      </c>
      <c r="C13" s="11">
        <v>283836</v>
      </c>
      <c r="D13" s="25">
        <f t="shared" si="0"/>
        <v>1985</v>
      </c>
    </row>
    <row r="14" spans="1:4" x14ac:dyDescent="0.2">
      <c r="A14" s="10">
        <v>11</v>
      </c>
      <c r="B14" s="11">
        <v>281910</v>
      </c>
      <c r="C14" s="11">
        <v>283570</v>
      </c>
      <c r="D14" s="25">
        <f t="shared" si="0"/>
        <v>1660</v>
      </c>
    </row>
    <row r="15" spans="1:4" x14ac:dyDescent="0.2">
      <c r="A15" s="10">
        <v>12</v>
      </c>
      <c r="B15" s="11">
        <v>281181</v>
      </c>
      <c r="C15" s="11">
        <v>279878</v>
      </c>
      <c r="D15" s="25">
        <f t="shared" si="0"/>
        <v>-1303</v>
      </c>
    </row>
    <row r="16" spans="1:4" x14ac:dyDescent="0.2">
      <c r="A16" s="10">
        <v>13</v>
      </c>
      <c r="B16" s="11">
        <v>284486</v>
      </c>
      <c r="C16" s="11">
        <v>282009</v>
      </c>
      <c r="D16" s="25">
        <f t="shared" si="0"/>
        <v>-2477</v>
      </c>
    </row>
    <row r="17" spans="1:4" x14ac:dyDescent="0.2">
      <c r="A17" s="10">
        <v>14</v>
      </c>
      <c r="B17" s="11">
        <v>285049</v>
      </c>
      <c r="C17" s="11">
        <v>276496</v>
      </c>
      <c r="D17" s="25">
        <f t="shared" si="0"/>
        <v>-8553</v>
      </c>
    </row>
    <row r="18" spans="1:4" x14ac:dyDescent="0.2">
      <c r="A18" s="10">
        <v>15</v>
      </c>
      <c r="B18" s="11">
        <v>281107</v>
      </c>
      <c r="C18" s="11">
        <v>280750</v>
      </c>
      <c r="D18" s="25">
        <f t="shared" si="0"/>
        <v>-357</v>
      </c>
    </row>
    <row r="19" spans="1:4" x14ac:dyDescent="0.2">
      <c r="A19" s="10">
        <v>16</v>
      </c>
      <c r="B19" s="11">
        <v>273660</v>
      </c>
      <c r="C19" s="11">
        <v>274748</v>
      </c>
      <c r="D19" s="25">
        <f t="shared" si="0"/>
        <v>1088</v>
      </c>
    </row>
    <row r="20" spans="1:4" x14ac:dyDescent="0.2">
      <c r="A20" s="10">
        <v>17</v>
      </c>
      <c r="B20" s="11">
        <v>270404</v>
      </c>
      <c r="C20" s="11">
        <v>272247</v>
      </c>
      <c r="D20" s="25">
        <f t="shared" si="0"/>
        <v>1843</v>
      </c>
    </row>
    <row r="21" spans="1:4" x14ac:dyDescent="0.2">
      <c r="A21" s="10">
        <v>18</v>
      </c>
      <c r="B21" s="11">
        <v>263625</v>
      </c>
      <c r="C21" s="11">
        <v>264029</v>
      </c>
      <c r="D21" s="25">
        <f t="shared" si="0"/>
        <v>404</v>
      </c>
    </row>
    <row r="22" spans="1:4" x14ac:dyDescent="0.2">
      <c r="A22" s="10">
        <v>19</v>
      </c>
      <c r="B22" s="11">
        <v>272788</v>
      </c>
      <c r="C22" s="11">
        <v>272241</v>
      </c>
      <c r="D22" s="25">
        <f t="shared" si="0"/>
        <v>-547</v>
      </c>
    </row>
    <row r="23" spans="1:4" x14ac:dyDescent="0.2">
      <c r="A23" s="10">
        <v>20</v>
      </c>
      <c r="B23" s="11">
        <v>269850</v>
      </c>
      <c r="C23" s="11">
        <v>270616</v>
      </c>
      <c r="D23" s="25">
        <f t="shared" si="0"/>
        <v>766</v>
      </c>
    </row>
    <row r="24" spans="1:4" x14ac:dyDescent="0.2">
      <c r="A24" s="10">
        <v>21</v>
      </c>
      <c r="B24" s="11">
        <v>259244</v>
      </c>
      <c r="C24" s="11">
        <v>260345</v>
      </c>
      <c r="D24" s="25">
        <f t="shared" si="0"/>
        <v>1101</v>
      </c>
    </row>
    <row r="25" spans="1:4" x14ac:dyDescent="0.2">
      <c r="A25" s="10">
        <v>22</v>
      </c>
      <c r="B25" s="11">
        <v>266223</v>
      </c>
      <c r="C25" s="11">
        <v>267259</v>
      </c>
      <c r="D25" s="25">
        <f t="shared" si="0"/>
        <v>1036</v>
      </c>
    </row>
    <row r="26" spans="1:4" x14ac:dyDescent="0.2">
      <c r="A26" s="10">
        <v>23</v>
      </c>
      <c r="B26" s="11">
        <v>278556</v>
      </c>
      <c r="C26" s="11">
        <v>279856</v>
      </c>
      <c r="D26" s="25">
        <f t="shared" si="0"/>
        <v>1300</v>
      </c>
    </row>
    <row r="27" spans="1:4" x14ac:dyDescent="0.2">
      <c r="A27" s="10">
        <v>24</v>
      </c>
      <c r="B27" s="11">
        <v>281745</v>
      </c>
      <c r="C27" s="11">
        <v>278929</v>
      </c>
      <c r="D27" s="25">
        <f t="shared" si="0"/>
        <v>-2816</v>
      </c>
    </row>
    <row r="28" spans="1:4" x14ac:dyDescent="0.2">
      <c r="A28" s="10">
        <v>25</v>
      </c>
      <c r="B28" s="11">
        <v>280631</v>
      </c>
      <c r="C28" s="11">
        <v>278995</v>
      </c>
      <c r="D28" s="25">
        <f t="shared" si="0"/>
        <v>-1636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6911350</v>
      </c>
      <c r="C35" s="11">
        <f>SUM(C4:C34)</f>
        <v>6929891</v>
      </c>
      <c r="D35" s="11">
        <f>SUM(D4:D34)</f>
        <v>18541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1">
        <v>36860</v>
      </c>
      <c r="D38" s="244">
        <v>160058</v>
      </c>
    </row>
    <row r="39" spans="1:30" x14ac:dyDescent="0.2">
      <c r="A39" s="12"/>
      <c r="D39" s="24"/>
    </row>
    <row r="40" spans="1:30" x14ac:dyDescent="0.2">
      <c r="A40" s="251">
        <v>36885</v>
      </c>
      <c r="D40" s="24">
        <f>+D38+D35</f>
        <v>178599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30" workbookViewId="1">
      <selection activeCell="A39" sqref="A39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>
        <v>10487</v>
      </c>
      <c r="B1" s="55"/>
      <c r="F1" s="54"/>
    </row>
    <row r="3" spans="1:11" x14ac:dyDescent="0.2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">
      <c r="A4" s="10">
        <v>1</v>
      </c>
      <c r="B4" s="11">
        <v>720923</v>
      </c>
      <c r="C4" s="11">
        <v>712708</v>
      </c>
      <c r="D4" s="25">
        <f>+C4-B4</f>
        <v>-8215</v>
      </c>
      <c r="F4" s="10"/>
      <c r="G4" s="11"/>
      <c r="H4" s="11"/>
      <c r="I4" s="25"/>
    </row>
    <row r="5" spans="1:11" x14ac:dyDescent="0.2">
      <c r="A5" s="10">
        <v>2</v>
      </c>
      <c r="B5" s="11">
        <v>754446</v>
      </c>
      <c r="C5" s="11">
        <v>754394</v>
      </c>
      <c r="D5" s="25">
        <f t="shared" ref="D5:D34" si="0">+C5-B5</f>
        <v>-52</v>
      </c>
      <c r="F5" s="10"/>
      <c r="G5" s="11"/>
      <c r="H5" s="11"/>
      <c r="I5" s="25"/>
    </row>
    <row r="6" spans="1:11" x14ac:dyDescent="0.2">
      <c r="A6" s="10">
        <v>3</v>
      </c>
      <c r="B6" s="11">
        <v>749727</v>
      </c>
      <c r="C6" s="11">
        <v>747563</v>
      </c>
      <c r="D6" s="25">
        <f t="shared" si="0"/>
        <v>-2164</v>
      </c>
      <c r="F6" s="10"/>
      <c r="G6" s="11"/>
      <c r="H6" s="11"/>
      <c r="I6" s="25"/>
    </row>
    <row r="7" spans="1:11" x14ac:dyDescent="0.2">
      <c r="A7" s="10">
        <v>4</v>
      </c>
      <c r="B7" s="11">
        <v>749497</v>
      </c>
      <c r="C7" s="11">
        <v>750712</v>
      </c>
      <c r="D7" s="25">
        <f t="shared" si="0"/>
        <v>1215</v>
      </c>
      <c r="F7" s="10"/>
      <c r="G7" s="11"/>
      <c r="H7" s="11"/>
      <c r="I7" s="25"/>
      <c r="K7" s="25"/>
    </row>
    <row r="8" spans="1:11" x14ac:dyDescent="0.2">
      <c r="A8" s="10">
        <v>5</v>
      </c>
      <c r="B8" s="11">
        <v>756319</v>
      </c>
      <c r="C8" s="11">
        <v>753779</v>
      </c>
      <c r="D8" s="25">
        <f t="shared" si="0"/>
        <v>-2540</v>
      </c>
      <c r="F8" s="10"/>
      <c r="G8" s="11"/>
      <c r="H8" s="11"/>
      <c r="I8" s="25"/>
    </row>
    <row r="9" spans="1:11" x14ac:dyDescent="0.2">
      <c r="A9" s="10">
        <v>6</v>
      </c>
      <c r="B9" s="11">
        <v>762143</v>
      </c>
      <c r="C9" s="11">
        <v>753941</v>
      </c>
      <c r="D9" s="25">
        <f t="shared" si="0"/>
        <v>-8202</v>
      </c>
      <c r="F9" s="10"/>
      <c r="G9" s="11"/>
      <c r="H9" s="11"/>
      <c r="I9" s="25"/>
    </row>
    <row r="10" spans="1:11" x14ac:dyDescent="0.2">
      <c r="A10" s="10">
        <v>7</v>
      </c>
      <c r="B10" s="11">
        <v>743462</v>
      </c>
      <c r="C10" s="11">
        <v>746309</v>
      </c>
      <c r="D10" s="25">
        <f t="shared" si="0"/>
        <v>2847</v>
      </c>
      <c r="F10" s="10"/>
      <c r="G10" s="11"/>
      <c r="H10" s="11"/>
      <c r="I10" s="25"/>
    </row>
    <row r="11" spans="1:11" x14ac:dyDescent="0.2">
      <c r="A11" s="10">
        <v>8</v>
      </c>
      <c r="B11" s="11">
        <v>747675</v>
      </c>
      <c r="C11" s="11">
        <v>747818</v>
      </c>
      <c r="D11" s="25">
        <f t="shared" si="0"/>
        <v>143</v>
      </c>
      <c r="F11" s="10"/>
      <c r="G11" s="11"/>
      <c r="H11" s="11"/>
      <c r="I11" s="25"/>
    </row>
    <row r="12" spans="1:11" x14ac:dyDescent="0.2">
      <c r="A12" s="10">
        <v>9</v>
      </c>
      <c r="B12" s="11">
        <v>759272</v>
      </c>
      <c r="C12" s="11">
        <v>759235</v>
      </c>
      <c r="D12" s="25">
        <f t="shared" si="0"/>
        <v>-37</v>
      </c>
      <c r="F12" s="10"/>
      <c r="G12" s="11"/>
      <c r="H12" s="11"/>
      <c r="I12" s="25"/>
    </row>
    <row r="13" spans="1:11" x14ac:dyDescent="0.2">
      <c r="A13" s="10">
        <v>10</v>
      </c>
      <c r="B13" s="11">
        <v>756223</v>
      </c>
      <c r="C13" s="11">
        <v>752905</v>
      </c>
      <c r="D13" s="25">
        <f t="shared" si="0"/>
        <v>-3318</v>
      </c>
      <c r="F13" s="10"/>
      <c r="G13" s="11"/>
      <c r="H13" s="11"/>
      <c r="I13" s="25"/>
    </row>
    <row r="14" spans="1:11" x14ac:dyDescent="0.2">
      <c r="A14" s="10">
        <v>11</v>
      </c>
      <c r="B14" s="11">
        <v>756207</v>
      </c>
      <c r="C14" s="11">
        <v>742700</v>
      </c>
      <c r="D14" s="25">
        <f t="shared" si="0"/>
        <v>-13507</v>
      </c>
      <c r="F14" s="10"/>
      <c r="G14" s="11"/>
      <c r="H14" s="11"/>
      <c r="I14" s="25"/>
    </row>
    <row r="15" spans="1:11" x14ac:dyDescent="0.2">
      <c r="A15" s="10">
        <v>12</v>
      </c>
      <c r="B15" s="11">
        <v>753659</v>
      </c>
      <c r="C15" s="11">
        <v>748478</v>
      </c>
      <c r="D15" s="25">
        <f t="shared" si="0"/>
        <v>-5181</v>
      </c>
      <c r="F15" s="10"/>
      <c r="G15" s="11"/>
      <c r="H15" s="11"/>
      <c r="I15" s="25"/>
    </row>
    <row r="16" spans="1:11" x14ac:dyDescent="0.2">
      <c r="A16" s="10">
        <v>13</v>
      </c>
      <c r="B16" s="11">
        <v>765312</v>
      </c>
      <c r="C16" s="11">
        <v>752778</v>
      </c>
      <c r="D16" s="25">
        <f t="shared" si="0"/>
        <v>-12534</v>
      </c>
      <c r="F16" s="10"/>
      <c r="G16" s="11"/>
      <c r="H16" s="11"/>
      <c r="I16" s="25"/>
      <c r="K16" s="25"/>
    </row>
    <row r="17" spans="1:11" x14ac:dyDescent="0.2">
      <c r="A17" s="10">
        <v>14</v>
      </c>
      <c r="B17" s="11">
        <v>761972</v>
      </c>
      <c r="C17" s="11">
        <v>759140</v>
      </c>
      <c r="D17" s="25">
        <f t="shared" si="0"/>
        <v>-2832</v>
      </c>
      <c r="F17" s="10"/>
      <c r="G17" s="11"/>
      <c r="H17" s="11"/>
      <c r="I17" s="25"/>
    </row>
    <row r="18" spans="1:11" x14ac:dyDescent="0.2">
      <c r="A18" s="10">
        <v>15</v>
      </c>
      <c r="B18" s="11">
        <v>766517</v>
      </c>
      <c r="C18" s="11">
        <v>752753</v>
      </c>
      <c r="D18" s="25">
        <f t="shared" si="0"/>
        <v>-13764</v>
      </c>
      <c r="F18" s="10"/>
      <c r="G18" s="11"/>
      <c r="H18" s="11"/>
      <c r="I18" s="25"/>
    </row>
    <row r="19" spans="1:11" x14ac:dyDescent="0.2">
      <c r="A19" s="10">
        <v>16</v>
      </c>
      <c r="B19" s="11">
        <v>766784</v>
      </c>
      <c r="C19" s="11">
        <v>775748</v>
      </c>
      <c r="D19" s="25">
        <f t="shared" si="0"/>
        <v>8964</v>
      </c>
      <c r="F19" s="10"/>
      <c r="G19" s="11"/>
      <c r="H19" s="11"/>
      <c r="I19" s="25"/>
    </row>
    <row r="20" spans="1:11" x14ac:dyDescent="0.2">
      <c r="A20" s="10">
        <v>17</v>
      </c>
      <c r="B20" s="11">
        <v>766835</v>
      </c>
      <c r="C20" s="11">
        <v>773765</v>
      </c>
      <c r="D20" s="25">
        <f t="shared" si="0"/>
        <v>6930</v>
      </c>
      <c r="F20" s="10"/>
      <c r="G20" s="11"/>
      <c r="H20" s="11"/>
      <c r="I20" s="25"/>
    </row>
    <row r="21" spans="1:11" x14ac:dyDescent="0.2">
      <c r="A21" s="10">
        <v>18</v>
      </c>
      <c r="B21" s="11">
        <v>777433</v>
      </c>
      <c r="C21" s="11">
        <v>757381</v>
      </c>
      <c r="D21" s="25">
        <f t="shared" si="0"/>
        <v>-20052</v>
      </c>
      <c r="F21" s="10"/>
      <c r="G21" s="11"/>
      <c r="H21" s="11"/>
      <c r="I21" s="25"/>
    </row>
    <row r="22" spans="1:11" x14ac:dyDescent="0.2">
      <c r="A22" s="10">
        <v>19</v>
      </c>
      <c r="B22" s="11">
        <v>756838</v>
      </c>
      <c r="C22" s="11">
        <v>757499</v>
      </c>
      <c r="D22" s="25">
        <f t="shared" si="0"/>
        <v>661</v>
      </c>
      <c r="F22" s="10"/>
      <c r="G22" s="11"/>
      <c r="H22" s="11"/>
      <c r="I22" s="25"/>
    </row>
    <row r="23" spans="1:11" x14ac:dyDescent="0.2">
      <c r="A23" s="10">
        <v>20</v>
      </c>
      <c r="B23" s="11">
        <v>757884</v>
      </c>
      <c r="C23" s="11">
        <v>727751</v>
      </c>
      <c r="D23" s="25">
        <f t="shared" si="0"/>
        <v>-30133</v>
      </c>
      <c r="F23" s="10"/>
      <c r="G23" s="11"/>
      <c r="H23" s="11"/>
      <c r="I23" s="25"/>
    </row>
    <row r="24" spans="1:11" x14ac:dyDescent="0.2">
      <c r="A24" s="10">
        <v>21</v>
      </c>
      <c r="B24" s="11">
        <v>772364</v>
      </c>
      <c r="C24" s="11">
        <v>765505</v>
      </c>
      <c r="D24" s="25">
        <f t="shared" si="0"/>
        <v>-6859</v>
      </c>
      <c r="F24" s="10"/>
      <c r="G24" s="11"/>
      <c r="H24" s="11"/>
      <c r="I24" s="25"/>
      <c r="K24" s="25"/>
    </row>
    <row r="25" spans="1:11" x14ac:dyDescent="0.2">
      <c r="A25" s="10">
        <v>22</v>
      </c>
      <c r="B25" s="11">
        <v>761063</v>
      </c>
      <c r="C25" s="11">
        <v>764691</v>
      </c>
      <c r="D25" s="25">
        <f t="shared" si="0"/>
        <v>3628</v>
      </c>
      <c r="F25" s="10"/>
      <c r="G25" s="11"/>
      <c r="H25" s="11"/>
      <c r="I25" s="25"/>
    </row>
    <row r="26" spans="1:11" x14ac:dyDescent="0.2">
      <c r="A26" s="10">
        <v>23</v>
      </c>
      <c r="B26" s="11">
        <v>746545</v>
      </c>
      <c r="C26" s="11">
        <v>748101</v>
      </c>
      <c r="D26" s="25">
        <f t="shared" si="0"/>
        <v>1556</v>
      </c>
      <c r="F26" s="10"/>
      <c r="G26" s="11"/>
      <c r="H26" s="11"/>
      <c r="I26" s="25"/>
    </row>
    <row r="27" spans="1:11" x14ac:dyDescent="0.2">
      <c r="A27" s="10">
        <v>24</v>
      </c>
      <c r="B27" s="11">
        <v>746627</v>
      </c>
      <c r="C27" s="11">
        <v>747796</v>
      </c>
      <c r="D27" s="25">
        <f t="shared" si="0"/>
        <v>1169</v>
      </c>
      <c r="F27" s="10"/>
      <c r="G27" s="11"/>
      <c r="H27" s="11"/>
      <c r="I27" s="25"/>
      <c r="K27" s="25"/>
    </row>
    <row r="28" spans="1:11" x14ac:dyDescent="0.2">
      <c r="A28" s="10">
        <v>25</v>
      </c>
      <c r="B28" s="11">
        <v>747966</v>
      </c>
      <c r="C28" s="11">
        <v>747767</v>
      </c>
      <c r="D28" s="25">
        <f t="shared" si="0"/>
        <v>-199</v>
      </c>
      <c r="F28" s="10"/>
      <c r="G28" s="11"/>
      <c r="H28" s="11"/>
      <c r="I28" s="25"/>
      <c r="K28" s="25"/>
    </row>
    <row r="29" spans="1:11" x14ac:dyDescent="0.2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">
      <c r="A35" s="10"/>
      <c r="B35" s="11">
        <f>SUM(B4:B34)</f>
        <v>18903693</v>
      </c>
      <c r="C35" s="11">
        <f>SUM(C4:C34)</f>
        <v>18801217</v>
      </c>
      <c r="D35" s="11">
        <f>SUM(D4:D34)</f>
        <v>-102476</v>
      </c>
      <c r="F35" s="10"/>
      <c r="G35" s="11"/>
      <c r="H35" s="11"/>
      <c r="I35" s="11"/>
      <c r="K35" s="11"/>
    </row>
    <row r="36" spans="1:45" x14ac:dyDescent="0.2">
      <c r="A36" s="26"/>
      <c r="B36" s="24"/>
      <c r="C36" s="25"/>
      <c r="D36" s="2"/>
      <c r="F36" s="26"/>
      <c r="H36" s="25"/>
      <c r="I36" s="2"/>
    </row>
    <row r="37" spans="1:45" x14ac:dyDescent="0.2">
      <c r="D37" s="24"/>
      <c r="I37" s="24"/>
    </row>
    <row r="38" spans="1:45" x14ac:dyDescent="0.2">
      <c r="A38" s="57">
        <v>36860</v>
      </c>
      <c r="D38" s="378">
        <v>85314</v>
      </c>
      <c r="I38" s="24"/>
    </row>
    <row r="39" spans="1:45" x14ac:dyDescent="0.2">
      <c r="A39" s="2"/>
      <c r="D39" s="24"/>
      <c r="I39" s="24"/>
    </row>
    <row r="40" spans="1:45" x14ac:dyDescent="0.2">
      <c r="A40" s="57">
        <v>36885</v>
      </c>
      <c r="D40" s="36">
        <f>+D38+D35</f>
        <v>-17162</v>
      </c>
      <c r="I40" s="24"/>
    </row>
    <row r="42" spans="1:45" x14ac:dyDescent="0.2">
      <c r="AF42" s="329"/>
      <c r="AG42" s="329"/>
      <c r="AH42" s="329"/>
      <c r="AI42" s="329"/>
      <c r="AJ42" s="329"/>
      <c r="AK42" s="329"/>
      <c r="AL42" s="329"/>
      <c r="AM42" s="329"/>
      <c r="AN42" s="329"/>
      <c r="AO42" s="329"/>
      <c r="AP42" s="329"/>
      <c r="AQ42" s="329"/>
      <c r="AR42" s="329"/>
      <c r="AS42" s="329"/>
    </row>
    <row r="43" spans="1:45" ht="15.75" x14ac:dyDescent="0.25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30"/>
      <c r="AG43" s="329"/>
      <c r="AH43" s="329"/>
      <c r="AI43" s="331"/>
      <c r="AJ43" s="330"/>
      <c r="AK43" s="329"/>
      <c r="AL43" s="329"/>
      <c r="AM43" s="331"/>
      <c r="AN43" s="330"/>
      <c r="AO43" s="329"/>
      <c r="AP43" s="329"/>
      <c r="AQ43" s="329"/>
      <c r="AR43" s="329"/>
      <c r="AS43" s="329"/>
    </row>
    <row r="44" spans="1:45" x14ac:dyDescent="0.2">
      <c r="K44"/>
      <c r="AF44" s="329"/>
      <c r="AG44" s="329"/>
      <c r="AH44" s="329"/>
      <c r="AI44" s="329"/>
      <c r="AJ44" s="329"/>
      <c r="AK44" s="329"/>
      <c r="AL44" s="329"/>
      <c r="AM44" s="329"/>
      <c r="AN44" s="329"/>
      <c r="AO44" s="329"/>
      <c r="AP44" s="329"/>
      <c r="AQ44" s="329"/>
      <c r="AR44" s="329"/>
      <c r="AS44" s="329"/>
    </row>
    <row r="45" spans="1:45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2"/>
      <c r="AG45" s="332"/>
      <c r="AH45" s="329"/>
      <c r="AI45" s="333"/>
      <c r="AJ45" s="332"/>
      <c r="AK45" s="332"/>
      <c r="AL45" s="329"/>
      <c r="AM45" s="333"/>
      <c r="AN45" s="332"/>
      <c r="AO45" s="332"/>
      <c r="AP45" s="329"/>
      <c r="AQ45" s="329"/>
      <c r="AR45" s="329"/>
      <c r="AS45" s="329"/>
    </row>
    <row r="46" spans="1:45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4"/>
      <c r="AG46" s="334"/>
      <c r="AH46" s="335"/>
      <c r="AI46" s="336"/>
      <c r="AJ46" s="334"/>
      <c r="AK46" s="334"/>
      <c r="AL46" s="335"/>
      <c r="AM46" s="336"/>
      <c r="AN46" s="334"/>
      <c r="AO46" s="334"/>
      <c r="AP46" s="335"/>
      <c r="AQ46" s="329"/>
      <c r="AR46" s="329"/>
      <c r="AS46" s="329"/>
    </row>
    <row r="47" spans="1:45" x14ac:dyDescent="0.2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4"/>
      <c r="AG47" s="334"/>
      <c r="AH47" s="335"/>
      <c r="AI47" s="336"/>
      <c r="AJ47" s="334"/>
      <c r="AK47" s="334"/>
      <c r="AL47" s="335"/>
      <c r="AM47" s="336"/>
      <c r="AN47" s="334"/>
      <c r="AO47" s="334"/>
      <c r="AP47" s="335"/>
      <c r="AQ47" s="329"/>
      <c r="AR47" s="329"/>
      <c r="AS47" s="329"/>
    </row>
    <row r="48" spans="1:45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4"/>
      <c r="AG48" s="334"/>
      <c r="AH48" s="335"/>
      <c r="AI48" s="336"/>
      <c r="AJ48" s="334"/>
      <c r="AK48" s="334"/>
      <c r="AL48" s="335"/>
      <c r="AM48" s="336"/>
      <c r="AN48" s="334"/>
      <c r="AO48" s="334"/>
      <c r="AP48" s="335"/>
      <c r="AQ48" s="329"/>
      <c r="AR48" s="329"/>
      <c r="AS48" s="329"/>
    </row>
    <row r="49" spans="1:45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4"/>
      <c r="AG49" s="334"/>
      <c r="AH49" s="335"/>
      <c r="AI49" s="336"/>
      <c r="AJ49" s="334"/>
      <c r="AK49" s="334"/>
      <c r="AL49" s="335"/>
      <c r="AM49" s="336"/>
      <c r="AN49" s="334"/>
      <c r="AO49" s="334"/>
      <c r="AP49" s="335"/>
      <c r="AQ49" s="329"/>
      <c r="AR49" s="329"/>
      <c r="AS49" s="329"/>
    </row>
    <row r="50" spans="1:45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4"/>
      <c r="AG50" s="334"/>
      <c r="AH50" s="335"/>
      <c r="AI50" s="336"/>
      <c r="AJ50" s="334"/>
      <c r="AK50" s="334"/>
      <c r="AL50" s="335"/>
      <c r="AM50" s="336"/>
      <c r="AN50" s="334"/>
      <c r="AO50" s="334"/>
      <c r="AP50" s="335"/>
      <c r="AQ50" s="329"/>
      <c r="AR50" s="329"/>
      <c r="AS50" s="329"/>
    </row>
    <row r="51" spans="1:45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4"/>
      <c r="AG51" s="334"/>
      <c r="AH51" s="335"/>
      <c r="AI51" s="336"/>
      <c r="AJ51" s="334"/>
      <c r="AK51" s="334"/>
      <c r="AL51" s="335"/>
      <c r="AM51" s="336"/>
      <c r="AN51" s="334"/>
      <c r="AO51" s="334"/>
      <c r="AP51" s="335"/>
      <c r="AQ51" s="329"/>
      <c r="AR51" s="329"/>
      <c r="AS51" s="329"/>
    </row>
    <row r="52" spans="1:45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4"/>
      <c r="AG52" s="334"/>
      <c r="AH52" s="335"/>
      <c r="AI52" s="336"/>
      <c r="AJ52" s="334"/>
      <c r="AK52" s="334"/>
      <c r="AL52" s="335"/>
      <c r="AM52" s="336"/>
      <c r="AN52" s="334"/>
      <c r="AO52" s="334"/>
      <c r="AP52" s="335"/>
      <c r="AQ52" s="329"/>
      <c r="AR52" s="329"/>
      <c r="AS52" s="329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4"/>
      <c r="AG53" s="334"/>
      <c r="AH53" s="335"/>
      <c r="AI53" s="336"/>
      <c r="AJ53" s="334"/>
      <c r="AK53" s="334"/>
      <c r="AL53" s="335"/>
      <c r="AM53" s="336"/>
      <c r="AN53" s="334"/>
      <c r="AO53" s="334"/>
      <c r="AP53" s="335"/>
      <c r="AQ53" s="329"/>
      <c r="AR53" s="329"/>
      <c r="AS53" s="329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4"/>
      <c r="AG54" s="334"/>
      <c r="AH54" s="335"/>
      <c r="AI54" s="336"/>
      <c r="AJ54" s="334"/>
      <c r="AK54" s="334"/>
      <c r="AL54" s="335"/>
      <c r="AM54" s="336"/>
      <c r="AN54" s="334"/>
      <c r="AO54" s="334"/>
      <c r="AP54" s="335"/>
      <c r="AQ54" s="329"/>
      <c r="AR54" s="329"/>
      <c r="AS54" s="329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4"/>
      <c r="AG55" s="334"/>
      <c r="AH55" s="335"/>
      <c r="AI55" s="336"/>
      <c r="AJ55" s="334"/>
      <c r="AK55" s="334"/>
      <c r="AL55" s="335"/>
      <c r="AM55" s="336"/>
      <c r="AN55" s="334"/>
      <c r="AO55" s="334"/>
      <c r="AP55" s="335"/>
      <c r="AQ55" s="329"/>
      <c r="AR55" s="329"/>
      <c r="AS55" s="329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4"/>
      <c r="AG56" s="334"/>
      <c r="AH56" s="335"/>
      <c r="AI56" s="336"/>
      <c r="AJ56" s="334"/>
      <c r="AK56" s="334"/>
      <c r="AL56" s="335"/>
      <c r="AM56" s="336"/>
      <c r="AN56" s="334"/>
      <c r="AO56" s="334"/>
      <c r="AP56" s="335"/>
      <c r="AQ56" s="329"/>
      <c r="AR56" s="329"/>
      <c r="AS56" s="329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4"/>
      <c r="AG57" s="334"/>
      <c r="AH57" s="335"/>
      <c r="AI57" s="336"/>
      <c r="AJ57" s="334"/>
      <c r="AK57" s="334"/>
      <c r="AL57" s="335"/>
      <c r="AM57" s="336"/>
      <c r="AN57" s="334"/>
      <c r="AO57" s="334"/>
      <c r="AP57" s="335"/>
      <c r="AQ57" s="329"/>
      <c r="AR57" s="329"/>
      <c r="AS57" s="329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4"/>
      <c r="AG58" s="334"/>
      <c r="AH58" s="335"/>
      <c r="AI58" s="336"/>
      <c r="AJ58" s="334"/>
      <c r="AK58" s="334"/>
      <c r="AL58" s="335"/>
      <c r="AM58" s="336"/>
      <c r="AN58" s="334"/>
      <c r="AO58" s="334"/>
      <c r="AP58" s="335"/>
      <c r="AQ58" s="329"/>
      <c r="AR58" s="329"/>
      <c r="AS58" s="329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4"/>
      <c r="AG59" s="334"/>
      <c r="AH59" s="335"/>
      <c r="AI59" s="336"/>
      <c r="AJ59" s="334"/>
      <c r="AK59" s="334"/>
      <c r="AL59" s="335"/>
      <c r="AM59" s="336"/>
      <c r="AN59" s="334"/>
      <c r="AO59" s="334"/>
      <c r="AP59" s="335"/>
      <c r="AQ59" s="329"/>
      <c r="AR59" s="329"/>
      <c r="AS59" s="329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4"/>
      <c r="AG60" s="334"/>
      <c r="AH60" s="335"/>
      <c r="AI60" s="336"/>
      <c r="AJ60" s="334"/>
      <c r="AK60" s="334"/>
      <c r="AL60" s="335"/>
      <c r="AM60" s="336"/>
      <c r="AN60" s="334"/>
      <c r="AO60" s="334"/>
      <c r="AP60" s="335"/>
      <c r="AQ60" s="329"/>
      <c r="AR60" s="329"/>
      <c r="AS60" s="329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4"/>
      <c r="AG61" s="334"/>
      <c r="AH61" s="335"/>
      <c r="AI61" s="336"/>
      <c r="AJ61" s="334"/>
      <c r="AK61" s="334"/>
      <c r="AL61" s="335"/>
      <c r="AM61" s="336"/>
      <c r="AN61" s="334"/>
      <c r="AO61" s="334"/>
      <c r="AP61" s="335"/>
      <c r="AQ61" s="329"/>
      <c r="AR61" s="329"/>
      <c r="AS61" s="329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4"/>
      <c r="AG62" s="334"/>
      <c r="AH62" s="335"/>
      <c r="AI62" s="336"/>
      <c r="AJ62" s="334"/>
      <c r="AK62" s="334"/>
      <c r="AL62" s="335"/>
      <c r="AM62" s="336"/>
      <c r="AN62" s="334"/>
      <c r="AO62" s="334"/>
      <c r="AP62" s="335"/>
      <c r="AQ62" s="329"/>
      <c r="AR62" s="329"/>
      <c r="AS62" s="329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4"/>
      <c r="AG63" s="334"/>
      <c r="AH63" s="335"/>
      <c r="AI63" s="336"/>
      <c r="AJ63" s="334"/>
      <c r="AK63" s="334"/>
      <c r="AL63" s="335"/>
      <c r="AM63" s="336"/>
      <c r="AN63" s="334"/>
      <c r="AO63" s="334"/>
      <c r="AP63" s="335"/>
      <c r="AQ63" s="329"/>
      <c r="AR63" s="329"/>
      <c r="AS63" s="329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4"/>
      <c r="AG64" s="334"/>
      <c r="AH64" s="335"/>
      <c r="AI64" s="336"/>
      <c r="AJ64" s="334"/>
      <c r="AK64" s="334"/>
      <c r="AL64" s="335"/>
      <c r="AM64" s="336"/>
      <c r="AN64" s="334"/>
      <c r="AO64" s="334"/>
      <c r="AP64" s="335"/>
      <c r="AQ64" s="329"/>
      <c r="AR64" s="329"/>
      <c r="AS64" s="329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4"/>
      <c r="AG65" s="334"/>
      <c r="AH65" s="335"/>
      <c r="AI65" s="336"/>
      <c r="AJ65" s="334"/>
      <c r="AK65" s="334"/>
      <c r="AL65" s="335"/>
      <c r="AM65" s="336"/>
      <c r="AN65" s="334"/>
      <c r="AO65" s="334"/>
      <c r="AP65" s="335"/>
      <c r="AQ65" s="329"/>
      <c r="AR65" s="329"/>
      <c r="AS65" s="329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4"/>
      <c r="AG66" s="334"/>
      <c r="AH66" s="335"/>
      <c r="AI66" s="336"/>
      <c r="AJ66" s="334"/>
      <c r="AK66" s="334"/>
      <c r="AL66" s="335"/>
      <c r="AM66" s="336"/>
      <c r="AN66" s="334"/>
      <c r="AO66" s="334"/>
      <c r="AP66" s="335"/>
      <c r="AQ66" s="329"/>
      <c r="AR66" s="329"/>
      <c r="AS66" s="329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4"/>
      <c r="AG67" s="334"/>
      <c r="AH67" s="335"/>
      <c r="AI67" s="336"/>
      <c r="AJ67" s="334"/>
      <c r="AK67" s="334"/>
      <c r="AL67" s="335"/>
      <c r="AM67" s="336"/>
      <c r="AN67" s="334"/>
      <c r="AO67" s="334"/>
      <c r="AP67" s="335"/>
      <c r="AQ67" s="329"/>
      <c r="AR67" s="329"/>
      <c r="AS67" s="329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4"/>
      <c r="AG68" s="334"/>
      <c r="AH68" s="335"/>
      <c r="AI68" s="336"/>
      <c r="AJ68" s="334"/>
      <c r="AK68" s="334"/>
      <c r="AL68" s="335"/>
      <c r="AM68" s="336"/>
      <c r="AN68" s="334"/>
      <c r="AO68" s="334"/>
      <c r="AP68" s="335"/>
      <c r="AQ68" s="329"/>
      <c r="AR68" s="329"/>
      <c r="AS68" s="329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4"/>
      <c r="AG69" s="334"/>
      <c r="AH69" s="335"/>
      <c r="AI69" s="336"/>
      <c r="AJ69" s="334"/>
      <c r="AK69" s="334"/>
      <c r="AL69" s="335"/>
      <c r="AM69" s="336"/>
      <c r="AN69" s="334"/>
      <c r="AO69" s="334"/>
      <c r="AP69" s="335"/>
      <c r="AQ69" s="329"/>
      <c r="AR69" s="329"/>
      <c r="AS69" s="329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4"/>
      <c r="AG70" s="334"/>
      <c r="AH70" s="335"/>
      <c r="AI70" s="336"/>
      <c r="AJ70" s="334"/>
      <c r="AK70" s="334"/>
      <c r="AL70" s="335"/>
      <c r="AM70" s="336"/>
      <c r="AN70" s="334"/>
      <c r="AO70" s="334"/>
      <c r="AP70" s="335"/>
      <c r="AQ70" s="329"/>
      <c r="AR70" s="329"/>
      <c r="AS70" s="329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4"/>
      <c r="AG71" s="334"/>
      <c r="AH71" s="335"/>
      <c r="AI71" s="336"/>
      <c r="AJ71" s="334"/>
      <c r="AK71" s="334"/>
      <c r="AL71" s="335"/>
      <c r="AM71" s="336"/>
      <c r="AN71" s="334"/>
      <c r="AO71" s="334"/>
      <c r="AP71" s="335"/>
      <c r="AQ71" s="329"/>
      <c r="AR71" s="329"/>
      <c r="AS71" s="329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4"/>
      <c r="AG72" s="334"/>
      <c r="AH72" s="335"/>
      <c r="AI72" s="336"/>
      <c r="AJ72" s="334"/>
      <c r="AK72" s="334"/>
      <c r="AL72" s="335"/>
      <c r="AM72" s="336"/>
      <c r="AN72" s="334"/>
      <c r="AO72" s="334"/>
      <c r="AP72" s="335"/>
      <c r="AQ72" s="329"/>
      <c r="AR72" s="329"/>
      <c r="AS72" s="329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4"/>
      <c r="AG73" s="334"/>
      <c r="AH73" s="335"/>
      <c r="AI73" s="336"/>
      <c r="AJ73" s="334"/>
      <c r="AK73" s="334"/>
      <c r="AL73" s="335"/>
      <c r="AM73" s="336"/>
      <c r="AN73" s="334"/>
      <c r="AO73" s="334"/>
      <c r="AP73" s="335"/>
      <c r="AQ73" s="329"/>
      <c r="AR73" s="329"/>
      <c r="AS73" s="329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4"/>
      <c r="AG74" s="334"/>
      <c r="AH74" s="335"/>
      <c r="AI74" s="336"/>
      <c r="AJ74" s="334"/>
      <c r="AK74" s="334"/>
      <c r="AL74" s="335"/>
      <c r="AM74" s="336"/>
      <c r="AN74" s="334"/>
      <c r="AO74" s="334"/>
      <c r="AP74" s="335"/>
      <c r="AQ74" s="329"/>
      <c r="AR74" s="329"/>
      <c r="AS74" s="329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4"/>
      <c r="AG75" s="334"/>
      <c r="AH75" s="335"/>
      <c r="AI75" s="336"/>
      <c r="AJ75" s="334"/>
      <c r="AK75" s="334"/>
      <c r="AL75" s="335"/>
      <c r="AM75" s="336"/>
      <c r="AN75" s="334"/>
      <c r="AO75" s="334"/>
      <c r="AP75" s="335"/>
      <c r="AQ75" s="329"/>
      <c r="AR75" s="329"/>
      <c r="AS75" s="329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4"/>
      <c r="AG76" s="334"/>
      <c r="AH76" s="335"/>
      <c r="AI76" s="336"/>
      <c r="AJ76" s="334"/>
      <c r="AK76" s="334"/>
      <c r="AL76" s="335"/>
      <c r="AM76" s="336"/>
      <c r="AN76" s="334"/>
      <c r="AO76" s="334"/>
      <c r="AP76" s="335"/>
      <c r="AQ76" s="329"/>
      <c r="AR76" s="329"/>
      <c r="AS76" s="329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4"/>
      <c r="AG77" s="334"/>
      <c r="AH77" s="334"/>
      <c r="AI77" s="336"/>
      <c r="AJ77" s="334"/>
      <c r="AK77" s="334"/>
      <c r="AL77" s="334"/>
      <c r="AM77" s="336"/>
      <c r="AN77" s="334"/>
      <c r="AO77" s="334"/>
      <c r="AP77" s="334"/>
      <c r="AQ77" s="329"/>
      <c r="AR77" s="329"/>
      <c r="AS77" s="329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29"/>
      <c r="AG78" s="335"/>
      <c r="AH78" s="337"/>
      <c r="AI78" s="338"/>
      <c r="AJ78" s="329"/>
      <c r="AK78" s="335"/>
      <c r="AL78" s="337"/>
      <c r="AM78" s="338"/>
      <c r="AN78" s="329"/>
      <c r="AO78" s="335"/>
      <c r="AP78" s="337"/>
      <c r="AQ78" s="329"/>
      <c r="AR78" s="329"/>
      <c r="AS78" s="329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29"/>
      <c r="AG79" s="329"/>
      <c r="AH79" s="339"/>
      <c r="AI79" s="329"/>
      <c r="AJ79" s="329"/>
      <c r="AK79" s="329"/>
      <c r="AL79" s="339"/>
      <c r="AM79" s="329"/>
      <c r="AN79" s="329"/>
      <c r="AO79" s="329"/>
      <c r="AP79" s="339"/>
      <c r="AQ79" s="329"/>
      <c r="AR79" s="329"/>
      <c r="AS79" s="329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29"/>
      <c r="AG80" s="329"/>
      <c r="AH80" s="339"/>
      <c r="AI80" s="340"/>
      <c r="AJ80" s="329"/>
      <c r="AK80" s="329"/>
      <c r="AL80" s="339"/>
      <c r="AM80" s="340"/>
      <c r="AN80" s="329"/>
      <c r="AO80" s="329"/>
      <c r="AP80" s="339"/>
      <c r="AQ80" s="329"/>
      <c r="AR80" s="329"/>
      <c r="AS80" s="329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29"/>
      <c r="AG81" s="329"/>
      <c r="AH81" s="339"/>
      <c r="AI81" s="337"/>
      <c r="AJ81" s="329"/>
      <c r="AK81" s="329"/>
      <c r="AL81" s="339"/>
      <c r="AM81" s="337"/>
      <c r="AN81" s="329"/>
      <c r="AO81" s="329"/>
      <c r="AP81" s="339"/>
      <c r="AQ81" s="329"/>
      <c r="AR81" s="329"/>
      <c r="AS81" s="329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29"/>
      <c r="AG82" s="329"/>
      <c r="AH82" s="339"/>
      <c r="AI82" s="340"/>
      <c r="AJ82" s="329"/>
      <c r="AK82" s="329"/>
      <c r="AL82" s="339"/>
      <c r="AM82" s="340"/>
      <c r="AN82" s="329"/>
      <c r="AO82" s="329"/>
      <c r="AP82" s="339"/>
      <c r="AQ82" s="329"/>
      <c r="AR82" s="329"/>
      <c r="AS82" s="329"/>
    </row>
    <row r="83" spans="4:45" x14ac:dyDescent="0.2">
      <c r="AE83" s="32"/>
      <c r="AF83" s="329"/>
      <c r="AG83" s="329"/>
      <c r="AH83" s="329"/>
      <c r="AI83" s="329"/>
      <c r="AJ83" s="329"/>
      <c r="AK83" s="329"/>
      <c r="AL83" s="329"/>
      <c r="AM83" s="329"/>
      <c r="AN83" s="329"/>
      <c r="AO83" s="329"/>
      <c r="AP83" s="329"/>
      <c r="AQ83" s="329"/>
      <c r="AR83" s="329"/>
      <c r="AS83" s="329"/>
    </row>
    <row r="84" spans="4:45" x14ac:dyDescent="0.2">
      <c r="AE84" s="32"/>
      <c r="AF84" s="329"/>
      <c r="AG84" s="329"/>
      <c r="AH84" s="329"/>
      <c r="AI84" s="329"/>
      <c r="AJ84" s="329"/>
      <c r="AK84" s="329"/>
      <c r="AL84" s="329"/>
      <c r="AM84" s="329"/>
      <c r="AN84" s="329"/>
      <c r="AO84" s="329"/>
      <c r="AP84" s="329"/>
      <c r="AQ84" s="329"/>
      <c r="AR84" s="329"/>
      <c r="AS84" s="329"/>
    </row>
    <row r="85" spans="4:45" x14ac:dyDescent="0.2">
      <c r="AF85" s="329"/>
      <c r="AG85" s="329"/>
      <c r="AH85" s="329"/>
      <c r="AI85" s="329"/>
      <c r="AJ85" s="329"/>
      <c r="AK85" s="329"/>
      <c r="AL85" s="329"/>
      <c r="AM85" s="329"/>
      <c r="AN85" s="329"/>
      <c r="AO85" s="329"/>
      <c r="AP85" s="329"/>
      <c r="AQ85" s="329"/>
      <c r="AR85" s="329"/>
      <c r="AS85" s="329"/>
    </row>
    <row r="86" spans="4:45" x14ac:dyDescent="0.2">
      <c r="AF86" s="329"/>
      <c r="AG86" s="329"/>
      <c r="AH86" s="329"/>
      <c r="AI86" s="329"/>
      <c r="AJ86" s="329"/>
      <c r="AK86" s="329"/>
      <c r="AL86" s="329"/>
      <c r="AM86" s="329"/>
      <c r="AN86" s="329"/>
      <c r="AO86" s="329"/>
      <c r="AP86" s="329"/>
      <c r="AQ86" s="329"/>
      <c r="AR86" s="329"/>
      <c r="AS86" s="329"/>
    </row>
    <row r="87" spans="4:45" x14ac:dyDescent="0.2">
      <c r="AF87" s="329"/>
      <c r="AG87" s="329"/>
      <c r="AH87" s="329"/>
      <c r="AI87" s="329"/>
      <c r="AJ87" s="329"/>
      <c r="AK87" s="329"/>
      <c r="AL87" s="329"/>
      <c r="AM87" s="329"/>
      <c r="AN87" s="329"/>
      <c r="AO87" s="329"/>
      <c r="AP87" s="329"/>
      <c r="AQ87" s="329"/>
      <c r="AR87" s="329"/>
      <c r="AS87" s="329"/>
    </row>
    <row r="88" spans="4:45" x14ac:dyDescent="0.2">
      <c r="AF88" s="329"/>
      <c r="AG88" s="329"/>
      <c r="AH88" s="329"/>
      <c r="AI88" s="329"/>
      <c r="AJ88" s="329"/>
      <c r="AK88" s="329"/>
      <c r="AL88" s="329"/>
      <c r="AM88" s="329"/>
      <c r="AN88" s="329"/>
      <c r="AO88" s="329"/>
      <c r="AP88" s="329"/>
      <c r="AQ88" s="329"/>
      <c r="AR88" s="329"/>
      <c r="AS88" s="329"/>
    </row>
    <row r="89" spans="4:45" x14ac:dyDescent="0.2">
      <c r="AF89" s="329"/>
      <c r="AG89" s="329"/>
      <c r="AH89" s="329"/>
      <c r="AI89" s="329"/>
      <c r="AJ89" s="329"/>
      <c r="AK89" s="329"/>
      <c r="AL89" s="329"/>
      <c r="AM89" s="329"/>
      <c r="AN89" s="329"/>
      <c r="AO89" s="329"/>
      <c r="AP89" s="329"/>
      <c r="AQ89" s="329"/>
      <c r="AR89" s="329"/>
      <c r="AS89" s="329"/>
    </row>
    <row r="90" spans="4:45" x14ac:dyDescent="0.2">
      <c r="AF90" s="329"/>
      <c r="AG90" s="329"/>
      <c r="AH90" s="329"/>
      <c r="AI90" s="329"/>
      <c r="AJ90" s="329"/>
      <c r="AK90" s="329"/>
      <c r="AL90" s="329"/>
      <c r="AM90" s="329"/>
      <c r="AN90" s="329"/>
      <c r="AO90" s="329"/>
      <c r="AP90" s="329"/>
      <c r="AQ90" s="329"/>
      <c r="AR90" s="329"/>
      <c r="AS90" s="329"/>
    </row>
    <row r="91" spans="4:45" x14ac:dyDescent="0.2">
      <c r="AF91" s="329"/>
      <c r="AG91" s="329"/>
      <c r="AH91" s="329"/>
      <c r="AI91" s="329"/>
      <c r="AJ91" s="329"/>
      <c r="AK91" s="329"/>
      <c r="AL91" s="329"/>
      <c r="AM91" s="329"/>
      <c r="AN91" s="329"/>
      <c r="AO91" s="329"/>
      <c r="AP91" s="329"/>
      <c r="AQ91" s="329"/>
      <c r="AR91" s="329"/>
      <c r="AS91" s="329"/>
    </row>
    <row r="92" spans="4:45" x14ac:dyDescent="0.2">
      <c r="AF92" s="329"/>
      <c r="AG92" s="329"/>
      <c r="AH92" s="329"/>
      <c r="AI92" s="329"/>
      <c r="AJ92" s="329"/>
      <c r="AK92" s="329"/>
      <c r="AL92" s="329"/>
      <c r="AM92" s="329"/>
      <c r="AN92" s="329"/>
      <c r="AO92" s="329"/>
      <c r="AP92" s="329"/>
      <c r="AQ92" s="329"/>
      <c r="AR92" s="329"/>
      <c r="AS92" s="329"/>
    </row>
    <row r="93" spans="4:45" x14ac:dyDescent="0.2">
      <c r="AF93" s="329"/>
      <c r="AG93" s="329"/>
      <c r="AH93" s="329"/>
      <c r="AI93" s="329"/>
      <c r="AJ93" s="329"/>
      <c r="AK93" s="329"/>
      <c r="AL93" s="329"/>
      <c r="AM93" s="329"/>
      <c r="AN93" s="329"/>
      <c r="AO93" s="329"/>
      <c r="AP93" s="329"/>
      <c r="AQ93" s="329"/>
      <c r="AR93" s="329"/>
      <c r="AS93" s="329"/>
    </row>
    <row r="94" spans="4:45" x14ac:dyDescent="0.2">
      <c r="AF94" s="329"/>
      <c r="AG94" s="329"/>
      <c r="AH94" s="329"/>
      <c r="AI94" s="329"/>
      <c r="AJ94" s="329"/>
      <c r="AK94" s="329"/>
      <c r="AL94" s="329"/>
      <c r="AM94" s="329"/>
      <c r="AN94" s="329"/>
      <c r="AO94" s="329"/>
      <c r="AP94" s="329"/>
      <c r="AQ94" s="329"/>
      <c r="AR94" s="329"/>
      <c r="AS94" s="329"/>
    </row>
    <row r="95" spans="4:45" x14ac:dyDescent="0.2">
      <c r="AF95" s="329"/>
      <c r="AG95" s="329"/>
      <c r="AH95" s="329"/>
      <c r="AI95" s="329"/>
      <c r="AJ95" s="329"/>
      <c r="AK95" s="329"/>
      <c r="AL95" s="329"/>
      <c r="AM95" s="329"/>
      <c r="AN95" s="329"/>
      <c r="AO95" s="329"/>
      <c r="AP95" s="329"/>
      <c r="AQ95" s="329"/>
      <c r="AR95" s="329"/>
      <c r="AS95" s="329"/>
    </row>
    <row r="96" spans="4:45" x14ac:dyDescent="0.2">
      <c r="AF96" s="329"/>
      <c r="AG96" s="329"/>
      <c r="AH96" s="329"/>
      <c r="AI96" s="329"/>
      <c r="AJ96" s="329"/>
      <c r="AK96" s="329"/>
      <c r="AL96" s="329"/>
      <c r="AM96" s="329"/>
      <c r="AN96" s="329"/>
      <c r="AO96" s="329"/>
      <c r="AP96" s="329"/>
      <c r="AQ96" s="329"/>
      <c r="AR96" s="329"/>
      <c r="AS96" s="329"/>
    </row>
    <row r="97" spans="32:45" x14ac:dyDescent="0.2">
      <c r="AF97" s="329"/>
      <c r="AG97" s="329"/>
      <c r="AH97" s="329"/>
      <c r="AI97" s="329"/>
      <c r="AJ97" s="329"/>
      <c r="AK97" s="329"/>
      <c r="AL97" s="329"/>
      <c r="AM97" s="329"/>
      <c r="AN97" s="329"/>
      <c r="AO97" s="329"/>
      <c r="AP97" s="329"/>
      <c r="AQ97" s="329"/>
      <c r="AR97" s="329"/>
      <c r="AS97" s="329"/>
    </row>
    <row r="98" spans="32:45" x14ac:dyDescent="0.2">
      <c r="AF98" s="329"/>
      <c r="AG98" s="329"/>
      <c r="AH98" s="329"/>
      <c r="AI98" s="329"/>
      <c r="AJ98" s="329"/>
      <c r="AK98" s="329"/>
      <c r="AL98" s="329"/>
      <c r="AM98" s="329"/>
      <c r="AN98" s="329"/>
      <c r="AO98" s="329"/>
      <c r="AP98" s="329"/>
      <c r="AQ98" s="329"/>
      <c r="AR98" s="329"/>
      <c r="AS98" s="329"/>
    </row>
    <row r="99" spans="32:45" x14ac:dyDescent="0.2">
      <c r="AF99" s="329"/>
      <c r="AG99" s="329"/>
      <c r="AH99" s="329"/>
      <c r="AI99" s="329"/>
      <c r="AJ99" s="329"/>
      <c r="AK99" s="329"/>
      <c r="AL99" s="329"/>
      <c r="AM99" s="329"/>
      <c r="AN99" s="329"/>
      <c r="AO99" s="329"/>
      <c r="AP99" s="329"/>
      <c r="AQ99" s="329"/>
      <c r="AR99" s="329"/>
      <c r="AS99" s="329"/>
    </row>
    <row r="100" spans="32:45" x14ac:dyDescent="0.2">
      <c r="AF100" s="329"/>
      <c r="AG100" s="329"/>
      <c r="AH100" s="329"/>
      <c r="AI100" s="329"/>
      <c r="AJ100" s="329"/>
      <c r="AK100" s="329"/>
      <c r="AL100" s="329"/>
      <c r="AM100" s="329"/>
      <c r="AN100" s="329"/>
      <c r="AO100" s="329"/>
      <c r="AP100" s="329"/>
      <c r="AQ100" s="329"/>
      <c r="AR100" s="329"/>
      <c r="AS100" s="329"/>
    </row>
    <row r="101" spans="32:45" x14ac:dyDescent="0.2">
      <c r="AF101" s="329"/>
      <c r="AG101" s="329"/>
      <c r="AH101" s="329"/>
      <c r="AI101" s="329"/>
      <c r="AJ101" s="329"/>
      <c r="AK101" s="329"/>
      <c r="AL101" s="329"/>
      <c r="AM101" s="329"/>
      <c r="AN101" s="329"/>
      <c r="AO101" s="329"/>
      <c r="AP101" s="329"/>
      <c r="AQ101" s="329"/>
      <c r="AR101" s="329"/>
      <c r="AS101" s="329"/>
    </row>
    <row r="102" spans="32:45" x14ac:dyDescent="0.2">
      <c r="AF102" s="329"/>
      <c r="AG102" s="329"/>
      <c r="AH102" s="329"/>
      <c r="AI102" s="329"/>
      <c r="AJ102" s="329"/>
      <c r="AK102" s="329"/>
      <c r="AL102" s="329"/>
      <c r="AM102" s="329"/>
      <c r="AN102" s="329"/>
      <c r="AO102" s="329"/>
      <c r="AP102" s="329"/>
      <c r="AQ102" s="329"/>
      <c r="AR102" s="329"/>
      <c r="AS102" s="329"/>
    </row>
    <row r="103" spans="32:45" x14ac:dyDescent="0.2">
      <c r="AF103" s="329"/>
      <c r="AG103" s="329"/>
      <c r="AH103" s="329"/>
      <c r="AI103" s="329"/>
      <c r="AJ103" s="329"/>
      <c r="AK103" s="329"/>
      <c r="AL103" s="329"/>
      <c r="AM103" s="329"/>
      <c r="AN103" s="329"/>
      <c r="AO103" s="329"/>
      <c r="AP103" s="329"/>
      <c r="AQ103" s="329"/>
      <c r="AR103" s="329"/>
      <c r="AS103" s="329"/>
    </row>
    <row r="104" spans="32:45" x14ac:dyDescent="0.2">
      <c r="AF104" s="329"/>
      <c r="AG104" s="329"/>
      <c r="AH104" s="329"/>
      <c r="AI104" s="329"/>
      <c r="AJ104" s="329"/>
      <c r="AK104" s="329"/>
      <c r="AL104" s="329"/>
      <c r="AM104" s="329"/>
      <c r="AN104" s="329"/>
      <c r="AO104" s="329"/>
      <c r="AP104" s="329"/>
      <c r="AQ104" s="329"/>
      <c r="AR104" s="329"/>
      <c r="AS104" s="329"/>
    </row>
    <row r="105" spans="32:45" x14ac:dyDescent="0.2">
      <c r="AF105" s="329"/>
      <c r="AG105" s="329"/>
      <c r="AH105" s="329"/>
      <c r="AI105" s="329"/>
      <c r="AJ105" s="329"/>
      <c r="AK105" s="329"/>
      <c r="AL105" s="329"/>
      <c r="AM105" s="329"/>
      <c r="AN105" s="329"/>
      <c r="AO105" s="329"/>
      <c r="AP105" s="329"/>
      <c r="AQ105" s="329"/>
      <c r="AR105" s="329"/>
      <c r="AS105" s="32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15" workbookViewId="0">
      <selection activeCell="E40" sqref="E40"/>
    </sheetView>
    <sheetView topLeftCell="A22" workbookViewId="1">
      <selection activeCell="C22" sqref="C22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33295</v>
      </c>
      <c r="C4" s="11">
        <v>17825</v>
      </c>
      <c r="D4" s="11"/>
      <c r="E4" s="11">
        <v>14579</v>
      </c>
      <c r="F4" s="11"/>
      <c r="G4" s="11"/>
      <c r="H4" s="11">
        <f>+G4-F4+D4-E4+B4-C4</f>
        <v>891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35755</v>
      </c>
      <c r="C5" s="11">
        <v>-187</v>
      </c>
      <c r="D5" s="11"/>
      <c r="E5" s="11">
        <v>35000</v>
      </c>
      <c r="F5" s="11"/>
      <c r="G5" s="11"/>
      <c r="H5" s="11">
        <f t="shared" ref="H5:H34" si="0">+G5-F5+D5-E5+B5-C5</f>
        <v>942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4589</v>
      </c>
      <c r="C6" s="11">
        <v>-187</v>
      </c>
      <c r="D6" s="11"/>
      <c r="E6" s="11"/>
      <c r="F6" s="11"/>
      <c r="G6" s="11"/>
      <c r="H6" s="11">
        <f t="shared" si="0"/>
        <v>4776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42970</v>
      </c>
      <c r="C7" s="11">
        <v>-187</v>
      </c>
      <c r="D7" s="11"/>
      <c r="E7" s="11">
        <v>43232</v>
      </c>
      <c r="F7" s="11"/>
      <c r="G7" s="11"/>
      <c r="H7" s="11">
        <f t="shared" si="0"/>
        <v>-75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419</v>
      </c>
      <c r="C8" s="11">
        <v>-187</v>
      </c>
      <c r="D8" s="11"/>
      <c r="E8" s="11">
        <v>61</v>
      </c>
      <c r="F8" s="11"/>
      <c r="G8" s="11"/>
      <c r="H8" s="11">
        <f t="shared" si="0"/>
        <v>545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>
        <v>14623</v>
      </c>
      <c r="D9" s="11"/>
      <c r="E9" s="11">
        <v>-5000</v>
      </c>
      <c r="F9" s="11"/>
      <c r="G9" s="11"/>
      <c r="H9" s="11">
        <f t="shared" si="0"/>
        <v>-9623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36032</v>
      </c>
      <c r="C10" s="11">
        <v>18481</v>
      </c>
      <c r="D10" s="11"/>
      <c r="E10" s="11">
        <v>16742</v>
      </c>
      <c r="F10" s="11"/>
      <c r="G10" s="11"/>
      <c r="H10" s="11">
        <f t="shared" si="0"/>
        <v>809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29195</v>
      </c>
      <c r="C11" s="11">
        <v>20939</v>
      </c>
      <c r="D11" s="11"/>
      <c r="E11" s="11">
        <v>8000</v>
      </c>
      <c r="F11" s="11"/>
      <c r="G11" s="11"/>
      <c r="H11" s="11">
        <f t="shared" si="0"/>
        <v>256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435</v>
      </c>
      <c r="C12" s="11">
        <v>-187</v>
      </c>
      <c r="D12" s="11"/>
      <c r="E12" s="11"/>
      <c r="F12" s="11"/>
      <c r="G12" s="11"/>
      <c r="H12" s="11">
        <f t="shared" si="0"/>
        <v>622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>
        <v>-187</v>
      </c>
      <c r="D13" s="11"/>
      <c r="E13" s="11"/>
      <c r="F13" s="11"/>
      <c r="G13" s="11"/>
      <c r="H13" s="11">
        <f t="shared" si="0"/>
        <v>187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>
        <v>-187</v>
      </c>
      <c r="D14" s="11">
        <v>5</v>
      </c>
      <c r="E14" s="11"/>
      <c r="F14" s="11"/>
      <c r="G14" s="11"/>
      <c r="H14" s="11">
        <f t="shared" si="0"/>
        <v>192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21615</v>
      </c>
      <c r="C15" s="11">
        <v>20588</v>
      </c>
      <c r="D15" s="11"/>
      <c r="E15" s="11"/>
      <c r="F15" s="11"/>
      <c r="G15" s="11"/>
      <c r="H15" s="11">
        <f t="shared" si="0"/>
        <v>1027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49616</v>
      </c>
      <c r="C16" s="11">
        <v>28812</v>
      </c>
      <c r="D16" s="11"/>
      <c r="E16" s="11">
        <v>20221</v>
      </c>
      <c r="F16" s="11"/>
      <c r="G16" s="11"/>
      <c r="H16" s="11">
        <f t="shared" si="0"/>
        <v>583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11991</v>
      </c>
      <c r="C17" s="11">
        <v>49</v>
      </c>
      <c r="D17" s="11"/>
      <c r="E17" s="11">
        <v>10041</v>
      </c>
      <c r="F17" s="11"/>
      <c r="G17" s="11"/>
      <c r="H17" s="11">
        <f t="shared" si="0"/>
        <v>1901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17918</v>
      </c>
      <c r="C18" s="11">
        <v>18438</v>
      </c>
      <c r="D18" s="11"/>
      <c r="E18" s="11"/>
      <c r="F18" s="11"/>
      <c r="G18" s="11"/>
      <c r="H18" s="11">
        <f t="shared" si="0"/>
        <v>-520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54633</v>
      </c>
      <c r="C19" s="11">
        <v>53350</v>
      </c>
      <c r="D19" s="11"/>
      <c r="E19" s="11"/>
      <c r="F19" s="11"/>
      <c r="G19" s="11"/>
      <c r="H19" s="11">
        <f t="shared" si="0"/>
        <v>1283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49627</v>
      </c>
      <c r="C20" s="11">
        <v>48693</v>
      </c>
      <c r="D20" s="11"/>
      <c r="E20" s="11"/>
      <c r="F20" s="11"/>
      <c r="G20" s="11"/>
      <c r="H20" s="11">
        <f t="shared" si="0"/>
        <v>934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31687</v>
      </c>
      <c r="C21" s="11">
        <v>41662</v>
      </c>
      <c r="D21" s="11">
        <v>9093</v>
      </c>
      <c r="E21" s="11"/>
      <c r="F21" s="11"/>
      <c r="G21" s="11"/>
      <c r="H21" s="11">
        <f t="shared" si="0"/>
        <v>-882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30086</v>
      </c>
      <c r="C22" s="11">
        <v>26453</v>
      </c>
      <c r="D22" s="11"/>
      <c r="E22" s="11">
        <v>5000</v>
      </c>
      <c r="F22" s="11"/>
      <c r="G22" s="11"/>
      <c r="H22" s="11">
        <f t="shared" si="0"/>
        <v>-1367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>
        <v>13043</v>
      </c>
      <c r="C23" s="11">
        <v>12819</v>
      </c>
      <c r="D23" s="11"/>
      <c r="E23" s="11"/>
      <c r="F23" s="11"/>
      <c r="G23" s="11"/>
      <c r="H23" s="11">
        <f t="shared" si="0"/>
        <v>224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>
        <v>36937</v>
      </c>
      <c r="C24" s="11">
        <v>36354</v>
      </c>
      <c r="D24" s="11"/>
      <c r="E24" s="11"/>
      <c r="F24" s="11"/>
      <c r="G24" s="11"/>
      <c r="H24" s="11">
        <f t="shared" si="0"/>
        <v>583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>
        <v>19946</v>
      </c>
      <c r="C25" s="11">
        <v>19813</v>
      </c>
      <c r="D25" s="11"/>
      <c r="E25" s="11"/>
      <c r="F25" s="11"/>
      <c r="G25" s="11"/>
      <c r="H25" s="11">
        <f t="shared" si="0"/>
        <v>133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>
        <v>29195</v>
      </c>
      <c r="C26" s="11">
        <v>29813</v>
      </c>
      <c r="D26" s="11"/>
      <c r="E26" s="11"/>
      <c r="F26" s="11"/>
      <c r="G26" s="11"/>
      <c r="H26" s="11">
        <f t="shared" si="0"/>
        <v>-618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>
        <v>21374</v>
      </c>
      <c r="C27" s="11">
        <v>21313</v>
      </c>
      <c r="D27" s="11"/>
      <c r="E27" s="11"/>
      <c r="F27" s="11"/>
      <c r="G27" s="11"/>
      <c r="H27" s="11">
        <f t="shared" si="0"/>
        <v>61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>
        <v>21452</v>
      </c>
      <c r="C28" s="11">
        <v>21313</v>
      </c>
      <c r="D28" s="11"/>
      <c r="E28" s="11"/>
      <c r="F28" s="11"/>
      <c r="G28" s="11"/>
      <c r="H28" s="11">
        <f t="shared" si="0"/>
        <v>139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591810</v>
      </c>
      <c r="C35" s="44">
        <f t="shared" si="1"/>
        <v>450029</v>
      </c>
      <c r="D35" s="11">
        <f t="shared" si="1"/>
        <v>9098</v>
      </c>
      <c r="E35" s="44">
        <f t="shared" si="1"/>
        <v>147876</v>
      </c>
      <c r="F35" s="11">
        <f t="shared" si="1"/>
        <v>0</v>
      </c>
      <c r="G35" s="11">
        <f t="shared" si="1"/>
        <v>0</v>
      </c>
      <c r="H35" s="11">
        <f t="shared" si="1"/>
        <v>3003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+summary!P13</f>
        <v>8.33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25014.99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36860</v>
      </c>
      <c r="F38" s="47"/>
      <c r="G38" s="48"/>
      <c r="H38" s="376">
        <v>24376.68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36885</v>
      </c>
      <c r="F39" s="47"/>
      <c r="G39" s="47"/>
      <c r="H39" s="137">
        <f>+H38+H37</f>
        <v>49391.67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18" workbookViewId="1">
      <selection activeCell="E30" sqref="E30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45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38</v>
      </c>
      <c r="D3" s="59" t="s">
        <v>46</v>
      </c>
      <c r="E3" s="4"/>
      <c r="F3" s="59" t="s">
        <v>47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40</v>
      </c>
      <c r="AB3" s="121"/>
      <c r="AC3" s="24"/>
      <c r="AD3" s="24"/>
      <c r="AE3" s="24"/>
      <c r="AF3" s="32"/>
      <c r="AG3" s="122" t="s">
        <v>41</v>
      </c>
      <c r="AH3" s="121"/>
      <c r="AM3" s="2" t="s">
        <v>42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48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285865</v>
      </c>
      <c r="E5" s="11">
        <v>284347</v>
      </c>
      <c r="F5" s="11"/>
      <c r="G5" s="11"/>
      <c r="H5" s="24">
        <f>+G5-F5+D5-E5+C5-B5</f>
        <v>1518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38</v>
      </c>
      <c r="AB5" s="24"/>
      <c r="AC5" s="24"/>
      <c r="AD5" s="58" t="s">
        <v>39</v>
      </c>
      <c r="AE5" s="58"/>
      <c r="AF5" s="4"/>
      <c r="AG5" s="2" t="s">
        <v>38</v>
      </c>
      <c r="AJ5" s="4" t="s">
        <v>39</v>
      </c>
      <c r="AK5" s="4"/>
      <c r="AL5" s="4"/>
      <c r="AM5" s="2" t="s">
        <v>38</v>
      </c>
      <c r="AO5" s="4" t="s">
        <v>39</v>
      </c>
      <c r="AP5" s="4"/>
    </row>
    <row r="6" spans="1:47" x14ac:dyDescent="0.2">
      <c r="A6" s="10">
        <v>2</v>
      </c>
      <c r="B6" s="11"/>
      <c r="C6" s="11"/>
      <c r="D6" s="11">
        <v>335549</v>
      </c>
      <c r="E6" s="11">
        <v>330187</v>
      </c>
      <c r="F6" s="11"/>
      <c r="G6" s="11"/>
      <c r="H6" s="24">
        <f t="shared" ref="H6:H35" si="0">+G6-F6+D6-E6+C6-B6</f>
        <v>5362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43</v>
      </c>
      <c r="AA6" s="40" t="s">
        <v>13</v>
      </c>
      <c r="AB6" s="40" t="s">
        <v>14</v>
      </c>
      <c r="AC6" s="40" t="s">
        <v>44</v>
      </c>
      <c r="AD6" s="40" t="s">
        <v>13</v>
      </c>
      <c r="AE6" s="40" t="s">
        <v>14</v>
      </c>
      <c r="AF6" s="6" t="s">
        <v>44</v>
      </c>
      <c r="AG6" s="6" t="s">
        <v>13</v>
      </c>
      <c r="AH6" s="40" t="s">
        <v>14</v>
      </c>
      <c r="AI6" s="6" t="s">
        <v>44</v>
      </c>
      <c r="AJ6" s="6" t="s">
        <v>13</v>
      </c>
      <c r="AK6" s="6" t="s">
        <v>14</v>
      </c>
      <c r="AL6" s="6" t="s">
        <v>44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325158</v>
      </c>
      <c r="E7" s="367">
        <f>321777+3</f>
        <v>321780</v>
      </c>
      <c r="F7" s="11"/>
      <c r="G7" s="11"/>
      <c r="H7" s="24">
        <f t="shared" si="0"/>
        <v>3378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36</v>
      </c>
      <c r="C8" s="129"/>
      <c r="D8" s="129">
        <v>315774</v>
      </c>
      <c r="E8" s="129">
        <f>312874+1</f>
        <v>312875</v>
      </c>
      <c r="F8" s="11"/>
      <c r="G8" s="11"/>
      <c r="H8" s="24">
        <f t="shared" si="0"/>
        <v>2863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308055</v>
      </c>
      <c r="E9" s="11">
        <f>305794+836</f>
        <v>306630</v>
      </c>
      <c r="F9" s="11"/>
      <c r="G9" s="11"/>
      <c r="H9" s="24">
        <f t="shared" si="0"/>
        <v>1425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300415</v>
      </c>
      <c r="E10" s="11">
        <f>297110+1264</f>
        <v>298374</v>
      </c>
      <c r="F10" s="11"/>
      <c r="G10" s="11"/>
      <c r="H10" s="24">
        <f t="shared" si="0"/>
        <v>2041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334956</v>
      </c>
      <c r="E11" s="11">
        <v>333511</v>
      </c>
      <c r="F11" s="11"/>
      <c r="G11" s="11"/>
      <c r="H11" s="24">
        <f t="shared" si="0"/>
        <v>1445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315249</v>
      </c>
      <c r="E12" s="11">
        <f>310237+2158</f>
        <v>312395</v>
      </c>
      <c r="F12" s="11"/>
      <c r="G12" s="11"/>
      <c r="H12" s="24">
        <f t="shared" si="0"/>
        <v>2854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308076</v>
      </c>
      <c r="E13" s="11">
        <v>297153</v>
      </c>
      <c r="F13" s="11"/>
      <c r="G13" s="11"/>
      <c r="H13" s="24">
        <f t="shared" si="0"/>
        <v>10923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304655</v>
      </c>
      <c r="E14" s="11">
        <f>301352+1079</f>
        <v>302431</v>
      </c>
      <c r="F14" s="11"/>
      <c r="G14" s="11"/>
      <c r="H14" s="24">
        <f t="shared" si="0"/>
        <v>2224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272083</v>
      </c>
      <c r="E15" s="11">
        <v>276791</v>
      </c>
      <c r="F15" s="11"/>
      <c r="G15" s="11"/>
      <c r="H15" s="24">
        <f t="shared" si="0"/>
        <v>-4708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302870</v>
      </c>
      <c r="E16" s="11">
        <f>300452+270</f>
        <v>300722</v>
      </c>
      <c r="F16" s="11"/>
      <c r="G16" s="11"/>
      <c r="H16" s="24">
        <f t="shared" si="0"/>
        <v>2148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312135</v>
      </c>
      <c r="E17" s="11">
        <v>309830</v>
      </c>
      <c r="F17" s="11"/>
      <c r="G17" s="11"/>
      <c r="H17" s="24">
        <f t="shared" si="0"/>
        <v>2305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276964</v>
      </c>
      <c r="E18" s="11">
        <v>274005</v>
      </c>
      <c r="F18" s="11"/>
      <c r="G18" s="11"/>
      <c r="H18" s="24">
        <f t="shared" si="0"/>
        <v>2959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306377</v>
      </c>
      <c r="E19" s="11">
        <v>303938</v>
      </c>
      <c r="F19" s="11"/>
      <c r="G19" s="11"/>
      <c r="H19" s="24">
        <f t="shared" si="0"/>
        <v>2439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278011</v>
      </c>
      <c r="E20" s="11">
        <v>277004</v>
      </c>
      <c r="F20" s="11"/>
      <c r="G20" s="11"/>
      <c r="H20" s="24">
        <f t="shared" si="0"/>
        <v>1007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282493</v>
      </c>
      <c r="E21" s="11">
        <v>281248</v>
      </c>
      <c r="F21" s="11"/>
      <c r="G21" s="11"/>
      <c r="H21" s="24">
        <f t="shared" si="0"/>
        <v>1245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v>317125</v>
      </c>
      <c r="E22" s="11">
        <v>320499</v>
      </c>
      <c r="F22" s="11"/>
      <c r="G22" s="11"/>
      <c r="H22" s="24">
        <f t="shared" si="0"/>
        <v>-3374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329038</v>
      </c>
      <c r="E23" s="11">
        <v>332170</v>
      </c>
      <c r="F23" s="11"/>
      <c r="G23" s="11"/>
      <c r="H23" s="24">
        <f t="shared" si="0"/>
        <v>-3132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>
        <v>315217</v>
      </c>
      <c r="E24" s="11">
        <v>315614</v>
      </c>
      <c r="F24" s="11"/>
      <c r="G24" s="11"/>
      <c r="H24" s="24">
        <f t="shared" si="0"/>
        <v>-397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308213</v>
      </c>
      <c r="E25" s="11">
        <v>307421</v>
      </c>
      <c r="F25" s="11"/>
      <c r="G25" s="11"/>
      <c r="H25" s="24">
        <f t="shared" si="0"/>
        <v>792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330005</v>
      </c>
      <c r="E26" s="11">
        <v>329665</v>
      </c>
      <c r="F26" s="11"/>
      <c r="G26" s="11"/>
      <c r="H26" s="24">
        <f t="shared" si="0"/>
        <v>340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v>306076</v>
      </c>
      <c r="E27" s="11">
        <v>305833</v>
      </c>
      <c r="F27" s="11"/>
      <c r="G27" s="11"/>
      <c r="H27" s="24">
        <f t="shared" si="0"/>
        <v>243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285641</v>
      </c>
      <c r="E28" s="11">
        <v>282843</v>
      </c>
      <c r="F28" s="11"/>
      <c r="G28" s="11"/>
      <c r="H28" s="24">
        <f t="shared" si="0"/>
        <v>2798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v>273543</v>
      </c>
      <c r="E29" s="11">
        <v>270982</v>
      </c>
      <c r="F29" s="11"/>
      <c r="G29" s="11"/>
      <c r="H29" s="24">
        <f t="shared" si="0"/>
        <v>2561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36</v>
      </c>
      <c r="C36" s="11">
        <f t="shared" si="15"/>
        <v>0</v>
      </c>
      <c r="D36" s="11">
        <f t="shared" si="15"/>
        <v>7629543</v>
      </c>
      <c r="E36" s="11">
        <f t="shared" si="15"/>
        <v>7588248</v>
      </c>
      <c r="F36" s="11">
        <f t="shared" si="15"/>
        <v>0</v>
      </c>
      <c r="G36" s="11">
        <f t="shared" si="15"/>
        <v>0</v>
      </c>
      <c r="H36" s="11">
        <f t="shared" si="15"/>
        <v>41259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36860</v>
      </c>
      <c r="B37" s="2" t="s">
        <v>49</v>
      </c>
      <c r="C37" s="373">
        <v>-7085</v>
      </c>
      <c r="D37" s="360"/>
      <c r="E37" s="362">
        <v>217223</v>
      </c>
      <c r="F37" s="24"/>
      <c r="G37" s="24"/>
      <c r="H37" s="24">
        <f>+E37+C37</f>
        <v>210138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36885</v>
      </c>
      <c r="B38" s="2" t="s">
        <v>49</v>
      </c>
      <c r="C38" s="131">
        <f>+C37+C36-B36</f>
        <v>-7121</v>
      </c>
      <c r="D38" s="262"/>
      <c r="E38" s="131">
        <f>+E37+D36-E36</f>
        <v>258518</v>
      </c>
      <c r="F38" s="262"/>
      <c r="G38" s="131"/>
      <c r="H38" s="131">
        <f>+H37+H36</f>
        <v>251397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89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3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8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9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9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9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9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9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9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4" workbookViewId="1">
      <selection activeCell="C24" sqref="C24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50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48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93344</v>
      </c>
      <c r="C6" s="11">
        <v>93623</v>
      </c>
      <c r="D6" s="25">
        <f>+C6-B6</f>
        <v>279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90757</v>
      </c>
      <c r="C7" s="11">
        <v>82485</v>
      </c>
      <c r="D7" s="25">
        <f>+C7-B7</f>
        <v>-8272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79881</v>
      </c>
      <c r="C8" s="11">
        <v>83564</v>
      </c>
      <c r="D8" s="25">
        <f t="shared" ref="D8:D36" si="0">+C8-B8</f>
        <v>3683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86932</v>
      </c>
      <c r="C9" s="11">
        <v>85573</v>
      </c>
      <c r="D9" s="25">
        <f t="shared" si="0"/>
        <v>-1359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91421</v>
      </c>
      <c r="C10" s="11">
        <v>89951</v>
      </c>
      <c r="D10" s="25">
        <f t="shared" si="0"/>
        <v>-1470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93012</v>
      </c>
      <c r="C11" s="11">
        <v>90323</v>
      </c>
      <c r="D11" s="25">
        <f t="shared" si="0"/>
        <v>-2689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112781</v>
      </c>
      <c r="C12" s="11">
        <v>112264</v>
      </c>
      <c r="D12" s="25">
        <f t="shared" si="0"/>
        <v>-517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107002</v>
      </c>
      <c r="C13" s="11">
        <v>105320</v>
      </c>
      <c r="D13" s="25">
        <f t="shared" si="0"/>
        <v>-1682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103512</v>
      </c>
      <c r="C14" s="11">
        <v>98386</v>
      </c>
      <c r="D14" s="25">
        <f t="shared" si="0"/>
        <v>-5126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106623</v>
      </c>
      <c r="C15" s="11">
        <v>104979</v>
      </c>
      <c r="D15" s="25">
        <f t="shared" si="0"/>
        <v>-1644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95291</v>
      </c>
      <c r="C16" s="11">
        <v>93974</v>
      </c>
      <c r="D16" s="25">
        <f t="shared" si="0"/>
        <v>-1317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91874</v>
      </c>
      <c r="C17" s="11">
        <v>89099</v>
      </c>
      <c r="D17" s="25">
        <f t="shared" si="0"/>
        <v>-2775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105714</v>
      </c>
      <c r="C18" s="11">
        <v>103835</v>
      </c>
      <c r="D18" s="25">
        <f t="shared" si="0"/>
        <v>-1879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101750</v>
      </c>
      <c r="C19" s="11">
        <v>100162</v>
      </c>
      <c r="D19" s="25">
        <f t="shared" si="0"/>
        <v>-1588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109775</v>
      </c>
      <c r="C20" s="11">
        <v>109693</v>
      </c>
      <c r="D20" s="25">
        <f t="shared" si="0"/>
        <v>-82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87524</v>
      </c>
      <c r="C21" s="11">
        <v>86423</v>
      </c>
      <c r="D21" s="25">
        <f t="shared" si="0"/>
        <v>-1101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98132</v>
      </c>
      <c r="C22" s="11">
        <v>96808</v>
      </c>
      <c r="D22" s="25">
        <f t="shared" si="0"/>
        <v>-1324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101493</v>
      </c>
      <c r="C23" s="11">
        <v>99961</v>
      </c>
      <c r="D23" s="25">
        <f t="shared" si="0"/>
        <v>-1532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134960</v>
      </c>
      <c r="C24" s="11">
        <v>143957</v>
      </c>
      <c r="D24" s="25">
        <f t="shared" si="0"/>
        <v>8997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123614</v>
      </c>
      <c r="C25" s="11">
        <v>121696</v>
      </c>
      <c r="D25" s="25">
        <f t="shared" si="0"/>
        <v>-1918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>
        <v>113423</v>
      </c>
      <c r="C26" s="11">
        <v>111901</v>
      </c>
      <c r="D26" s="25">
        <f t="shared" si="0"/>
        <v>-1522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>
        <v>122997</v>
      </c>
      <c r="C27" s="11">
        <v>120814</v>
      </c>
      <c r="D27" s="25">
        <f t="shared" si="0"/>
        <v>-2183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>
        <v>95797</v>
      </c>
      <c r="C28" s="11">
        <v>94551</v>
      </c>
      <c r="D28" s="25">
        <f t="shared" si="0"/>
        <v>-1246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>
        <v>86651</v>
      </c>
      <c r="C29" s="11">
        <v>84733</v>
      </c>
      <c r="D29" s="25">
        <f t="shared" si="0"/>
        <v>-1918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>
        <v>91545</v>
      </c>
      <c r="C30" s="11">
        <v>90433</v>
      </c>
      <c r="D30" s="25">
        <f t="shared" si="0"/>
        <v>-1112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2525805</v>
      </c>
      <c r="C37" s="11">
        <f>SUM(C6:C36)</f>
        <v>2494508</v>
      </c>
      <c r="D37" s="11">
        <f>SUM(D6:D36)</f>
        <v>-31297</v>
      </c>
      <c r="E37" s="10"/>
      <c r="F37" s="11"/>
      <c r="G37" s="11"/>
      <c r="H37" s="129"/>
      <c r="I37" s="273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2"/>
      <c r="I38" s="274"/>
      <c r="J38" s="252"/>
      <c r="K38" s="275"/>
      <c r="L38" s="252"/>
      <c r="M38" s="26"/>
      <c r="O38" s="14"/>
    </row>
    <row r="39" spans="1:16" x14ac:dyDescent="0.2">
      <c r="A39" s="57">
        <v>36860</v>
      </c>
      <c r="C39" s="15"/>
      <c r="D39" s="244">
        <v>-15891</v>
      </c>
      <c r="E39" s="57"/>
      <c r="G39" s="15"/>
      <c r="H39" s="51"/>
      <c r="I39" s="276"/>
      <c r="J39" s="252"/>
      <c r="K39" s="277"/>
      <c r="L39" s="51"/>
      <c r="M39" s="57"/>
      <c r="O39" s="15"/>
      <c r="P39" s="24"/>
    </row>
    <row r="40" spans="1:16" x14ac:dyDescent="0.2">
      <c r="A40" s="57">
        <v>36885</v>
      </c>
      <c r="C40" s="48"/>
      <c r="D40" s="25">
        <f>+D39+D37</f>
        <v>-47188</v>
      </c>
      <c r="E40" s="57"/>
      <c r="G40" s="48"/>
      <c r="H40" s="131"/>
      <c r="I40" s="276"/>
      <c r="J40" s="252"/>
      <c r="K40" s="278"/>
      <c r="L40" s="131"/>
      <c r="M40" s="57"/>
      <c r="O40" s="48"/>
      <c r="P40" s="130"/>
    </row>
    <row r="41" spans="1:16" x14ac:dyDescent="0.2">
      <c r="C41" s="47"/>
      <c r="H41" s="252"/>
      <c r="I41" s="252"/>
      <c r="J41" s="252"/>
      <c r="K41" s="252"/>
      <c r="L41" s="252"/>
    </row>
    <row r="42" spans="1:16" x14ac:dyDescent="0.2">
      <c r="A42" s="57"/>
      <c r="C42" s="50"/>
      <c r="D42" s="25"/>
      <c r="H42" s="252"/>
      <c r="I42" s="252"/>
      <c r="J42" s="252"/>
      <c r="K42" s="252"/>
      <c r="L42" s="252"/>
    </row>
    <row r="43" spans="1:16" x14ac:dyDescent="0.2">
      <c r="A43" s="57"/>
      <c r="C43" s="50"/>
      <c r="H43" s="252"/>
      <c r="I43" s="252"/>
      <c r="J43" s="252"/>
      <c r="K43" s="252"/>
      <c r="L43" s="252"/>
    </row>
    <row r="44" spans="1:16" x14ac:dyDescent="0.2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topLeftCell="A26" workbookViewId="0">
      <selection activeCell="C46" sqref="C46"/>
    </sheetView>
    <sheetView topLeftCell="A21" workbookViewId="1">
      <selection activeCell="C45" sqref="C45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53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54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54</v>
      </c>
      <c r="AD5" s="12"/>
      <c r="AE5" s="12"/>
      <c r="AF5" s="58"/>
      <c r="AG5" s="58" t="s">
        <v>54</v>
      </c>
      <c r="AH5" s="12"/>
      <c r="AI5" s="12"/>
      <c r="AJ5" s="58"/>
      <c r="AK5" s="58" t="s">
        <v>54</v>
      </c>
      <c r="AL5" s="12"/>
      <c r="AM5" s="12"/>
      <c r="AN5" s="58"/>
      <c r="AO5" s="58" t="s">
        <v>54</v>
      </c>
      <c r="AP5" s="12"/>
      <c r="AQ5" s="12"/>
      <c r="AR5" s="58"/>
      <c r="AS5" s="58" t="s">
        <v>54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6"/>
      <c r="H6" s="285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79"/>
      <c r="H7" s="284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156863</v>
      </c>
      <c r="C8" s="11">
        <v>153458</v>
      </c>
      <c r="D8" s="11">
        <f t="shared" ref="D8:D38" si="0">+C8-B8</f>
        <v>-3405</v>
      </c>
      <c r="E8" s="143"/>
      <c r="F8" s="139"/>
      <c r="G8" s="279"/>
      <c r="H8" s="284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156290</v>
      </c>
      <c r="C9" s="11">
        <v>156639</v>
      </c>
      <c r="D9" s="11">
        <f t="shared" si="0"/>
        <v>349</v>
      </c>
      <c r="E9" s="143"/>
      <c r="F9" s="139"/>
      <c r="G9" s="279"/>
      <c r="H9" s="284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156408</v>
      </c>
      <c r="C10" s="11">
        <v>152895</v>
      </c>
      <c r="D10" s="11">
        <f t="shared" si="0"/>
        <v>-3513</v>
      </c>
      <c r="E10" s="143"/>
      <c r="F10" s="139"/>
      <c r="G10" s="279"/>
      <c r="H10" s="284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151330</v>
      </c>
      <c r="C11" s="11">
        <v>152322</v>
      </c>
      <c r="D11" s="11">
        <f t="shared" si="0"/>
        <v>992</v>
      </c>
      <c r="E11" s="143"/>
      <c r="F11" s="139"/>
      <c r="G11" s="287"/>
      <c r="H11" s="284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>
        <v>152209</v>
      </c>
      <c r="C12" s="11">
        <v>152755</v>
      </c>
      <c r="D12" s="11">
        <f t="shared" si="0"/>
        <v>546</v>
      </c>
      <c r="E12" s="143"/>
      <c r="F12" s="139"/>
      <c r="G12" s="284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>
        <v>153616</v>
      </c>
      <c r="C13" s="11">
        <v>154781</v>
      </c>
      <c r="D13" s="11">
        <f t="shared" si="0"/>
        <v>1165</v>
      </c>
      <c r="E13" s="143"/>
      <c r="F13" s="139"/>
      <c r="G13" s="284"/>
      <c r="H13" s="284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>
        <v>149153</v>
      </c>
      <c r="C14" s="11">
        <v>149334</v>
      </c>
      <c r="D14" s="11">
        <f t="shared" si="0"/>
        <v>181</v>
      </c>
      <c r="E14" s="143"/>
      <c r="F14" s="139"/>
      <c r="G14" s="284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>
        <v>155652</v>
      </c>
      <c r="C15" s="11">
        <v>156088</v>
      </c>
      <c r="D15" s="11">
        <f t="shared" si="0"/>
        <v>436</v>
      </c>
      <c r="E15" s="143"/>
      <c r="F15" s="139"/>
      <c r="G15" s="284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>
        <v>154144</v>
      </c>
      <c r="C16" s="11">
        <v>154714</v>
      </c>
      <c r="D16" s="11">
        <f t="shared" si="0"/>
        <v>570</v>
      </c>
      <c r="E16" s="143"/>
      <c r="F16" s="139"/>
      <c r="G16" s="284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>
        <v>157649</v>
      </c>
      <c r="C17" s="11">
        <v>154903</v>
      </c>
      <c r="D17" s="11">
        <f t="shared" si="0"/>
        <v>-2746</v>
      </c>
      <c r="E17" s="143"/>
      <c r="F17" s="139"/>
      <c r="G17" s="284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>
        <v>157888</v>
      </c>
      <c r="C18" s="11">
        <v>155298</v>
      </c>
      <c r="D18" s="11">
        <f t="shared" si="0"/>
        <v>-2590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>
        <v>156967</v>
      </c>
      <c r="C19" s="11">
        <v>157270</v>
      </c>
      <c r="D19" s="11">
        <f t="shared" si="0"/>
        <v>303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>
        <v>157485</v>
      </c>
      <c r="C20" s="11">
        <v>155719</v>
      </c>
      <c r="D20" s="11">
        <f t="shared" si="0"/>
        <v>-1766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>
        <v>156055</v>
      </c>
      <c r="C21" s="11">
        <v>155759</v>
      </c>
      <c r="D21" s="11">
        <f t="shared" si="0"/>
        <v>-296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>
        <v>150735</v>
      </c>
      <c r="C22" s="11">
        <v>150719</v>
      </c>
      <c r="D22" s="11">
        <f t="shared" si="0"/>
        <v>-16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>
        <v>155250</v>
      </c>
      <c r="C23" s="11">
        <v>154796</v>
      </c>
      <c r="D23" s="11">
        <f t="shared" si="0"/>
        <v>-454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>
        <v>155938</v>
      </c>
      <c r="C24" s="11">
        <v>155412</v>
      </c>
      <c r="D24" s="11">
        <f t="shared" si="0"/>
        <v>-526</v>
      </c>
      <c r="E24" s="282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55</v>
      </c>
      <c r="B25" s="11">
        <v>155868</v>
      </c>
      <c r="C25" s="11">
        <v>155762</v>
      </c>
      <c r="D25" s="11">
        <f t="shared" si="0"/>
        <v>-106</v>
      </c>
      <c r="E25" s="345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55</v>
      </c>
      <c r="AF25" s="11">
        <v>90438</v>
      </c>
      <c r="AG25" s="11">
        <v>89668</v>
      </c>
      <c r="AH25" s="11">
        <f t="shared" si="2"/>
        <v>-770</v>
      </c>
      <c r="AI25" s="147" t="s">
        <v>55</v>
      </c>
      <c r="AJ25" s="11">
        <v>119514</v>
      </c>
      <c r="AK25" s="11">
        <v>120375</v>
      </c>
      <c r="AL25" s="11">
        <f t="shared" si="3"/>
        <v>861</v>
      </c>
      <c r="AM25" s="147" t="s">
        <v>55</v>
      </c>
      <c r="AN25" s="11">
        <v>175778</v>
      </c>
      <c r="AO25" s="11">
        <v>172040</v>
      </c>
      <c r="AP25" s="11">
        <f t="shared" si="4"/>
        <v>-3738</v>
      </c>
      <c r="AQ25" s="147" t="s">
        <v>55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>
        <v>150388</v>
      </c>
      <c r="C26" s="11">
        <v>158847</v>
      </c>
      <c r="D26" s="11">
        <f t="shared" si="0"/>
        <v>8459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>
        <v>153614</v>
      </c>
      <c r="C27" s="11">
        <v>153862</v>
      </c>
      <c r="D27" s="11">
        <f t="shared" si="0"/>
        <v>248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>
        <v>153776</v>
      </c>
      <c r="C28" s="150">
        <v>154713</v>
      </c>
      <c r="D28" s="11">
        <f t="shared" si="0"/>
        <v>937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>
        <v>149582</v>
      </c>
      <c r="C29" s="150">
        <v>150572</v>
      </c>
      <c r="D29" s="11">
        <f t="shared" si="0"/>
        <v>990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>
        <v>156275</v>
      </c>
      <c r="C30" s="150">
        <v>154880</v>
      </c>
      <c r="D30" s="11">
        <f t="shared" si="0"/>
        <v>-1395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>
        <v>155160</v>
      </c>
      <c r="C31" s="150">
        <v>153893</v>
      </c>
      <c r="D31" s="11">
        <f t="shared" si="0"/>
        <v>-1267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>
        <v>155099</v>
      </c>
      <c r="C32" s="150">
        <v>155213</v>
      </c>
      <c r="D32" s="11">
        <f t="shared" si="0"/>
        <v>114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3863394</v>
      </c>
      <c r="C39" s="150">
        <f>SUM(C8:C38)</f>
        <v>3860604</v>
      </c>
      <c r="D39" s="152">
        <f>SUM(D8:D38)</f>
        <v>-2790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+summary!P12</f>
        <v>7.87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3">
        <f>+D40*D39</f>
        <v>-21957.3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36860</v>
      </c>
      <c r="C42" s="153"/>
      <c r="D42" s="342">
        <v>-19466.22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36885</v>
      </c>
      <c r="C43" s="142"/>
      <c r="D43" s="253">
        <f>+D42+D41</f>
        <v>-41423.520000000004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56</v>
      </c>
      <c r="AC45" s="142"/>
      <c r="AD45" s="152">
        <f>+AD42+AD39</f>
        <v>89870</v>
      </c>
      <c r="AE45" s="144"/>
      <c r="AF45" s="153" t="s">
        <v>57</v>
      </c>
      <c r="AG45" s="142"/>
      <c r="AH45" s="152">
        <f>+AH42+AH39</f>
        <v>144671</v>
      </c>
      <c r="AI45" s="144"/>
      <c r="AJ45" s="153" t="s">
        <v>58</v>
      </c>
      <c r="AK45" s="142"/>
      <c r="AL45" s="159">
        <f>+AL42+AL39</f>
        <v>218762</v>
      </c>
      <c r="AM45" s="144"/>
      <c r="AN45" s="153" t="s">
        <v>59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386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60</v>
      </c>
      <c r="B80" s="157"/>
      <c r="C80" s="154"/>
      <c r="D80" s="142"/>
      <c r="E80" s="144"/>
      <c r="F80" s="144"/>
    </row>
    <row r="81" spans="1:9" x14ac:dyDescent="0.2">
      <c r="A81" s="161" t="s">
        <v>61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62</v>
      </c>
      <c r="D84" s="146"/>
      <c r="F84" s="146"/>
      <c r="G84" s="166" t="s">
        <v>15</v>
      </c>
      <c r="H84" s="166" t="s">
        <v>62</v>
      </c>
      <c r="I84" s="146"/>
    </row>
    <row r="85" spans="1:9" x14ac:dyDescent="0.2">
      <c r="A85" s="146"/>
      <c r="B85" s="116" t="s">
        <v>54</v>
      </c>
      <c r="C85" s="116" t="s">
        <v>17</v>
      </c>
      <c r="D85" s="167" t="s">
        <v>29</v>
      </c>
      <c r="F85" s="146"/>
      <c r="G85" s="116" t="s">
        <v>54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63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64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65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66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67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49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60</v>
      </c>
      <c r="B119" s="157"/>
      <c r="C119" s="154"/>
      <c r="D119" s="142"/>
      <c r="E119" s="144"/>
      <c r="F119" s="112"/>
    </row>
    <row r="120" spans="1:9" x14ac:dyDescent="0.2">
      <c r="A120" s="161" t="s">
        <v>61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62</v>
      </c>
      <c r="D124" s="145"/>
      <c r="E124" s="144"/>
      <c r="F124" s="112"/>
    </row>
    <row r="125" spans="1:9" x14ac:dyDescent="0.2">
      <c r="A125" s="145"/>
      <c r="B125" s="181" t="s">
        <v>54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68</v>
      </c>
    </row>
    <row r="167" spans="1:5" x14ac:dyDescent="0.2">
      <c r="B167" s="187">
        <v>-300000</v>
      </c>
      <c r="C167" s="181">
        <v>-450000</v>
      </c>
      <c r="D167" s="34" t="s">
        <v>69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70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71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72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73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21</vt:i4>
      </vt:variant>
    </vt:vector>
  </HeadingPairs>
  <TitlesOfParts>
    <vt:vector size="48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GPM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GPM!Print_Area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2000-12-27T17:43:41Z</cp:lastPrinted>
  <dcterms:created xsi:type="dcterms:W3CDTF">2000-03-28T16:52:23Z</dcterms:created>
  <dcterms:modified xsi:type="dcterms:W3CDTF">2014-09-05T10:01:13Z</dcterms:modified>
</cp:coreProperties>
</file>