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summary!$A$2:$I$57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D6" i="8"/>
  <c r="B7" i="8"/>
  <c r="D7" i="8"/>
  <c r="D18" i="8" s="1"/>
  <c r="D30" i="8" s="1"/>
  <c r="D31" i="8" s="1"/>
  <c r="D41" i="80" s="1"/>
  <c r="B8" i="8"/>
  <c r="D8" i="8" s="1"/>
  <c r="B9" i="8"/>
  <c r="D9" i="8" s="1"/>
  <c r="D10" i="8"/>
  <c r="D11" i="8"/>
  <c r="B12" i="8"/>
  <c r="D12" i="8" s="1"/>
  <c r="B13" i="8"/>
  <c r="D13" i="8" s="1"/>
  <c r="D14" i="8"/>
  <c r="D15" i="8"/>
  <c r="D16" i="8"/>
  <c r="B17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6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J3" i="80"/>
  <c r="K3" i="80"/>
  <c r="J4" i="80"/>
  <c r="J5" i="80"/>
  <c r="J52" i="80" s="1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J50" i="80"/>
  <c r="K50" i="80"/>
  <c r="J51" i="80"/>
  <c r="F59" i="80"/>
  <c r="F60" i="80"/>
  <c r="F61" i="80"/>
  <c r="F62" i="80"/>
  <c r="F66" i="80"/>
  <c r="F67" i="80"/>
  <c r="F68" i="80"/>
  <c r="F69" i="80"/>
  <c r="F70" i="80"/>
  <c r="F74" i="80"/>
  <c r="F75" i="80"/>
  <c r="F76" i="80"/>
  <c r="F77" i="80"/>
  <c r="F78" i="80"/>
  <c r="A123" i="80"/>
  <c r="D6" i="74"/>
  <c r="D7" i="74"/>
  <c r="D8" i="74"/>
  <c r="J8" i="74"/>
  <c r="L8" i="74" s="1"/>
  <c r="D9" i="74"/>
  <c r="J9" i="74"/>
  <c r="L9" i="74" s="1"/>
  <c r="D10" i="74"/>
  <c r="J10" i="74"/>
  <c r="L10" i="74" s="1"/>
  <c r="D11" i="74"/>
  <c r="H11" i="74"/>
  <c r="J11" i="74" s="1"/>
  <c r="L11" i="74" s="1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H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A45" i="74"/>
  <c r="A46" i="74"/>
  <c r="D8" i="72"/>
  <c r="D9" i="72"/>
  <c r="D10" i="72"/>
  <c r="D39" i="72" s="1"/>
  <c r="D42" i="72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/>
  <c r="M5" i="13" s="1"/>
  <c r="N11" i="13" s="1"/>
  <c r="N5" i="13"/>
  <c r="F6" i="13"/>
  <c r="I6" i="13"/>
  <c r="J6" i="13"/>
  <c r="K6" i="13"/>
  <c r="M6" i="13" s="1"/>
  <c r="N6" i="13"/>
  <c r="F7" i="13"/>
  <c r="I7" i="13"/>
  <c r="J7" i="13"/>
  <c r="K7" i="13"/>
  <c r="M7" i="13" s="1"/>
  <c r="N7" i="13"/>
  <c r="F8" i="13"/>
  <c r="I8" i="13"/>
  <c r="K8" i="13" s="1"/>
  <c r="M8" i="13" s="1"/>
  <c r="J8" i="13"/>
  <c r="N8" i="13"/>
  <c r="N10" i="13" s="1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F35" i="13" s="1"/>
  <c r="D47" i="13" s="1"/>
  <c r="D48" i="13" s="1"/>
  <c r="D25" i="80" s="1"/>
  <c r="C35" i="13"/>
  <c r="D35" i="13"/>
  <c r="E35" i="13"/>
  <c r="A46" i="13"/>
  <c r="D46" i="13"/>
  <c r="A47" i="13"/>
  <c r="F8" i="71"/>
  <c r="F9" i="71"/>
  <c r="F39" i="71" s="1"/>
  <c r="D49" i="71" s="1"/>
  <c r="D50" i="71" s="1"/>
  <c r="D39" i="80" s="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B73" i="73" s="1"/>
  <c r="D35" i="73"/>
  <c r="E35" i="73"/>
  <c r="E36" i="73" s="1"/>
  <c r="H35" i="73"/>
  <c r="F39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J15" i="20" s="1"/>
  <c r="B13" i="20"/>
  <c r="B14" i="20"/>
  <c r="B15" i="20"/>
  <c r="B16" i="20"/>
  <c r="B17" i="20"/>
  <c r="B19" i="20"/>
  <c r="B31" i="20"/>
  <c r="E38" i="20"/>
  <c r="E39" i="20"/>
  <c r="G39" i="20"/>
  <c r="G40" i="20" s="1"/>
  <c r="B78" i="73" s="1"/>
  <c r="B46" i="20"/>
  <c r="H39" i="20" s="1"/>
  <c r="H40" i="20" s="1"/>
  <c r="B47" i="20"/>
  <c r="C47" i="20" s="1"/>
  <c r="C48" i="20" s="1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AA37" i="11"/>
  <c r="AC37" i="11" s="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M48" i="11"/>
  <c r="AN48" i="11"/>
  <c r="AO48" i="11"/>
  <c r="AP48" i="11"/>
  <c r="J4" i="70"/>
  <c r="J5" i="70"/>
  <c r="J35" i="70" s="1"/>
  <c r="D47" i="70" s="1"/>
  <c r="D48" i="70" s="1"/>
  <c r="D32" i="8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40" i="80" s="1"/>
  <c r="D38" i="75"/>
  <c r="A45" i="75"/>
  <c r="A46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F36" i="5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8" i="89"/>
  <c r="A46" i="89"/>
  <c r="A47" i="89"/>
  <c r="D4" i="68"/>
  <c r="D35" i="68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/>
  <c r="S10" i="67"/>
  <c r="F11" i="67"/>
  <c r="J11" i="67"/>
  <c r="L11" i="67"/>
  <c r="N11" i="67" s="1"/>
  <c r="S11" i="67"/>
  <c r="U11" i="67" s="1"/>
  <c r="F12" i="67"/>
  <c r="J12" i="67"/>
  <c r="L12" i="67"/>
  <c r="N12" i="67" s="1"/>
  <c r="S12" i="67"/>
  <c r="U12" i="67" s="1"/>
  <c r="F13" i="67"/>
  <c r="J13" i="67"/>
  <c r="L13" i="67"/>
  <c r="N13" i="67" s="1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F5" i="7" s="1"/>
  <c r="AH5" i="7"/>
  <c r="F6" i="7"/>
  <c r="Z6" i="7"/>
  <c r="AD6" i="7"/>
  <c r="AF6" i="7" s="1"/>
  <c r="F7" i="7"/>
  <c r="Z7" i="7"/>
  <c r="AD7" i="7" s="1"/>
  <c r="AF7" i="7" s="1"/>
  <c r="F8" i="7"/>
  <c r="Z8" i="7"/>
  <c r="AD8" i="7"/>
  <c r="AF8" i="7" s="1"/>
  <c r="F9" i="7"/>
  <c r="Z9" i="7"/>
  <c r="AD9" i="7" s="1"/>
  <c r="AF9" i="7"/>
  <c r="F10" i="7"/>
  <c r="Z10" i="7"/>
  <c r="AD10" i="7" s="1"/>
  <c r="AF10" i="7" s="1"/>
  <c r="F11" i="7"/>
  <c r="Z11" i="7"/>
  <c r="AD11" i="7"/>
  <c r="AF11" i="7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/>
  <c r="F20" i="7"/>
  <c r="Z20" i="7"/>
  <c r="AD20" i="7" s="1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A45" i="16"/>
  <c r="A46" i="16"/>
  <c r="D6" i="81"/>
  <c r="D37" i="81" s="1"/>
  <c r="D46" i="81" s="1"/>
  <c r="D47" i="81" s="1"/>
  <c r="D75" i="80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A45" i="28"/>
  <c r="A46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 s="1"/>
  <c r="P12" i="9" s="1"/>
  <c r="H13" i="9"/>
  <c r="N13" i="9"/>
  <c r="P13" i="9" s="1"/>
  <c r="H14" i="9"/>
  <c r="L14" i="9"/>
  <c r="N14" i="9"/>
  <c r="P14" i="9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B5" i="64"/>
  <c r="D5" i="64" s="1"/>
  <c r="D6" i="64"/>
  <c r="B7" i="64"/>
  <c r="D7" i="64" s="1"/>
  <c r="D8" i="64"/>
  <c r="B9" i="64"/>
  <c r="D9" i="64" s="1"/>
  <c r="D10" i="64"/>
  <c r="B11" i="64"/>
  <c r="D11" i="64" s="1"/>
  <c r="D12" i="64"/>
  <c r="D13" i="64"/>
  <c r="A28" i="64"/>
  <c r="A29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J39" i="15" s="1"/>
  <c r="AJ45" i="15" s="1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Q39" i="15"/>
  <c r="AT39" i="15"/>
  <c r="AU39" i="15"/>
  <c r="A50" i="15"/>
  <c r="A51" i="15"/>
  <c r="AH52" i="15"/>
  <c r="AH54" i="15" s="1"/>
  <c r="AH56" i="15" s="1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F126" i="15"/>
  <c r="F127" i="15"/>
  <c r="F128" i="15"/>
  <c r="F129" i="15"/>
  <c r="F130" i="15"/>
  <c r="F131" i="15"/>
  <c r="B132" i="15"/>
  <c r="B133" i="15" s="1"/>
  <c r="F132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F169" i="15"/>
  <c r="F170" i="15"/>
  <c r="F171" i="15"/>
  <c r="F172" i="15"/>
  <c r="F173" i="15"/>
  <c r="B174" i="15"/>
  <c r="B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35" i="6" s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H5" i="63"/>
  <c r="D38" i="8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O28" i="63"/>
  <c r="D29" i="63"/>
  <c r="O29" i="63"/>
  <c r="D30" i="63"/>
  <c r="D31" i="63"/>
  <c r="D32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B87" i="63"/>
  <c r="B110" i="63"/>
  <c r="D6" i="90"/>
  <c r="D37" i="90" s="1"/>
  <c r="D47" i="90" s="1"/>
  <c r="D48" i="9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39" i="19" s="1"/>
  <c r="D49" i="19" s="1"/>
  <c r="D50" i="19" s="1"/>
  <c r="D19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L5" i="82"/>
  <c r="L11" i="82"/>
  <c r="L12" i="82"/>
  <c r="B16" i="82"/>
  <c r="C19" i="82" s="1"/>
  <c r="C16" i="82"/>
  <c r="D16" i="82"/>
  <c r="E19" i="82" s="1"/>
  <c r="E16" i="82"/>
  <c r="F19" i="82" s="1"/>
  <c r="F20" i="82" s="1"/>
  <c r="F16" i="82"/>
  <c r="G16" i="82"/>
  <c r="H19" i="82" s="1"/>
  <c r="H20" i="82" s="1"/>
  <c r="H16" i="82"/>
  <c r="I16" i="82"/>
  <c r="J16" i="82"/>
  <c r="K16" i="82"/>
  <c r="L18" i="82"/>
  <c r="L19" i="82" s="1"/>
  <c r="L20" i="82" s="1"/>
  <c r="L34" i="82" s="1"/>
  <c r="D19" i="82"/>
  <c r="G19" i="82"/>
  <c r="G20" i="82" s="1"/>
  <c r="I19" i="82"/>
  <c r="J20" i="82" s="1"/>
  <c r="J34" i="82" s="1"/>
  <c r="J19" i="82"/>
  <c r="K19" i="82"/>
  <c r="K40" i="82" s="1"/>
  <c r="K42" i="82" s="1"/>
  <c r="K20" i="82"/>
  <c r="B27" i="82"/>
  <c r="C30" i="82" s="1"/>
  <c r="C27" i="82"/>
  <c r="D27" i="82"/>
  <c r="E30" i="82" s="1"/>
  <c r="E31" i="82" s="1"/>
  <c r="E27" i="82"/>
  <c r="F27" i="82"/>
  <c r="G27" i="82"/>
  <c r="H30" i="82" s="1"/>
  <c r="H27" i="82"/>
  <c r="I27" i="82"/>
  <c r="J30" i="82" s="1"/>
  <c r="J31" i="82" s="1"/>
  <c r="J27" i="82"/>
  <c r="K30" i="82" s="1"/>
  <c r="K27" i="82"/>
  <c r="K38" i="82" s="1"/>
  <c r="L29" i="82"/>
  <c r="D30" i="82"/>
  <c r="D31" i="82" s="1"/>
  <c r="F30" i="82"/>
  <c r="F31" i="82" s="1"/>
  <c r="F34" i="82" s="1"/>
  <c r="G30" i="82"/>
  <c r="I30" i="82"/>
  <c r="L30" i="82"/>
  <c r="L31" i="82" s="1"/>
  <c r="H38" i="82"/>
  <c r="J38" i="82"/>
  <c r="J4" i="2"/>
  <c r="J5" i="2"/>
  <c r="J6" i="2"/>
  <c r="P6" i="2"/>
  <c r="R6" i="2" s="1"/>
  <c r="J7" i="2"/>
  <c r="P7" i="2"/>
  <c r="R7" i="2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/>
  <c r="J16" i="2"/>
  <c r="P16" i="2"/>
  <c r="R16" i="2"/>
  <c r="J17" i="2"/>
  <c r="N17" i="2"/>
  <c r="O17" i="2"/>
  <c r="P17" i="2" s="1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37" i="83" s="1"/>
  <c r="D49" i="83" s="1"/>
  <c r="D50" i="83" s="1"/>
  <c r="D35" i="80" s="1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A48" i="83"/>
  <c r="A49" i="83"/>
  <c r="F40" i="6" l="1"/>
  <c r="D46" i="6"/>
  <c r="D47" i="6" s="1"/>
  <c r="D60" i="80" s="1"/>
  <c r="H40" i="82"/>
  <c r="H31" i="82"/>
  <c r="H34" i="82" s="1"/>
  <c r="D21" i="80"/>
  <c r="F40" i="71"/>
  <c r="F41" i="71" s="1"/>
  <c r="F43" i="71" s="1"/>
  <c r="F38" i="22"/>
  <c r="D13" i="78"/>
  <c r="D14" i="78" s="1"/>
  <c r="D18" i="78" s="1"/>
  <c r="D19" i="65"/>
  <c r="D20" i="65" s="1"/>
  <c r="D24" i="65" s="1"/>
  <c r="D38" i="77"/>
  <c r="P38" i="88"/>
  <c r="D38" i="79"/>
  <c r="F40" i="18"/>
  <c r="F41" i="18" s="1"/>
  <c r="F43" i="18" s="1"/>
  <c r="D38" i="74"/>
  <c r="F37" i="13"/>
  <c r="F38" i="13" s="1"/>
  <c r="F41" i="13" s="1"/>
  <c r="F38" i="87"/>
  <c r="D18" i="64"/>
  <c r="D19" i="64" s="1"/>
  <c r="D23" i="64" s="1"/>
  <c r="B32" i="20"/>
  <c r="C32" i="20" s="1"/>
  <c r="C33" i="20" s="1"/>
  <c r="C78" i="73" s="1"/>
  <c r="H36" i="9"/>
  <c r="H37" i="9" s="1"/>
  <c r="H39" i="9" s="1"/>
  <c r="D38" i="90"/>
  <c r="D39" i="90" s="1"/>
  <c r="D41" i="90" s="1"/>
  <c r="B50" i="63" s="1"/>
  <c r="C50" i="63" s="1"/>
  <c r="V38" i="83"/>
  <c r="V39" i="83" s="1"/>
  <c r="V43" i="83" s="1"/>
  <c r="J36" i="70"/>
  <c r="J37" i="70" s="1"/>
  <c r="J41" i="70" s="1"/>
  <c r="D40" i="19"/>
  <c r="D41" i="19" s="1"/>
  <c r="D43" i="19" s="1"/>
  <c r="AV39" i="15"/>
  <c r="D17" i="64"/>
  <c r="D29" i="64" s="1"/>
  <c r="D30" i="64" s="1"/>
  <c r="D31" i="80" s="1"/>
  <c r="P16" i="9"/>
  <c r="J35" i="2"/>
  <c r="F101" i="15"/>
  <c r="C101" i="15" s="1"/>
  <c r="AR39" i="15"/>
  <c r="AR45" i="15" s="1"/>
  <c r="I20" i="82"/>
  <c r="R21" i="2"/>
  <c r="D39" i="76"/>
  <c r="D41" i="76" s="1"/>
  <c r="D41" i="81"/>
  <c r="AI5" i="7"/>
  <c r="AH6" i="7"/>
  <c r="S16" i="67"/>
  <c r="U10" i="67"/>
  <c r="U16" i="67" s="1"/>
  <c r="F36" i="73"/>
  <c r="J35" i="73"/>
  <c r="J36" i="73" s="1"/>
  <c r="I38" i="82"/>
  <c r="K31" i="82"/>
  <c r="K34" i="82" s="1"/>
  <c r="D39" i="86"/>
  <c r="D41" i="86" s="1"/>
  <c r="N16" i="67"/>
  <c r="F37" i="22"/>
  <c r="D47" i="22" s="1"/>
  <c r="D48" i="22" s="1"/>
  <c r="D27" i="80" s="1"/>
  <c r="AL48" i="11"/>
  <c r="D48" i="72"/>
  <c r="D49" i="72" s="1"/>
  <c r="D76" i="80" s="1"/>
  <c r="L17" i="74"/>
  <c r="D46" i="16"/>
  <c r="D47" i="16" s="1"/>
  <c r="D77" i="80" s="1"/>
  <c r="D40" i="16"/>
  <c r="M23" i="77"/>
  <c r="D46" i="68"/>
  <c r="D47" i="68" s="1"/>
  <c r="D59" i="80" s="1"/>
  <c r="D40" i="68"/>
  <c r="D37" i="89"/>
  <c r="D47" i="89" s="1"/>
  <c r="D48" i="89" s="1"/>
  <c r="J40" i="17"/>
  <c r="H36" i="11"/>
  <c r="H39" i="11" s="1"/>
  <c r="C29" i="63" s="1"/>
  <c r="AC8" i="11"/>
  <c r="AN8" i="11"/>
  <c r="D20" i="82"/>
  <c r="D34" i="82" s="1"/>
  <c r="E20" i="82"/>
  <c r="E34" i="82" s="1"/>
  <c r="K114" i="15"/>
  <c r="AF39" i="15"/>
  <c r="AF45" i="15" s="1"/>
  <c r="C77" i="73"/>
  <c r="B9" i="63"/>
  <c r="C9" i="63" s="1"/>
  <c r="C32" i="63"/>
  <c r="B32" i="63" s="1"/>
  <c r="B76" i="80"/>
  <c r="C76" i="80" s="1"/>
  <c r="E76" i="80" s="1"/>
  <c r="D37" i="12"/>
  <c r="G31" i="82"/>
  <c r="G34" i="82" s="1"/>
  <c r="B77" i="73"/>
  <c r="D46" i="28"/>
  <c r="D47" i="28" s="1"/>
  <c r="D62" i="80" s="1"/>
  <c r="D40" i="28"/>
  <c r="J39" i="17"/>
  <c r="D48" i="17" s="1"/>
  <c r="D49" i="17" s="1"/>
  <c r="D29" i="80" s="1"/>
  <c r="F133" i="15"/>
  <c r="C133" i="15" s="1"/>
  <c r="F39" i="15"/>
  <c r="S12" i="2"/>
  <c r="J40" i="82"/>
  <c r="P21" i="2"/>
  <c r="P23" i="2" s="1"/>
  <c r="I40" i="82"/>
  <c r="I31" i="82"/>
  <c r="I34" i="82" s="1"/>
  <c r="D37" i="76"/>
  <c r="D47" i="76" s="1"/>
  <c r="D48" i="76" s="1"/>
  <c r="D33" i="80" s="1"/>
  <c r="F36" i="7"/>
  <c r="E48" i="7" s="1"/>
  <c r="E49" i="7" s="1"/>
  <c r="D70" i="80" s="1"/>
  <c r="C45" i="11"/>
  <c r="C46" i="11" s="1"/>
  <c r="C39" i="11"/>
  <c r="M9" i="74"/>
  <c r="M10" i="74" s="1"/>
  <c r="M11" i="74" s="1"/>
  <c r="M12" i="74" s="1"/>
  <c r="M13" i="74" s="1"/>
  <c r="M14" i="74" s="1"/>
  <c r="D37" i="77"/>
  <c r="D49" i="77" s="1"/>
  <c r="D50" i="77" s="1"/>
  <c r="D14" i="80" s="1"/>
  <c r="B18" i="20"/>
  <c r="F35" i="73"/>
  <c r="M13" i="13"/>
  <c r="J17" i="74"/>
  <c r="P37" i="88"/>
  <c r="D47" i="88" s="1"/>
  <c r="D48" i="88" s="1"/>
  <c r="D38" i="80" s="1"/>
  <c r="J19" i="74"/>
  <c r="J24" i="74" s="1"/>
  <c r="K113" i="15"/>
  <c r="AF19" i="7"/>
  <c r="AH19" i="7" s="1"/>
  <c r="AG19" i="7"/>
  <c r="AG20" i="7" s="1"/>
  <c r="AG21" i="7" s="1"/>
  <c r="AM37" i="11"/>
  <c r="F37" i="87"/>
  <c r="D47" i="87" s="1"/>
  <c r="D48" i="87" s="1"/>
  <c r="D37" i="80" s="1"/>
  <c r="K13" i="13"/>
  <c r="D48" i="5"/>
  <c r="D49" i="5" s="1"/>
  <c r="D78" i="80" s="1"/>
  <c r="F42" i="5"/>
  <c r="D39" i="75"/>
  <c r="D41" i="75" s="1"/>
  <c r="E37" i="11"/>
  <c r="D37" i="85"/>
  <c r="D47" i="85" s="1"/>
  <c r="D48" i="85" s="1"/>
  <c r="D34" i="80" s="1"/>
  <c r="D37" i="86"/>
  <c r="D47" i="86" s="1"/>
  <c r="D48" i="86" s="1"/>
  <c r="D36" i="80" s="1"/>
  <c r="D37" i="74"/>
  <c r="D46" i="74" s="1"/>
  <c r="D47" i="74" s="1"/>
  <c r="D12" i="80" s="1"/>
  <c r="AN39" i="15"/>
  <c r="F41" i="7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18" i="65"/>
  <c r="D33" i="65" s="1"/>
  <c r="D34" i="65" s="1"/>
  <c r="D24" i="80" s="1"/>
  <c r="L16" i="67"/>
  <c r="F34" i="67"/>
  <c r="D37" i="79"/>
  <c r="D47" i="79" s="1"/>
  <c r="D48" i="79" s="1"/>
  <c r="D13" i="80" s="1"/>
  <c r="D20" i="8"/>
  <c r="D24" i="8" s="1"/>
  <c r="H35" i="9"/>
  <c r="E47" i="9" s="1"/>
  <c r="E48" i="9" s="1"/>
  <c r="D30" i="80" s="1"/>
  <c r="D39" i="89"/>
  <c r="D41" i="89" s="1"/>
  <c r="B42" i="63" s="1"/>
  <c r="C42" i="63" s="1"/>
  <c r="D38" i="69"/>
  <c r="D48" i="69" s="1"/>
  <c r="D49" i="69" s="1"/>
  <c r="D20" i="80" s="1"/>
  <c r="AP47" i="11"/>
  <c r="D38" i="85"/>
  <c r="C37" i="73"/>
  <c r="E37" i="73" l="1"/>
  <c r="E38" i="73" s="1"/>
  <c r="C38" i="73"/>
  <c r="C40" i="73" s="1"/>
  <c r="B10" i="63"/>
  <c r="C10" i="63" s="1"/>
  <c r="B24" i="80"/>
  <c r="B70" i="80"/>
  <c r="C70" i="80" s="1"/>
  <c r="E70" i="80" s="1"/>
  <c r="C31" i="63"/>
  <c r="B31" i="63" s="1"/>
  <c r="L26" i="82"/>
  <c r="AR51" i="15"/>
  <c r="AR48" i="15"/>
  <c r="B35" i="80"/>
  <c r="C35" i="80" s="1"/>
  <c r="E35" i="80" s="1"/>
  <c r="B49" i="63"/>
  <c r="C49" i="63" s="1"/>
  <c r="B13" i="63"/>
  <c r="C13" i="63" s="1"/>
  <c r="B26" i="80"/>
  <c r="C26" i="80" s="1"/>
  <c r="E26" i="80" s="1"/>
  <c r="AN45" i="15"/>
  <c r="B102" i="15"/>
  <c r="F46" i="11"/>
  <c r="D69" i="80" s="1"/>
  <c r="D61" i="80"/>
  <c r="F43" i="15"/>
  <c r="D51" i="15"/>
  <c r="D52" i="15" s="1"/>
  <c r="D67" i="80" s="1"/>
  <c r="D46" i="12"/>
  <c r="D47" i="12" s="1"/>
  <c r="D68" i="80" s="1"/>
  <c r="D40" i="12"/>
  <c r="D63" i="80"/>
  <c r="AI6" i="7"/>
  <c r="AH7" i="7"/>
  <c r="D39" i="79"/>
  <c r="D41" i="79" s="1"/>
  <c r="B61" i="80"/>
  <c r="C61" i="80" s="1"/>
  <c r="E61" i="80" s="1"/>
  <c r="L10" i="82"/>
  <c r="D16" i="80"/>
  <c r="B30" i="80"/>
  <c r="C30" i="80" s="1"/>
  <c r="E30" i="80" s="1"/>
  <c r="B45" i="63"/>
  <c r="C45" i="63" s="1"/>
  <c r="P39" i="88"/>
  <c r="P41" i="88" s="1"/>
  <c r="F38" i="67"/>
  <c r="D44" i="67"/>
  <c r="D45" i="67" s="1"/>
  <c r="D74" i="80" s="1"/>
  <c r="D79" i="80" s="1"/>
  <c r="B62" i="80"/>
  <c r="C62" i="80" s="1"/>
  <c r="E62" i="80" s="1"/>
  <c r="L9" i="82"/>
  <c r="C22" i="63"/>
  <c r="B22" i="63" s="1"/>
  <c r="B33" i="80"/>
  <c r="C33" i="80" s="1"/>
  <c r="E33" i="80" s="1"/>
  <c r="B30" i="63"/>
  <c r="C30" i="63" s="1"/>
  <c r="B59" i="80"/>
  <c r="L7" i="82"/>
  <c r="C16" i="63"/>
  <c r="B16" i="63" s="1"/>
  <c r="B41" i="80"/>
  <c r="C41" i="80" s="1"/>
  <c r="E41" i="80" s="1"/>
  <c r="B20" i="63"/>
  <c r="C20" i="63" s="1"/>
  <c r="B36" i="80"/>
  <c r="C36" i="80" s="1"/>
  <c r="E36" i="80" s="1"/>
  <c r="B24" i="63"/>
  <c r="C24" i="63" s="1"/>
  <c r="J40" i="2"/>
  <c r="D47" i="2"/>
  <c r="D48" i="2" s="1"/>
  <c r="D66" i="80" s="1"/>
  <c r="L14" i="82"/>
  <c r="B77" i="80"/>
  <c r="C77" i="80" s="1"/>
  <c r="E77" i="80" s="1"/>
  <c r="C48" i="63"/>
  <c r="B48" i="63" s="1"/>
  <c r="B75" i="80"/>
  <c r="C75" i="80" s="1"/>
  <c r="E75" i="80" s="1"/>
  <c r="F41" i="81"/>
  <c r="C46" i="63"/>
  <c r="B46" i="63" s="1"/>
  <c r="L13" i="82"/>
  <c r="D39" i="77"/>
  <c r="D41" i="77" s="1"/>
  <c r="C19" i="20"/>
  <c r="C20" i="20" s="1"/>
  <c r="F39" i="20"/>
  <c r="F40" i="20" s="1"/>
  <c r="B11" i="63"/>
  <c r="C11" i="63" s="1"/>
  <c r="B31" i="80"/>
  <c r="C31" i="80" s="1"/>
  <c r="E31" i="80" s="1"/>
  <c r="F39" i="87"/>
  <c r="F41" i="87" s="1"/>
  <c r="B40" i="80"/>
  <c r="C40" i="80" s="1"/>
  <c r="E40" i="80" s="1"/>
  <c r="B27" i="63"/>
  <c r="C27" i="63" s="1"/>
  <c r="J41" i="17"/>
  <c r="J43" i="17" s="1"/>
  <c r="F37" i="73"/>
  <c r="D40" i="69"/>
  <c r="D42" i="69" s="1"/>
  <c r="B19" i="80"/>
  <c r="B51" i="63"/>
  <c r="C51" i="63" s="1"/>
  <c r="B14" i="63"/>
  <c r="C14" i="63" s="1"/>
  <c r="B25" i="80"/>
  <c r="C25" i="80" s="1"/>
  <c r="E25" i="80" s="1"/>
  <c r="F39" i="22"/>
  <c r="F41" i="22" s="1"/>
  <c r="C17" i="63"/>
  <c r="B17" i="63" s="1"/>
  <c r="B60" i="80"/>
  <c r="C60" i="80" s="1"/>
  <c r="E60" i="80" s="1"/>
  <c r="L8" i="82"/>
  <c r="D39" i="85"/>
  <c r="D41" i="85" s="1"/>
  <c r="E45" i="11"/>
  <c r="F45" i="11" s="1"/>
  <c r="E39" i="11"/>
  <c r="B29" i="63" s="1"/>
  <c r="AH20" i="7"/>
  <c r="AI19" i="7"/>
  <c r="B74" i="73"/>
  <c r="K36" i="73"/>
  <c r="K49" i="73" s="1"/>
  <c r="B40" i="63"/>
  <c r="C40" i="63" s="1"/>
  <c r="B15" i="80"/>
  <c r="C15" i="80" s="1"/>
  <c r="E15" i="80" s="1"/>
  <c r="B78" i="80"/>
  <c r="C78" i="80" s="1"/>
  <c r="E78" i="80" s="1"/>
  <c r="L15" i="82"/>
  <c r="C35" i="63"/>
  <c r="B35" i="63" s="1"/>
  <c r="B32" i="80"/>
  <c r="C32" i="80" s="1"/>
  <c r="E32" i="80" s="1"/>
  <c r="B47" i="63"/>
  <c r="C47" i="63" s="1"/>
  <c r="K19" i="74"/>
  <c r="L19" i="74" s="1"/>
  <c r="L24" i="74" s="1"/>
  <c r="L26" i="74" s="1"/>
  <c r="D39" i="74"/>
  <c r="D41" i="74" s="1"/>
  <c r="B39" i="80"/>
  <c r="C39" i="80" s="1"/>
  <c r="E39" i="80" s="1"/>
  <c r="B33" i="63"/>
  <c r="C33" i="63" s="1"/>
  <c r="B103" i="15" l="1"/>
  <c r="B105" i="15" s="1"/>
  <c r="F105" i="15" s="1"/>
  <c r="F102" i="15"/>
  <c r="F103" i="15" s="1"/>
  <c r="C103" i="15" s="1"/>
  <c r="B21" i="63"/>
  <c r="C21" i="63" s="1"/>
  <c r="B34" i="80"/>
  <c r="C34" i="80" s="1"/>
  <c r="E34" i="80" s="1"/>
  <c r="B21" i="80"/>
  <c r="C19" i="80"/>
  <c r="B26" i="63"/>
  <c r="C26" i="63" s="1"/>
  <c r="B12" i="80"/>
  <c r="B20" i="80"/>
  <c r="C20" i="80" s="1"/>
  <c r="E20" i="80" s="1"/>
  <c r="B34" i="63"/>
  <c r="C34" i="63" s="1"/>
  <c r="B68" i="80"/>
  <c r="C68" i="80" s="1"/>
  <c r="E68" i="80" s="1"/>
  <c r="C44" i="63"/>
  <c r="B44" i="63" s="1"/>
  <c r="L24" i="82"/>
  <c r="B37" i="80"/>
  <c r="C37" i="80" s="1"/>
  <c r="E37" i="80" s="1"/>
  <c r="B43" i="63"/>
  <c r="C43" i="63" s="1"/>
  <c r="B12" i="63"/>
  <c r="C12" i="63" s="1"/>
  <c r="B29" i="80"/>
  <c r="C29" i="80" s="1"/>
  <c r="E29" i="80" s="1"/>
  <c r="L16" i="82"/>
  <c r="B74" i="80"/>
  <c r="C18" i="63"/>
  <c r="B18" i="63" s="1"/>
  <c r="L25" i="82"/>
  <c r="B69" i="80"/>
  <c r="C69" i="80" s="1"/>
  <c r="E69" i="80" s="1"/>
  <c r="C24" i="80"/>
  <c r="C79" i="73"/>
  <c r="B8" i="63"/>
  <c r="C57" i="20"/>
  <c r="F51" i="73" s="1"/>
  <c r="B27" i="80"/>
  <c r="C27" i="80" s="1"/>
  <c r="E27" i="80" s="1"/>
  <c r="B15" i="63"/>
  <c r="C15" i="63" s="1"/>
  <c r="B14" i="80"/>
  <c r="C14" i="80" s="1"/>
  <c r="E14" i="80" s="1"/>
  <c r="B41" i="63"/>
  <c r="C41" i="63" s="1"/>
  <c r="D71" i="80"/>
  <c r="D81" i="80" s="1"/>
  <c r="C59" i="80"/>
  <c r="B63" i="80"/>
  <c r="B38" i="80"/>
  <c r="C38" i="80" s="1"/>
  <c r="E38" i="80" s="1"/>
  <c r="B25" i="63"/>
  <c r="C25" i="63" s="1"/>
  <c r="B13" i="80"/>
  <c r="C13" i="80" s="1"/>
  <c r="E13" i="80" s="1"/>
  <c r="B28" i="63"/>
  <c r="C28" i="63" s="1"/>
  <c r="C23" i="63"/>
  <c r="B23" i="63" s="1"/>
  <c r="B67" i="80"/>
  <c r="C67" i="80" s="1"/>
  <c r="E67" i="80" s="1"/>
  <c r="B39" i="63"/>
  <c r="C73" i="73"/>
  <c r="B79" i="73"/>
  <c r="B81" i="73" s="1"/>
  <c r="I40" i="20"/>
  <c r="I57" i="20" s="1"/>
  <c r="M51" i="73" s="1"/>
  <c r="M53" i="73" s="1"/>
  <c r="D28" i="80" s="1"/>
  <c r="AH21" i="7"/>
  <c r="AI21" i="7" s="1"/>
  <c r="AI20" i="7"/>
  <c r="B66" i="80"/>
  <c r="C19" i="63"/>
  <c r="B19" i="63" s="1"/>
  <c r="L23" i="82"/>
  <c r="AH8" i="7"/>
  <c r="AI7" i="7"/>
  <c r="E40" i="73"/>
  <c r="F38" i="73"/>
  <c r="L27" i="82" l="1"/>
  <c r="L38" i="82" s="1"/>
  <c r="C74" i="73"/>
  <c r="F40" i="73"/>
  <c r="F49" i="73" s="1"/>
  <c r="F53" i="73" s="1"/>
  <c r="B28" i="80" s="1"/>
  <c r="D44" i="80"/>
  <c r="D42" i="80"/>
  <c r="C21" i="80"/>
  <c r="E19" i="80"/>
  <c r="E21" i="80" s="1"/>
  <c r="B52" i="63"/>
  <c r="C39" i="63"/>
  <c r="C52" i="63" s="1"/>
  <c r="B36" i="63"/>
  <c r="C8" i="63"/>
  <c r="C36" i="63" s="1"/>
  <c r="I8" i="63"/>
  <c r="E59" i="80"/>
  <c r="C63" i="80"/>
  <c r="AH9" i="7"/>
  <c r="AI8" i="7"/>
  <c r="C66" i="80"/>
  <c r="B71" i="80"/>
  <c r="B81" i="80" s="1"/>
  <c r="C81" i="73"/>
  <c r="C82" i="73" s="1"/>
  <c r="C74" i="80"/>
  <c r="B79" i="80"/>
  <c r="E24" i="80"/>
  <c r="B16" i="80"/>
  <c r="C12" i="80"/>
  <c r="C28" i="80" l="1"/>
  <c r="B42" i="80"/>
  <c r="B44" i="80"/>
  <c r="C16" i="80"/>
  <c r="C44" i="80"/>
  <c r="B85" i="80" s="1"/>
  <c r="E12" i="80"/>
  <c r="E74" i="80"/>
  <c r="E79" i="80" s="1"/>
  <c r="C79" i="80"/>
  <c r="E63" i="80"/>
  <c r="E81" i="80" s="1"/>
  <c r="C71" i="80"/>
  <c r="C81" i="80" s="1"/>
  <c r="B84" i="80" s="1"/>
  <c r="E66" i="80"/>
  <c r="E71" i="80" s="1"/>
  <c r="C54" i="63"/>
  <c r="AH10" i="7"/>
  <c r="AI9" i="7"/>
  <c r="B54" i="63"/>
  <c r="E16" i="80" l="1"/>
  <c r="E44" i="80"/>
  <c r="E28" i="80"/>
  <c r="E42" i="80" s="1"/>
  <c r="C42" i="80"/>
  <c r="AI10" i="7"/>
  <c r="AH11" i="7"/>
  <c r="AI11" i="7" l="1"/>
  <c r="AH12" i="7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<sst xmlns="http://schemas.openxmlformats.org/spreadsheetml/2006/main" count="923" uniqueCount="324">
  <si>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</si>
  <si>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</si>
  <si>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</si>
  <si>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</si>
  <si>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</si>
  <si>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</si>
  <si>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</si>
  <si>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</si>
  <si>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</si>
  <si>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</si>
  <si>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</si>
  <si>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</si>
  <si>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</si>
  <si>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</si>
  <si>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</si>
  <si>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</si>
  <si>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</si>
  <si>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</si>
  <si>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</si>
  <si>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</si>
  <si>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</si>
  <si>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</si>
  <si>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</si>
  <si>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</si>
  <si>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</si>
  <si>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</si>
  <si>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</si>
  <si>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</si>
  <si>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</si>
  <si>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</si>
  <si>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</si>
  <si>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</si>
  <si>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</si>
  <si>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</si>
  <si>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</si>
  <si>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</si>
  <si>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</si>
  <si>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</si>
  <si>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</si>
  <si>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</si>
  <si>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</si>
  <si>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</si>
  <si>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</si>
  <si>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</si>
  <si>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</si>
  <si>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</si>
  <si>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</si>
  <si>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</si>
  <si>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</si>
  <si>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</si>
  <si>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</si>
  <si>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</si>
  <si>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</si>
  <si>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</si>
  <si>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</si>
  <si>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</si>
  <si>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</si>
  <si>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</si>
  <si>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</si>
  <si>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</si>
  <si>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</si>
  <si>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</si>
  <si>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</si>
  <si>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</si>
  <si>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</si>
  <si>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</si>
  <si>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</si>
  <si>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</si>
  <si>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</si>
  <si>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</si>
  <si>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</si>
  <si>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</si>
  <si>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</si>
  <si>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</si>
  <si>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</si>
  <si>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</si>
  <si>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</si>
  <si>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</si>
  <si>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</si>
  <si>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</si>
  <si>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</si>
  <si>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</si>
  <si>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</si>
  <si>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</si>
  <si>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</si>
  <si>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</si>
  <si>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</si>
  <si>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</si>
  <si>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</si>
  <si>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</si>
  <si>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</si>
  <si>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</si>
  <si>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</si>
  <si>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</si>
  <si>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</si>
  <si>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</si>
  <si>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</si>
  <si>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</si>
  <si>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</si>
  <si>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</si>
  <si>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</si>
  <si>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</si>
  <si>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</si>
  <si>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</si>
  <si>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</si>
  <si>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</si>
  <si>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</si>
  <si>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</si>
  <si>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</si>
  <si>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</si>
  <si>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</si>
  <si>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</si>
  <si>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</si>
  <si>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</si>
  <si>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</si>
  <si>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</si>
  <si>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</si>
  <si>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</si>
  <si>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</si>
  <si>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</si>
  <si>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</si>
  <si>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</si>
  <si>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</si>
  <si>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</si>
  <si>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</si>
  <si>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</si>
  <si>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</si>
  <si>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</si>
  <si>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</si>
  <si>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</si>
  <si>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</si>
  <si>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</si>
  <si>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</si>
  <si>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</si>
  <si>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</si>
  <si>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</si>
  <si>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</si>
  <si>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</si>
  <si>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</si>
  <si>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</si>
  <si>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</si>
  <si>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</si>
  <si>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</si>
  <si>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</si>
  <si>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</si>
  <si>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</si>
  <si>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</si>
  <si>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</si>
  <si>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</si>
  <si>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</si>
  <si>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</si>
  <si>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</si>
  <si>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</si>
  <si>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</si>
  <si>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</si>
  <si>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</si>
  <si>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</si>
  <si>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</si>
  <si>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</si>
  <si>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</si>
  <si>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</si>
  <si>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</si>
  <si>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</si>
  <si>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</si>
  <si>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</si>
  <si>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</si>
  <si>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</si>
  <si>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</si>
  <si>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</si>
  <si>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</si>
  <si>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</si>
  <si>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</si>
  <si>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</si>
  <si>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</si>
  <si>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</si>
  <si>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</si>
  <si>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</si>
  <si>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</si>
  <si>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</si>
  <si>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</si>
  <si>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</si>
  <si>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</si>
  <si>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</si>
  <si>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</si>
  <si>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</si>
  <si>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</si>
  <si>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</si>
  <si>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</si>
  <si>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</si>
  <si>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</si>
  <si>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</si>
  <si>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</si>
  <si>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</si>
  <si>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</si>
  <si>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</si>
  <si>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</si>
  <si>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</si>
  <si>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</si>
  <si>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</si>
  <si>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</si>
  <si>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</si>
  <si>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</si>
  <si>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</si>
  <si>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</si>
  <si>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</si>
  <si>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</si>
  <si>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</si>
  <si>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</si>
  <si>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</si>
  <si>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</si>
  <si>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</si>
  <si>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</si>
  <si>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</si>
  <si>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</si>
  <si>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</si>
  <si>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</si>
  <si>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</si>
  <si>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</si>
  <si>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</si>
  <si>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</si>
  <si>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</si>
  <si>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</si>
  <si>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</si>
  <si>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</si>
  <si>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</si>
  <si>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</si>
  <si>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</si>
  <si>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</si>
  <si>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</si>
  <si>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</si>
  <si>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</si>
  <si>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</si>
  <si>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</si>
  <si>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</si>
  <si>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</si>
  <si>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</si>
  <si>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</si>
  <si>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</si>
  <si>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</si>
  <si>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</si>
  <si>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</si>
  <si>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</si>
  <si>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</si>
  <si>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</si>
  <si>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</si>
  <si>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</si>
  <si>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</si>
  <si>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</si>
  <si>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</si>
  <si>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</si>
  <si>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</si>
  <si>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</si>
  <si>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</si>
  <si>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</si>
  <si>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</si>
  <si>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</si>
  <si>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</si>
  <si>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</si>
  <si>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</si>
  <si>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</si>
  <si>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</si>
  <si>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</si>
  <si>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</si>
  <si>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</si>
  <si>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</si>
  <si>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</si>
  <si>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</si>
  <si>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</si>
  <si>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</si>
  <si>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</si>
  <si>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</si>
  <si>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</si>
  <si>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</si>
  <si>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</si>
  <si>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</si>
  <si>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</si>
  <si>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</si>
  <si>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</si>
  <si>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</si>
  <si>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</si>
  <si>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Williams is reviewing a cash out for the 11/30/01 balance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</si>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</sst>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7" fontId="25" fillId="6" borderId="1" xfId="0" applyNumberFormat="1" applyFont="1" applyFill="1" applyBorder="1"/>
    <xf numFmtId="7" fontId="25" fillId="6" borderId="0" xfId="0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166" fontId="25" fillId="7" borderId="0" xfId="1" applyNumberFormat="1" applyFont="1" applyFill="1" applyBorder="1"/>
    <xf numFmtId="5" fontId="22" fillId="7" borderId="0" xfId="1" applyNumberFormat="1" applyFont="1" applyFill="1"/>
    <xf numFmtId="37" fontId="25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37" fontId="25" fillId="7" borderId="0" xfId="1" applyNumberFormat="1" applyFont="1" applyFill="1" applyBorder="1"/>
    <xf numFmtId="166" fontId="25" fillId="7" borderId="1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7" fontId="27" fillId="7" borderId="0" xfId="1" applyNumberFormat="1" applyFont="1" applyFill="1"/>
    <xf numFmtId="166" fontId="27" fillId="7" borderId="0" xfId="1" applyNumberFormat="1" applyFont="1" applyFill="1"/>
    <xf numFmtId="5" fontId="9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186" fontId="3" fillId="0" borderId="0" xfId="1" applyNumberFormat="1" applyFont="1"/>
    <xf numFmtId="7" fontId="36" fillId="7" borderId="1" xfId="1" applyNumberFormat="1" applyFont="1" applyFill="1" applyBorder="1"/>
    <xf numFmtId="7" fontId="25" fillId="7" borderId="1" xfId="0" applyNumberFormat="1" applyFont="1" applyFill="1" applyBorder="1"/>
    <xf numFmtId="5" fontId="34" fillId="7" borderId="1" xfId="0" applyNumberFormat="1" applyFont="1" applyFill="1" applyBorder="1"/>
    <xf numFmtId="5" fontId="25" fillId="7" borderId="1" xfId="0" applyNumberFormat="1" applyFont="1" applyFill="1" applyBorder="1"/>
    <xf numFmtId="7" fontId="3" fillId="7" borderId="0" xfId="0" applyNumberFormat="1" applyFont="1" applyFill="1"/>
    <xf numFmtId="7" fontId="25" fillId="7" borderId="0" xfId="0" applyNumberFormat="1" applyFont="1" applyFill="1"/>
    <xf numFmtId="5" fontId="3" fillId="7" borderId="0" xfId="1" applyNumberFormat="1" applyFont="1" applyFill="1"/>
    <xf numFmtId="5" fontId="25" fillId="7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7" borderId="0" xfId="0" applyNumberFormat="1" applyFont="1" applyFill="1"/>
    <xf numFmtId="5" fontId="25" fillId="7" borderId="0" xfId="0" applyNumberFormat="1" applyFont="1" applyFill="1" applyBorder="1"/>
    <xf numFmtId="7" fontId="9" fillId="0" borderId="0" xfId="1" quotePrefix="1" applyNumberFormat="1" applyFont="1"/>
    <xf numFmtId="5" fontId="25" fillId="7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7" borderId="0" xfId="1" applyNumberFormat="1" applyFont="1" applyFill="1"/>
    <xf numFmtId="5" fontId="2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2.04</v>
          </cell>
          <cell r="K39">
            <v>1.99</v>
          </cell>
          <cell r="M39">
            <v>2.02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0" t="s">
        <v>79</v>
      </c>
      <c r="J2" s="403"/>
      <c r="K2" s="32"/>
    </row>
    <row r="3" spans="1:32" ht="12.95" customHeight="1" x14ac:dyDescent="0.2">
      <c r="D3" s="7"/>
      <c r="I3" s="401" t="s">
        <v>30</v>
      </c>
      <c r="J3" s="404">
        <f>+'[2]1001'!$K$39</f>
        <v>1.99</v>
      </c>
      <c r="K3" s="421">
        <f ca="1">NOW()</f>
        <v>41887.501028240738</v>
      </c>
    </row>
    <row r="4" spans="1:32" ht="12.95" customHeight="1" x14ac:dyDescent="0.2">
      <c r="A4" s="34" t="s">
        <v>148</v>
      </c>
      <c r="C4" s="34" t="s">
        <v>5</v>
      </c>
      <c r="D4" s="7"/>
      <c r="I4" s="402" t="s">
        <v>31</v>
      </c>
      <c r="J4" s="404">
        <f>+'[2]1001'!$M$39</f>
        <v>2.02</v>
      </c>
      <c r="K4" s="32"/>
    </row>
    <row r="5" spans="1:32" ht="12.95" customHeight="1" x14ac:dyDescent="0.2">
      <c r="D5" s="7"/>
      <c r="I5" s="401" t="s">
        <v>118</v>
      </c>
      <c r="J5" s="404">
        <f>+'[2]1001'!$E$39</f>
        <v>2.04</v>
      </c>
      <c r="K5" s="32"/>
    </row>
    <row r="6" spans="1:32" ht="6.95" customHeight="1" x14ac:dyDescent="0.2"/>
    <row r="7" spans="1:32" ht="12.95" customHeight="1" x14ac:dyDescent="0.2">
      <c r="A7" s="419" t="s">
        <v>167</v>
      </c>
      <c r="B7" s="420"/>
      <c r="AD7" s="32"/>
      <c r="AE7" s="32"/>
      <c r="AF7" s="32"/>
    </row>
    <row r="8" spans="1:32" ht="15.95" customHeight="1" outlineLevel="2" x14ac:dyDescent="0.2">
      <c r="A8" s="32"/>
      <c r="B8" s="461" t="s">
        <v>201</v>
      </c>
      <c r="C8" s="417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3" t="s">
        <v>90</v>
      </c>
      <c r="B9" s="409" t="s">
        <v>202</v>
      </c>
      <c r="C9" s="418" t="s">
        <v>195</v>
      </c>
      <c r="D9" s="446" t="s">
        <v>199</v>
      </c>
      <c r="E9" s="39" t="s">
        <v>197</v>
      </c>
      <c r="F9" s="39" t="s">
        <v>149</v>
      </c>
      <c r="G9" s="407" t="s">
        <v>154</v>
      </c>
      <c r="H9" s="384" t="s">
        <v>102</v>
      </c>
      <c r="I9" s="38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3" t="s">
        <v>159</v>
      </c>
    </row>
    <row r="12" spans="1:32" ht="13.5" customHeight="1" outlineLevel="1" x14ac:dyDescent="0.2">
      <c r="A12" s="206" t="s">
        <v>129</v>
      </c>
      <c r="B12" s="361">
        <f>+Calpine!D41</f>
        <v>93714.12</v>
      </c>
      <c r="C12" s="386">
        <f>+B12/$J$4</f>
        <v>46393.128712871287</v>
      </c>
      <c r="D12" s="14">
        <f>+Calpine!D47</f>
        <v>137363</v>
      </c>
      <c r="E12" s="70">
        <f>+C12-D12</f>
        <v>-90969.871287128713</v>
      </c>
      <c r="F12" s="381">
        <f>+Calpine!A41</f>
        <v>37236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66541.960000000006</v>
      </c>
      <c r="C13" s="385">
        <f>+B13/$J$4</f>
        <v>32941.564356435643</v>
      </c>
      <c r="D13" s="14">
        <f>+'Citizens-Griffith'!D48</f>
        <v>36384</v>
      </c>
      <c r="E13" s="70">
        <f>+C13-D13</f>
        <v>-3442.4356435643567</v>
      </c>
      <c r="F13" s="381">
        <f>+'Citizens-Griffith'!A41</f>
        <v>37235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-346903.34</v>
      </c>
      <c r="C14" s="385">
        <f>+B14/$J$4</f>
        <v>-171734.32673267327</v>
      </c>
      <c r="D14" s="14">
        <f>+'NS Steel'!D50</f>
        <v>-40743</v>
      </c>
      <c r="E14" s="70">
        <f>+C14-D14</f>
        <v>-130991.32673267327</v>
      </c>
      <c r="F14" s="382">
        <f>+'NS Steel'!A41</f>
        <v>37235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-521519.44</v>
      </c>
      <c r="C15" s="387">
        <f>+B15/$J$4</f>
        <v>-258177.94059405942</v>
      </c>
      <c r="D15" s="365">
        <f>+Citizens!D24</f>
        <v>-30171</v>
      </c>
      <c r="E15" s="72">
        <f>+C15-D15</f>
        <v>-228006.94059405942</v>
      </c>
      <c r="F15" s="381">
        <f>+Citizens!A18</f>
        <v>37235</v>
      </c>
      <c r="G15" s="205"/>
      <c r="H15" s="206" t="s">
        <v>100</v>
      </c>
      <c r="I15" s="438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5">
        <f>SUBTOTAL(9,B12:B15)</f>
        <v>-708166.7</v>
      </c>
      <c r="C16" s="412">
        <f>SUBTOTAL(9,C12:C15)</f>
        <v>-350577.57425742573</v>
      </c>
      <c r="D16" s="413">
        <f>SUBTOTAL(9,D12:D15)</f>
        <v>102833</v>
      </c>
      <c r="E16" s="414">
        <f>SUBTOTAL(9,E12:E15)</f>
        <v>-453410.57425742573</v>
      </c>
      <c r="F16" s="381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6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-1051.9700000000012</v>
      </c>
      <c r="C19" s="385">
        <f>+B19/$J$4</f>
        <v>-520.77722772277286</v>
      </c>
      <c r="D19" s="14">
        <f>+transcol!D50</f>
        <v>-56452</v>
      </c>
      <c r="E19" s="70">
        <f>+C19-D19</f>
        <v>55931.22277227723</v>
      </c>
      <c r="F19" s="382">
        <f>+transcol!A43</f>
        <v>37235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5062.93</v>
      </c>
      <c r="C20" s="389">
        <f>+B20/$J$3</f>
        <v>2544.1859296482412</v>
      </c>
      <c r="D20" s="365">
        <f>+burlington!D49</f>
        <v>3138</v>
      </c>
      <c r="E20" s="72">
        <f>+C20-D20</f>
        <v>-593.8140703517588</v>
      </c>
      <c r="F20" s="381">
        <f>+burlington!A42</f>
        <v>37235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5">
        <f>SUBTOTAL(9,B19:B20)</f>
        <v>4010.9599999999991</v>
      </c>
      <c r="C21" s="406">
        <f>SUBTOTAL(9,C19:C20)</f>
        <v>2023.4087019254684</v>
      </c>
      <c r="D21" s="413">
        <f>SUBTOTAL(9,D19:D20)</f>
        <v>-53314</v>
      </c>
      <c r="E21" s="414">
        <f>SUBTOTAL(9,E19:E20)</f>
        <v>55337.408701925473</v>
      </c>
      <c r="F21" s="38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3" t="s">
        <v>163</v>
      </c>
      <c r="B23" s="442"/>
      <c r="C23" s="443"/>
      <c r="D23" s="444"/>
      <c r="E23" s="444"/>
      <c r="F23" s="444"/>
      <c r="G23" s="445"/>
      <c r="H23" s="444"/>
      <c r="I23" s="444"/>
    </row>
    <row r="24" spans="1:20" ht="15.95" customHeight="1" outlineLevel="2" x14ac:dyDescent="0.2">
      <c r="A24" s="206" t="s">
        <v>88</v>
      </c>
      <c r="B24" s="361">
        <f>+NNG!$D$24</f>
        <v>736220.4</v>
      </c>
      <c r="C24" s="385">
        <f t="shared" ref="C24:C39" si="0">+B24/$J$4</f>
        <v>364465.54455445544</v>
      </c>
      <c r="D24" s="14">
        <f>+NNG!D34</f>
        <v>131457</v>
      </c>
      <c r="E24" s="70">
        <f t="shared" ref="E24:E41" si="1">+C24-D24</f>
        <v>233008.54455445544</v>
      </c>
      <c r="F24" s="381">
        <f>+NNG!A24</f>
        <v>37235</v>
      </c>
      <c r="G24" s="408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353549.23</v>
      </c>
      <c r="C25" s="385">
        <f t="shared" si="0"/>
        <v>175024.37128712871</v>
      </c>
      <c r="D25" s="14">
        <f>+Conoco!D48</f>
        <v>-7416</v>
      </c>
      <c r="E25" s="70">
        <f t="shared" si="1"/>
        <v>182440.37128712871</v>
      </c>
      <c r="F25" s="381">
        <f>+Conoco!A41</f>
        <v>37235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357031.5</v>
      </c>
      <c r="C26" s="385">
        <f t="shared" si="0"/>
        <v>176748.26732673266</v>
      </c>
      <c r="D26" s="14">
        <f>+'Amoco Abo'!D49</f>
        <v>-278112</v>
      </c>
      <c r="E26" s="70">
        <f t="shared" si="1"/>
        <v>454860.26732673263</v>
      </c>
      <c r="F26" s="382">
        <f>+'Amoco Abo'!A43</f>
        <v>37235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352106.44</v>
      </c>
      <c r="C27" s="385">
        <f t="shared" si="0"/>
        <v>174310.1188118812</v>
      </c>
      <c r="D27" s="14">
        <f>+KN_Westar!D48</f>
        <v>-25887</v>
      </c>
      <c r="E27" s="70">
        <f t="shared" si="1"/>
        <v>200197.1188118812</v>
      </c>
      <c r="F27" s="382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46">
        <f>+DEFS!F53</f>
        <v>20108.029999999329</v>
      </c>
      <c r="C28" s="386">
        <f t="shared" si="0"/>
        <v>9954.4702970293711</v>
      </c>
      <c r="D28" s="14">
        <f>+DEFS!M53</f>
        <v>336995</v>
      </c>
      <c r="E28" s="70">
        <f t="shared" si="1"/>
        <v>-327040.52970297064</v>
      </c>
      <c r="F28" s="382">
        <f>+DEFS!A40</f>
        <v>37235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396576.81</v>
      </c>
      <c r="C29" s="385">
        <f t="shared" si="0"/>
        <v>196325.15346534652</v>
      </c>
      <c r="D29" s="14">
        <f>+mewborne!D49</f>
        <v>161033</v>
      </c>
      <c r="E29" s="70">
        <f t="shared" si="1"/>
        <v>35292.153465346521</v>
      </c>
      <c r="F29" s="382">
        <f>+mewborne!A43</f>
        <v>37235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-105467.86</v>
      </c>
      <c r="C30" s="385">
        <f t="shared" si="0"/>
        <v>-52211.811881188121</v>
      </c>
      <c r="D30" s="14">
        <f>+PGETX!E48</f>
        <v>123621</v>
      </c>
      <c r="E30" s="70">
        <f t="shared" si="1"/>
        <v>-175832.81188118813</v>
      </c>
      <c r="F30" s="382">
        <f>+PGETX!E39</f>
        <v>37235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555889.94999999995</v>
      </c>
      <c r="C31" s="385">
        <f t="shared" si="0"/>
        <v>275193.04455445544</v>
      </c>
      <c r="D31" s="14">
        <f>+PNM!D30</f>
        <v>216119</v>
      </c>
      <c r="E31" s="70">
        <f t="shared" si="1"/>
        <v>59074.044554455439</v>
      </c>
      <c r="F31" s="382">
        <f>+PNM!A23</f>
        <v>37235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-40950.44</v>
      </c>
      <c r="C32" s="385">
        <f t="shared" si="0"/>
        <v>-20272.495049504952</v>
      </c>
      <c r="D32" s="14">
        <f>+EOG!D48</f>
        <v>-145879</v>
      </c>
      <c r="E32" s="70">
        <f t="shared" si="1"/>
        <v>125606.50495049504</v>
      </c>
      <c r="F32" s="381">
        <f>+EOG!A41</f>
        <v>37235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55578.31</v>
      </c>
      <c r="C33" s="385">
        <f>+B33/$J$5</f>
        <v>27244.269607843136</v>
      </c>
      <c r="D33" s="14">
        <f>+SidR!D48</f>
        <v>26762</v>
      </c>
      <c r="E33" s="70">
        <f t="shared" si="1"/>
        <v>482.26960784313633</v>
      </c>
      <c r="F33" s="382">
        <f>+SidR!A41</f>
        <v>37236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176714.27000000002</v>
      </c>
      <c r="C34" s="385">
        <f>+B34/$J$5</f>
        <v>86624.642156862756</v>
      </c>
      <c r="D34" s="14">
        <f>+Dominion!D48</f>
        <v>77664</v>
      </c>
      <c r="E34" s="70">
        <f t="shared" si="1"/>
        <v>8960.6421568627557</v>
      </c>
      <c r="F34" s="382">
        <f>+Dominion!A41</f>
        <v>37235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-16238.24</v>
      </c>
      <c r="C35" s="385">
        <f t="shared" si="0"/>
        <v>-8038.7326732673264</v>
      </c>
      <c r="D35" s="14">
        <f>+WTG!D50</f>
        <v>2505</v>
      </c>
      <c r="E35" s="70">
        <f t="shared" si="1"/>
        <v>-10543.732673267326</v>
      </c>
      <c r="F35" s="382">
        <f>+WTG!A43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147908.97</v>
      </c>
      <c r="C36" s="385">
        <f>+B36/$J$5</f>
        <v>72504.397058823524</v>
      </c>
      <c r="D36" s="14">
        <f>+Devon!D48</f>
        <v>28001</v>
      </c>
      <c r="E36" s="70">
        <f t="shared" si="1"/>
        <v>44503.397058823524</v>
      </c>
      <c r="F36" s="382">
        <f>+Devon!A41</f>
        <v>37235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-120641.36</v>
      </c>
      <c r="C37" s="385">
        <f>+B37/$J$4</f>
        <v>-59723.445544554452</v>
      </c>
      <c r="D37" s="14">
        <f>+crosstex!D48</f>
        <v>-34884</v>
      </c>
      <c r="E37" s="70">
        <f t="shared" si="1"/>
        <v>-24839.445544554452</v>
      </c>
      <c r="F37" s="382">
        <f>+crosstex!A41</f>
        <v>37235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112382.84</v>
      </c>
      <c r="C38" s="385">
        <f>+B38/$J$4</f>
        <v>55635.069306930694</v>
      </c>
      <c r="D38" s="14">
        <f>+Amarillo!D48</f>
        <v>47725</v>
      </c>
      <c r="E38" s="70">
        <f t="shared" si="1"/>
        <v>7910.0693069306944</v>
      </c>
      <c r="F38" s="382">
        <f>+Amarillo!A41</f>
        <v>37235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30319.09</v>
      </c>
      <c r="C39" s="386">
        <f t="shared" si="0"/>
        <v>15009.450495049505</v>
      </c>
      <c r="D39" s="14">
        <f>+Continental!D50</f>
        <v>-935</v>
      </c>
      <c r="E39" s="70">
        <f t="shared" si="1"/>
        <v>15944.450495049505</v>
      </c>
      <c r="F39" s="382">
        <f>+Continental!A43</f>
        <v>37235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64780.91</v>
      </c>
      <c r="C40" s="386">
        <f>+B40/$J$5</f>
        <v>31755.348039215689</v>
      </c>
      <c r="D40" s="14">
        <f>+EPFS!D47</f>
        <v>46002</v>
      </c>
      <c r="E40" s="70">
        <f t="shared" si="1"/>
        <v>-14246.651960784311</v>
      </c>
      <c r="F40" s="381">
        <f>+EPFS!A41</f>
        <v>37235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167641.46</v>
      </c>
      <c r="C41" s="387">
        <f>+B41/$J$4</f>
        <v>82990.821782178216</v>
      </c>
      <c r="D41" s="365">
        <f>+Agave!D31</f>
        <v>93992</v>
      </c>
      <c r="E41" s="72">
        <f t="shared" si="1"/>
        <v>-11001.178217821784</v>
      </c>
      <c r="F41" s="381">
        <f>+Agave!A24</f>
        <v>37235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5">
        <f>SUBTOTAL(9,B24:B41)</f>
        <v>3243510.3099999991</v>
      </c>
      <c r="C42" s="412">
        <f>SUBTOTAL(9,C24:C41)</f>
        <v>1603538.483595418</v>
      </c>
      <c r="D42" s="413">
        <f>SUBTOTAL(9,D24:D41)</f>
        <v>798763</v>
      </c>
      <c r="E42" s="414">
        <f>SUBTOTAL(9,E24:E41)</f>
        <v>804775.48359541781</v>
      </c>
      <c r="F42" s="381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5">
        <f>SUBTOTAL(9,B12:B41)</f>
        <v>2539354.5699999994</v>
      </c>
      <c r="C44" s="412">
        <f>SUBTOTAL(9,C12:C41)</f>
        <v>1254984.3180399181</v>
      </c>
      <c r="D44" s="413">
        <f>SUBTOTAL(9,D12:D41)</f>
        <v>848282</v>
      </c>
      <c r="E44" s="414">
        <f>SUBTOTAL(9,E12:E41)</f>
        <v>406702.31803991774</v>
      </c>
      <c r="F44" s="381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5"/>
      <c r="D45" s="385"/>
      <c r="E45" s="385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0" t="s">
        <v>79</v>
      </c>
      <c r="J49" s="403"/>
      <c r="K49" s="32"/>
    </row>
    <row r="50" spans="1:19" ht="13.5" customHeight="1" outlineLevel="2" x14ac:dyDescent="0.2">
      <c r="D50" s="7"/>
      <c r="I50" s="401" t="s">
        <v>30</v>
      </c>
      <c r="J50" s="404">
        <f>+J3</f>
        <v>1.99</v>
      </c>
      <c r="K50" s="421">
        <f ca="1">NOW()</f>
        <v>41887.501028240738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2" t="s">
        <v>31</v>
      </c>
      <c r="J51" s="404">
        <f>+J4</f>
        <v>2.02</v>
      </c>
      <c r="K51" s="32"/>
    </row>
    <row r="52" spans="1:19" ht="13.5" customHeight="1" outlineLevel="1" x14ac:dyDescent="0.2">
      <c r="D52" s="7"/>
      <c r="I52" s="401" t="s">
        <v>118</v>
      </c>
      <c r="J52" s="404">
        <f>+J5</f>
        <v>2.04</v>
      </c>
      <c r="K52" s="32"/>
    </row>
    <row r="53" spans="1:19" ht="13.5" customHeight="1" outlineLevel="2" x14ac:dyDescent="0.2"/>
    <row r="54" spans="1:19" ht="13.5" customHeight="1" outlineLevel="2" x14ac:dyDescent="0.2">
      <c r="A54" s="419" t="s">
        <v>168</v>
      </c>
      <c r="B54" s="420"/>
      <c r="E54" s="12" t="s">
        <v>205</v>
      </c>
    </row>
    <row r="55" spans="1:19" ht="13.5" customHeight="1" outlineLevel="2" x14ac:dyDescent="0.2">
      <c r="A55" s="32"/>
      <c r="B55" s="422" t="s">
        <v>196</v>
      </c>
      <c r="C55" s="422" t="s">
        <v>203</v>
      </c>
      <c r="D55" s="422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3" t="s">
        <v>90</v>
      </c>
      <c r="B56" s="418" t="s">
        <v>0</v>
      </c>
      <c r="C56" s="395" t="s">
        <v>170</v>
      </c>
      <c r="D56" s="39" t="s">
        <v>204</v>
      </c>
      <c r="E56" s="39" t="s">
        <v>207</v>
      </c>
      <c r="F56" s="39" t="s">
        <v>149</v>
      </c>
      <c r="G56" s="407" t="s">
        <v>154</v>
      </c>
      <c r="H56" s="384" t="s">
        <v>102</v>
      </c>
      <c r="I56" s="38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3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5">
        <f>+Mojave!D40</f>
        <v>180212</v>
      </c>
      <c r="C59" s="361">
        <f>+B59*$J$4</f>
        <v>364028.24</v>
      </c>
      <c r="D59" s="47">
        <f>+Mojave!D47</f>
        <v>184184.35</v>
      </c>
      <c r="E59" s="47">
        <f>+C59-D59</f>
        <v>179843.88999999998</v>
      </c>
      <c r="F59" s="382">
        <f>+Mojave!A40</f>
        <v>37235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6">
        <f>+SoCal!F40</f>
        <v>157452</v>
      </c>
      <c r="C60" s="361">
        <f>+B60*$J$4</f>
        <v>318053.03999999998</v>
      </c>
      <c r="D60" s="47">
        <f>+SoCal!D47</f>
        <v>454153.07</v>
      </c>
      <c r="E60" s="47">
        <f>+C60-D60</f>
        <v>-136100.03000000003</v>
      </c>
      <c r="F60" s="382">
        <f>+SoCal!A40</f>
        <v>37236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5">
        <f>+'El Paso'!C39</f>
        <v>64166</v>
      </c>
      <c r="C61" s="361">
        <f>+B61*$J$4</f>
        <v>129615.32</v>
      </c>
      <c r="D61" s="47">
        <f>+'El Paso'!C46</f>
        <v>-1583169.07</v>
      </c>
      <c r="E61" s="47">
        <f>+C61-D61</f>
        <v>1712784.3900000001</v>
      </c>
      <c r="F61" s="382">
        <f>+'El Paso'!A39</f>
        <v>37235</v>
      </c>
      <c r="G61" s="439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7">
        <f>+'PG&amp;E'!D40</f>
        <v>82027</v>
      </c>
      <c r="C62" s="364">
        <f>+B62*$J$4</f>
        <v>165694.54</v>
      </c>
      <c r="D62" s="364">
        <f>+'PG&amp;E'!D47</f>
        <v>62304.5</v>
      </c>
      <c r="E62" s="364">
        <f>+C62-D62</f>
        <v>103390.04000000001</v>
      </c>
      <c r="F62" s="382">
        <f>+'PG&amp;E'!A40</f>
        <v>37236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2">
        <f>SUBTOTAL(9,B59:B62)</f>
        <v>483857</v>
      </c>
      <c r="C63" s="405">
        <f>SUBTOTAL(9,C59:C62)</f>
        <v>977391.14000000013</v>
      </c>
      <c r="D63" s="405">
        <f>SUBTOTAL(9,D59:D62)</f>
        <v>-882527.15</v>
      </c>
      <c r="E63" s="405">
        <f>SUBTOTAL(9,E59:E62)</f>
        <v>1859918.29</v>
      </c>
      <c r="F63" s="382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3" t="s">
        <v>58</v>
      </c>
      <c r="B65" s="293"/>
      <c r="C65" s="250"/>
      <c r="G65" s="205"/>
    </row>
    <row r="66" spans="1:11" x14ac:dyDescent="0.2">
      <c r="A66" s="206" t="s">
        <v>29</v>
      </c>
      <c r="B66" s="385">
        <f>+williams!J40</f>
        <v>116446</v>
      </c>
      <c r="C66" s="361">
        <f>+B66*$J$3</f>
        <v>231727.54</v>
      </c>
      <c r="D66" s="47">
        <f>+williams!D48</f>
        <v>980381.93</v>
      </c>
      <c r="E66" s="47">
        <f>+C66-D66</f>
        <v>-748654.39</v>
      </c>
      <c r="F66" s="381">
        <f>+williams!A40</f>
        <v>37236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5">
        <f>+'Red C'!F43</f>
        <v>80977</v>
      </c>
      <c r="C67" s="362">
        <f>+B67*J3</f>
        <v>161144.23000000001</v>
      </c>
      <c r="D67" s="202">
        <f>+'Red C'!D52</f>
        <v>550461.23</v>
      </c>
      <c r="E67" s="47">
        <f>+C67-D67</f>
        <v>-389317</v>
      </c>
      <c r="F67" s="381">
        <f>+'Red C'!B43</f>
        <v>37235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5">
        <f>+Amoco!D40</f>
        <v>-60977</v>
      </c>
      <c r="C68" s="361">
        <f>+B68*$J$3</f>
        <v>-121344.23</v>
      </c>
      <c r="D68" s="47">
        <f>+Amoco!D47</f>
        <v>207104.28999999998</v>
      </c>
      <c r="E68" s="47">
        <f>+C68-D68</f>
        <v>-328448.51999999996</v>
      </c>
      <c r="F68" s="382">
        <f>+Amoco!A40</f>
        <v>37236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5">
        <f>+'El Paso'!E39</f>
        <v>-30636</v>
      </c>
      <c r="C69" s="361">
        <f>+B69*$J$3</f>
        <v>-60965.64</v>
      </c>
      <c r="D69" s="47">
        <f>+'El Paso'!F46</f>
        <v>-657462.07000000007</v>
      </c>
      <c r="E69" s="47">
        <f>+C69-D69</f>
        <v>596496.43000000005</v>
      </c>
      <c r="F69" s="382">
        <f>+'El Paso'!A39</f>
        <v>37235</v>
      </c>
      <c r="G69" s="439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7">
        <f>+NW!$F$41</f>
        <v>17058</v>
      </c>
      <c r="C70" s="364">
        <f>+B70*$J$3</f>
        <v>33945.42</v>
      </c>
      <c r="D70" s="364">
        <f>+NW!E49</f>
        <v>-418322.02</v>
      </c>
      <c r="E70" s="364">
        <f>+C70-D70</f>
        <v>452267.44</v>
      </c>
      <c r="F70" s="381">
        <f>+NW!B41</f>
        <v>37235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2">
        <f>SUBTOTAL(9,B66:B70)</f>
        <v>122868</v>
      </c>
      <c r="C71" s="405">
        <f>SUBTOTAL(9,C66:C70)</f>
        <v>244507.32</v>
      </c>
      <c r="D71" s="405">
        <f>SUBTOTAL(9,D66:D70)</f>
        <v>662163.3600000001</v>
      </c>
      <c r="E71" s="405">
        <f>SUBTOTAL(9,E66:E70)</f>
        <v>-417656.0400000001</v>
      </c>
      <c r="F71" s="381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3" t="s">
        <v>163</v>
      </c>
      <c r="B73" s="293"/>
      <c r="C73" s="250"/>
      <c r="G73" s="205"/>
    </row>
    <row r="74" spans="1:11" x14ac:dyDescent="0.2">
      <c r="A74" s="32" t="s">
        <v>89</v>
      </c>
      <c r="B74" s="385">
        <f>+NGPL!F38</f>
        <v>127625</v>
      </c>
      <c r="C74" s="361">
        <f>+B74*$J$5</f>
        <v>260355</v>
      </c>
      <c r="D74" s="47">
        <f>+NGPL!D45</f>
        <v>352605.5</v>
      </c>
      <c r="E74" s="47">
        <f>+C74-D74</f>
        <v>-92250.5</v>
      </c>
      <c r="F74" s="382">
        <f>+NGPL!A38</f>
        <v>37235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5">
        <f>+PEPL!D41</f>
        <v>-28961</v>
      </c>
      <c r="C75" s="362">
        <f>+B75*$J$4</f>
        <v>-58501.22</v>
      </c>
      <c r="D75" s="47">
        <f>+PEPL!D47</f>
        <v>128084.9</v>
      </c>
      <c r="E75" s="47">
        <f>+C75-D75</f>
        <v>-186586.12</v>
      </c>
      <c r="F75" s="382">
        <f>+PEPL!A41</f>
        <v>37235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33628.959999999999</v>
      </c>
      <c r="D76" s="202">
        <f>+CIG!D49</f>
        <v>383998.2</v>
      </c>
      <c r="E76" s="70">
        <f>+C76-D76</f>
        <v>-350369.24</v>
      </c>
      <c r="F76" s="382">
        <f>+CIG!A42</f>
        <v>37235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6">
        <f>+Oasis!D40</f>
        <v>-8941</v>
      </c>
      <c r="C77" s="361">
        <f>+B77*$J$4</f>
        <v>-18060.82</v>
      </c>
      <c r="D77" s="47">
        <f>+Oasis!D47</f>
        <v>-373570.22</v>
      </c>
      <c r="E77" s="47">
        <f>+C77-D77</f>
        <v>355509.39999999997</v>
      </c>
      <c r="F77" s="382">
        <f>+Oasis!B40</f>
        <v>37235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89">
        <f>+Lonestar!F42</f>
        <v>802</v>
      </c>
      <c r="C78" s="364">
        <f>+B78*$J$4</f>
        <v>1620.04</v>
      </c>
      <c r="D78" s="364">
        <f>+Lonestar!D49</f>
        <v>-80816.92</v>
      </c>
      <c r="E78" s="364">
        <f>+C78-D78</f>
        <v>82436.959999999992</v>
      </c>
      <c r="F78" s="381">
        <f>+Lonestar!B42</f>
        <v>37235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6">
        <f>SUBTOTAL(9,B74:B78)</f>
        <v>107173</v>
      </c>
      <c r="C79" s="405">
        <f>SUBTOTAL(9,C74:C78)</f>
        <v>219041.96</v>
      </c>
      <c r="D79" s="405">
        <f>SUBTOTAL(9,D74:D78)</f>
        <v>410301.46000000014</v>
      </c>
      <c r="E79" s="405">
        <f>SUBTOTAL(9,E74:E78)</f>
        <v>-191259.50000000003</v>
      </c>
      <c r="F79" s="381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6">
        <f>SUBTOTAL(9,B59:B78)</f>
        <v>713898</v>
      </c>
      <c r="C81" s="405">
        <f>SUBTOTAL(9,C59:C78)</f>
        <v>1440940.4200000002</v>
      </c>
      <c r="D81" s="405">
        <f>SUBTOTAL(9,D59:D78)</f>
        <v>189937.66999999998</v>
      </c>
      <c r="E81" s="405">
        <f>SUBTOTAL(9,E59:E78)</f>
        <v>1251002.7499999998</v>
      </c>
      <c r="F81" s="381"/>
      <c r="H81" s="32"/>
      <c r="I81" s="32"/>
      <c r="J81" s="32"/>
      <c r="K81" s="32"/>
    </row>
    <row r="82" spans="1:12" x14ac:dyDescent="0.2">
      <c r="A82" s="32"/>
      <c r="B82" s="361"/>
      <c r="C82" s="386"/>
      <c r="D82" s="361"/>
      <c r="E82" s="361"/>
      <c r="F82" s="381"/>
      <c r="H82" s="32"/>
      <c r="I82" s="32"/>
      <c r="J82" s="32"/>
      <c r="K82" s="32"/>
    </row>
    <row r="83" spans="1:12" x14ac:dyDescent="0.2">
      <c r="A83" s="32"/>
      <c r="B83" s="364"/>
      <c r="C83" s="385"/>
      <c r="D83" s="300"/>
      <c r="E83" s="300"/>
      <c r="F83" s="381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5">
        <f>+C81+B44</f>
        <v>3980294.9899999993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1968882.3180399181</v>
      </c>
      <c r="C85" s="388"/>
      <c r="D85" s="441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0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7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41" sqref="C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1414674</v>
      </c>
      <c r="C39" s="150">
        <f>SUM(C8:C38)</f>
        <v>1403948</v>
      </c>
      <c r="D39" s="150">
        <f>SUM(D8:D38)</f>
        <v>127135</v>
      </c>
      <c r="E39" s="150">
        <f>SUM(E8:E38)</f>
        <v>129038</v>
      </c>
      <c r="F39" s="11">
        <f t="shared" si="5"/>
        <v>-8823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1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37235</v>
      </c>
      <c r="C43" s="142"/>
      <c r="D43" s="142"/>
      <c r="E43" s="142"/>
      <c r="F43" s="150">
        <f>+F42+F39</f>
        <v>80977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1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18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37235</v>
      </c>
      <c r="B51" s="32"/>
      <c r="C51" s="32"/>
      <c r="D51" s="392">
        <f>+F39*'by type_area'!J3</f>
        <v>-17557.77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550461.23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36" sqref="C3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49" t="s">
        <v>20</v>
      </c>
      <c r="C5" s="449" t="s">
        <v>21</v>
      </c>
      <c r="D5" s="449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0">
        <v>1</v>
      </c>
      <c r="B6" s="430">
        <v>101751</v>
      </c>
      <c r="C6" s="430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0">
        <v>2</v>
      </c>
      <c r="B7" s="457">
        <v>102927</v>
      </c>
      <c r="C7" s="430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0">
        <v>3</v>
      </c>
      <c r="B8" s="457">
        <v>117477</v>
      </c>
      <c r="C8" s="430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0">
        <v>4</v>
      </c>
      <c r="B9" s="457">
        <v>119833</v>
      </c>
      <c r="C9" s="430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0">
        <v>5</v>
      </c>
      <c r="B10" s="457">
        <v>123072</v>
      </c>
      <c r="C10" s="430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0">
        <v>6</v>
      </c>
      <c r="B11" s="457">
        <v>115143</v>
      </c>
      <c r="C11" s="430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0">
        <v>7</v>
      </c>
      <c r="B12" s="457">
        <v>104853</v>
      </c>
      <c r="C12" s="430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0">
        <v>8</v>
      </c>
      <c r="B13" s="430">
        <v>104302</v>
      </c>
      <c r="C13" s="430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0">
        <v>9</v>
      </c>
      <c r="B14" s="430">
        <v>103913</v>
      </c>
      <c r="C14" s="430">
        <v>102521</v>
      </c>
      <c r="D14" s="317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0">
        <v>10</v>
      </c>
      <c r="B15" s="430">
        <v>101722</v>
      </c>
      <c r="C15" s="430">
        <v>101279</v>
      </c>
      <c r="D15" s="317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0">
        <v>11</v>
      </c>
      <c r="B16" s="430">
        <v>108378</v>
      </c>
      <c r="C16" s="430">
        <v>104512</v>
      </c>
      <c r="D16" s="317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0">
        <v>12</v>
      </c>
      <c r="B17" s="430"/>
      <c r="C17" s="430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0">
        <v>13</v>
      </c>
      <c r="B18" s="430"/>
      <c r="C18" s="430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0">
        <v>14</v>
      </c>
      <c r="B19" s="430"/>
      <c r="C19" s="430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0">
        <v>15</v>
      </c>
      <c r="B20" s="430"/>
      <c r="C20" s="430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0">
        <v>16</v>
      </c>
      <c r="B21" s="430"/>
      <c r="C21" s="430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0">
        <v>17</v>
      </c>
      <c r="B22" s="457"/>
      <c r="C22" s="430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0">
        <v>18</v>
      </c>
      <c r="B23" s="457"/>
      <c r="C23" s="430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0">
        <v>19</v>
      </c>
      <c r="B24" s="457"/>
      <c r="C24" s="457"/>
      <c r="D24" s="551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0">
        <v>20</v>
      </c>
      <c r="B25" s="457"/>
      <c r="C25" s="457"/>
      <c r="D25" s="551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0">
        <v>21</v>
      </c>
      <c r="B26" s="457"/>
      <c r="C26" s="457"/>
      <c r="D26" s="551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0">
        <v>22</v>
      </c>
      <c r="B27" s="457"/>
      <c r="C27" s="457"/>
      <c r="D27" s="551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0">
        <v>23</v>
      </c>
      <c r="B28" s="457"/>
      <c r="C28" s="457"/>
      <c r="D28" s="551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0">
        <v>24</v>
      </c>
      <c r="B29" s="457"/>
      <c r="C29" s="457"/>
      <c r="D29" s="551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0">
        <v>25</v>
      </c>
      <c r="B30" s="457"/>
      <c r="C30" s="457"/>
      <c r="D30" s="551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0">
        <v>26</v>
      </c>
      <c r="B31" s="430"/>
      <c r="C31" s="430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0">
        <v>27</v>
      </c>
      <c r="B32" s="430"/>
      <c r="C32" s="430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0">
        <v>28</v>
      </c>
      <c r="B33" s="430"/>
      <c r="C33" s="430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0">
        <v>29</v>
      </c>
      <c r="B34" s="430"/>
      <c r="C34" s="430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0">
        <v>30</v>
      </c>
      <c r="B35" s="430"/>
      <c r="C35" s="430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0">
        <v>31</v>
      </c>
      <c r="B36" s="430"/>
      <c r="C36" s="430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0"/>
      <c r="B37" s="430">
        <f>SUM(B6:B36)</f>
        <v>1203371</v>
      </c>
      <c r="C37" s="430">
        <f>SUM(C6:C36)</f>
        <v>1189610</v>
      </c>
      <c r="D37" s="430">
        <f>SUM(D6:D36)</f>
        <v>-13761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1"/>
      <c r="B38" s="292"/>
      <c r="C38" s="452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5"/>
      <c r="D39" s="564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37236</v>
      </c>
      <c r="B40" s="292"/>
      <c r="C40" s="456"/>
      <c r="D40" s="317">
        <f>+D39+D37</f>
        <v>-60977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65">
        <v>234488.68</v>
      </c>
      <c r="H45">
        <v>12</v>
      </c>
    </row>
    <row r="46" spans="1:16" x14ac:dyDescent="0.2">
      <c r="A46" s="49">
        <f>+A40</f>
        <v>37236</v>
      </c>
      <c r="B46" s="32"/>
      <c r="C46" s="32"/>
      <c r="D46" s="392">
        <f>+D37*'by type_area'!J3</f>
        <v>-27384.39</v>
      </c>
      <c r="H46">
        <v>500</v>
      </c>
    </row>
    <row r="47" spans="1:16" x14ac:dyDescent="0.2">
      <c r="A47" s="32"/>
      <c r="B47" s="32"/>
      <c r="C47" s="32"/>
      <c r="D47" s="202">
        <f>+D46+D45</f>
        <v>207104.28999999998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D38" sqref="D3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-78481</v>
      </c>
      <c r="C36" s="24">
        <f>SUM(C5:C35)</f>
        <v>-77342</v>
      </c>
      <c r="D36" s="24">
        <f t="shared" si="0"/>
        <v>1139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08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37235</v>
      </c>
      <c r="C40" s="24"/>
      <c r="D40" s="195">
        <f>+D36+D38</f>
        <v>-8941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18">
        <v>-375871</v>
      </c>
    </row>
    <row r="46" spans="1:65" x14ac:dyDescent="0.2">
      <c r="A46" s="49">
        <f>+B40</f>
        <v>37235</v>
      </c>
      <c r="B46" s="32"/>
      <c r="C46" s="32"/>
      <c r="D46" s="392">
        <f>+D36*'by type_area'!J4</f>
        <v>2300.7800000000002</v>
      </c>
    </row>
    <row r="47" spans="1:65" x14ac:dyDescent="0.2">
      <c r="A47" s="32"/>
      <c r="B47" s="32"/>
      <c r="C47" s="32"/>
      <c r="D47" s="202">
        <f>+D46+D45</f>
        <v>-373570.22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D19" sqref="D19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f>294240+27088</f>
        <v>321328</v>
      </c>
      <c r="C5" s="90">
        <v>343467</v>
      </c>
      <c r="D5" s="90">
        <f>+C5-B5</f>
        <v>22139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f>264360+27680</f>
        <v>292040</v>
      </c>
      <c r="C7" s="90">
        <v>334927</v>
      </c>
      <c r="D7" s="90">
        <f t="shared" si="0"/>
        <v>42887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f>329596+27774</f>
        <v>357370</v>
      </c>
      <c r="C8" s="90">
        <v>356140</v>
      </c>
      <c r="D8" s="90">
        <f t="shared" si="0"/>
        <v>-1230</v>
      </c>
      <c r="E8" s="507">
        <v>37198</v>
      </c>
      <c r="F8" s="280"/>
    </row>
    <row r="9" spans="1:13" x14ac:dyDescent="0.2">
      <c r="A9" s="87">
        <v>500293</v>
      </c>
      <c r="B9" s="90">
        <f>146141+18135</f>
        <v>164276</v>
      </c>
      <c r="C9" s="90">
        <v>202650</v>
      </c>
      <c r="D9" s="90">
        <f t="shared" si="0"/>
        <v>38374</v>
      </c>
      <c r="E9" s="282"/>
      <c r="F9" s="280"/>
    </row>
    <row r="10" spans="1:13" x14ac:dyDescent="0.2">
      <c r="A10" s="87">
        <v>500302</v>
      </c>
      <c r="B10" s="315"/>
      <c r="C10" s="315">
        <v>2738</v>
      </c>
      <c r="D10" s="90">
        <f t="shared" si="0"/>
        <v>2738</v>
      </c>
      <c r="E10" s="282"/>
      <c r="F10" s="280"/>
    </row>
    <row r="11" spans="1:13" x14ac:dyDescent="0.2">
      <c r="A11" s="87">
        <v>500303</v>
      </c>
      <c r="B11" s="315"/>
      <c r="C11" s="90">
        <v>110917</v>
      </c>
      <c r="D11" s="90">
        <f t="shared" si="0"/>
        <v>110917</v>
      </c>
      <c r="E11" s="282"/>
      <c r="F11" s="280"/>
    </row>
    <row r="12" spans="1:13" x14ac:dyDescent="0.2">
      <c r="A12" s="91">
        <v>500305</v>
      </c>
      <c r="B12" s="315">
        <f>522169+53337</f>
        <v>575506</v>
      </c>
      <c r="C12" s="90">
        <v>438126</v>
      </c>
      <c r="D12" s="90">
        <f t="shared" si="0"/>
        <v>-137380</v>
      </c>
      <c r="E12" s="283"/>
      <c r="F12" s="280"/>
    </row>
    <row r="13" spans="1:13" x14ac:dyDescent="0.2">
      <c r="A13" s="87">
        <v>500307</v>
      </c>
      <c r="B13" s="315">
        <f>32667+3701</f>
        <v>36368</v>
      </c>
      <c r="C13" s="90">
        <v>21280</v>
      </c>
      <c r="D13" s="90">
        <f t="shared" si="0"/>
        <v>-15088</v>
      </c>
      <c r="E13" s="282"/>
      <c r="F13" s="280"/>
    </row>
    <row r="14" spans="1:13" x14ac:dyDescent="0.2">
      <c r="A14" s="87">
        <v>500313</v>
      </c>
      <c r="B14" s="90"/>
      <c r="C14" s="315">
        <v>1010</v>
      </c>
      <c r="D14" s="90">
        <f t="shared" si="0"/>
        <v>1010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f>53444+4492</f>
        <v>57936</v>
      </c>
      <c r="C17" s="88">
        <v>55997</v>
      </c>
      <c r="D17" s="94">
        <f t="shared" si="0"/>
        <v>-1939</v>
      </c>
      <c r="E17" s="282"/>
      <c r="F17" s="280"/>
    </row>
    <row r="18" spans="1:6" x14ac:dyDescent="0.2">
      <c r="A18" s="87"/>
      <c r="B18" s="88"/>
      <c r="C18" s="88"/>
      <c r="D18" s="88">
        <f>SUM(D5:D17)</f>
        <v>62428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+summary!H5</f>
        <v>2.04</v>
      </c>
      <c r="E19" s="284"/>
      <c r="F19" s="280"/>
    </row>
    <row r="20" spans="1:6" x14ac:dyDescent="0.2">
      <c r="A20" s="87"/>
      <c r="B20" s="88"/>
      <c r="C20" s="88"/>
      <c r="D20" s="96">
        <f>+D19*D18</f>
        <v>127353.12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69">
        <v>40288.339999999997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37235</v>
      </c>
      <c r="B24" s="88"/>
      <c r="C24" s="88"/>
      <c r="D24" s="330">
        <f>+D22+D20</f>
        <v>167641.46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62">
        <v>31564</v>
      </c>
    </row>
    <row r="30" spans="1:6" x14ac:dyDescent="0.2">
      <c r="A30" s="49">
        <f>+A24</f>
        <v>37235</v>
      </c>
      <c r="B30" s="32"/>
      <c r="C30" s="32"/>
      <c r="D30" s="365">
        <f>+D18</f>
        <v>62428</v>
      </c>
    </row>
    <row r="31" spans="1:6" x14ac:dyDescent="0.2">
      <c r="A31" s="32"/>
      <c r="B31" s="32"/>
      <c r="C31" s="32"/>
      <c r="D31" s="14">
        <f>+D30+D29</f>
        <v>93992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35" sqref="B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5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5" t="s">
        <v>40</v>
      </c>
      <c r="I3" s="4" t="s">
        <v>20</v>
      </c>
      <c r="J3" s="4" t="s">
        <v>21</v>
      </c>
      <c r="K3" s="423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5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5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25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25"/>
      <c r="I12" s="24"/>
      <c r="J12" s="24"/>
      <c r="K12" s="110"/>
      <c r="L12" s="427"/>
      <c r="M12" s="110"/>
    </row>
    <row r="13" spans="1:14" x14ac:dyDescent="0.2">
      <c r="A13" s="41">
        <v>10</v>
      </c>
      <c r="B13" s="129">
        <v>33853</v>
      </c>
      <c r="C13" s="11">
        <v>36144</v>
      </c>
      <c r="D13" s="129">
        <v>33813</v>
      </c>
      <c r="E13" s="11">
        <v>32699</v>
      </c>
      <c r="F13" s="25">
        <f t="shared" si="2"/>
        <v>1177</v>
      </c>
      <c r="G13" s="25"/>
      <c r="I13" s="24"/>
      <c r="J13" s="24"/>
      <c r="K13" s="24">
        <f>SUM(K4:K12)</f>
        <v>135930</v>
      </c>
      <c r="L13" s="42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353335</v>
      </c>
      <c r="C35" s="11">
        <f>SUM(C4:C34)</f>
        <v>350222</v>
      </c>
      <c r="D35" s="11">
        <f>SUM(D4:D34)</f>
        <v>332128</v>
      </c>
      <c r="E35" s="11">
        <f>SUM(E4:E34)</f>
        <v>323268</v>
      </c>
      <c r="F35" s="11">
        <f>+E35-D35+C35-B35</f>
        <v>-11973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68">
        <f>+summary!H4</f>
        <v>2.02</v>
      </c>
    </row>
    <row r="38" spans="1:7" x14ac:dyDescent="0.2">
      <c r="C38" s="48"/>
      <c r="D38" s="47"/>
      <c r="E38" s="48"/>
      <c r="F38" s="46">
        <f>+F37*F35</f>
        <v>-24185.46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20"/>
      <c r="D40" s="111"/>
      <c r="E40" s="520"/>
      <c r="F40" s="566">
        <v>377734.69</v>
      </c>
      <c r="G40" s="25"/>
    </row>
    <row r="41" spans="1:7" x14ac:dyDescent="0.2">
      <c r="A41" s="57">
        <v>37235</v>
      </c>
      <c r="C41" s="106"/>
      <c r="D41" s="106"/>
      <c r="E41" s="106"/>
      <c r="F41" s="106">
        <f>+F38+F40</f>
        <v>353549.23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67">
        <f>-18785+23342</f>
        <v>4557</v>
      </c>
      <c r="E46" s="11"/>
      <c r="F46" s="11"/>
      <c r="G46" s="25"/>
    </row>
    <row r="47" spans="1:7" x14ac:dyDescent="0.2">
      <c r="A47" s="49">
        <f>+A41</f>
        <v>37235</v>
      </c>
      <c r="D47" s="365">
        <f>+F35</f>
        <v>-11973</v>
      </c>
      <c r="E47" s="11"/>
      <c r="F47" s="11"/>
      <c r="G47" s="25"/>
    </row>
    <row r="48" spans="1:7" x14ac:dyDescent="0.2">
      <c r="D48" s="14">
        <f>+D47+D46</f>
        <v>-7416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F39" sqref="F3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137513</v>
      </c>
      <c r="C13" s="11">
        <v>150587</v>
      </c>
      <c r="D13" s="11"/>
      <c r="E13" s="11">
        <v>-14369</v>
      </c>
      <c r="F13" s="11">
        <f t="shared" si="2"/>
        <v>-1295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147006</v>
      </c>
      <c r="C14" s="11">
        <v>150703</v>
      </c>
      <c r="D14" s="11"/>
      <c r="E14" s="11">
        <v>-4769</v>
      </c>
      <c r="F14" s="11">
        <f t="shared" si="2"/>
        <v>-1072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1447791</v>
      </c>
      <c r="C36" s="11">
        <f>SUM(C5:C35)</f>
        <v>1548957</v>
      </c>
      <c r="D36" s="11">
        <f>SUM(D5:D35)</f>
        <v>0</v>
      </c>
      <c r="E36" s="11">
        <f>SUM(E5:E35)</f>
        <v>-104864</v>
      </c>
      <c r="F36" s="11">
        <f>SUM(F5:F35)</f>
        <v>-3698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09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37235</v>
      </c>
      <c r="F41" s="346">
        <f>+F39+F36</f>
        <v>17058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18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37235</v>
      </c>
      <c r="C48" s="32"/>
      <c r="D48" s="32"/>
      <c r="E48" s="392">
        <f>+F36*'by type_area'!J3</f>
        <v>-7359.0199999999995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-418322.02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44" workbookViewId="0">
      <selection activeCell="A50" sqref="A5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884299</v>
      </c>
      <c r="C39" s="11">
        <f>SUM(C8:C38)</f>
        <v>879368</v>
      </c>
      <c r="D39" s="11">
        <f>SUM(D8:D38)</f>
        <v>-4931</v>
      </c>
      <c r="E39" s="10"/>
      <c r="F39" s="11"/>
      <c r="G39" s="11"/>
      <c r="H39" s="11"/>
    </row>
    <row r="40" spans="1:8" x14ac:dyDescent="0.2">
      <c r="A40" s="26"/>
      <c r="D40" s="75">
        <f>+summary!H4</f>
        <v>2.02</v>
      </c>
      <c r="E40" s="26"/>
      <c r="H40" s="75"/>
    </row>
    <row r="41" spans="1:8" x14ac:dyDescent="0.2">
      <c r="D41" s="197">
        <f>+D40*D39</f>
        <v>-9960.6200000000008</v>
      </c>
      <c r="F41" s="250"/>
      <c r="H41" s="197"/>
    </row>
    <row r="42" spans="1:8" x14ac:dyDescent="0.2">
      <c r="A42" s="57">
        <v>37225</v>
      </c>
      <c r="D42" s="582">
        <v>8908.65</v>
      </c>
      <c r="E42" s="57"/>
      <c r="H42" s="197"/>
    </row>
    <row r="43" spans="1:8" x14ac:dyDescent="0.2">
      <c r="A43" s="57">
        <v>37235</v>
      </c>
      <c r="D43" s="198">
        <f>+D42+D41</f>
        <v>-1051.9700000000012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62">
        <v>-51521</v>
      </c>
    </row>
    <row r="49" spans="1:4" x14ac:dyDescent="0.2">
      <c r="A49" s="49">
        <f>+A43</f>
        <v>37235</v>
      </c>
      <c r="B49" s="32"/>
      <c r="C49" s="32"/>
      <c r="D49" s="365">
        <f>+D39</f>
        <v>-4931</v>
      </c>
    </row>
    <row r="50" spans="1:4" x14ac:dyDescent="0.2">
      <c r="A50" s="32"/>
      <c r="B50" s="32"/>
      <c r="C50" s="32"/>
      <c r="D50" s="14">
        <f>+D49+D48</f>
        <v>-56452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7" workbookViewId="0">
      <selection activeCell="B48" sqref="B4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64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63">
        <v>37225</v>
      </c>
      <c r="C5" s="574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270</v>
      </c>
      <c r="J6" s="15"/>
    </row>
    <row r="7" spans="1:14" x14ac:dyDescent="0.2">
      <c r="A7" s="57">
        <v>37235</v>
      </c>
      <c r="I7" s="3" t="s">
        <v>277</v>
      </c>
      <c r="J7" s="15"/>
    </row>
    <row r="8" spans="1:14" x14ac:dyDescent="0.2">
      <c r="A8" s="251">
        <v>50895</v>
      </c>
      <c r="B8" s="353">
        <f>2213-1885</f>
        <v>328</v>
      </c>
      <c r="J8" s="15"/>
    </row>
    <row r="9" spans="1:14" x14ac:dyDescent="0.2">
      <c r="A9" s="251">
        <v>60874</v>
      </c>
      <c r="B9" s="353">
        <v>1205</v>
      </c>
      <c r="J9" s="15"/>
    </row>
    <row r="10" spans="1:14" x14ac:dyDescent="0.2">
      <c r="A10" s="251">
        <v>78169</v>
      </c>
      <c r="B10" s="353">
        <f>274313-235467</f>
        <v>38846</v>
      </c>
      <c r="I10" s="87" t="s">
        <v>271</v>
      </c>
      <c r="J10" s="550" t="s">
        <v>28</v>
      </c>
      <c r="K10" s="87" t="s">
        <v>272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50">
        <f>+C40</f>
        <v>811403.49</v>
      </c>
      <c r="K11" s="87" t="s">
        <v>273</v>
      </c>
      <c r="L11" s="87"/>
      <c r="M11" s="87"/>
      <c r="N11" s="87"/>
    </row>
    <row r="12" spans="1:14" ht="20.100000000000001" customHeight="1" x14ac:dyDescent="0.2">
      <c r="A12" s="251">
        <v>500248</v>
      </c>
      <c r="B12" s="355"/>
      <c r="I12" s="87">
        <v>24693</v>
      </c>
      <c r="J12" s="496">
        <v>275313.71999999997</v>
      </c>
      <c r="K12" s="87" t="s">
        <v>274</v>
      </c>
      <c r="L12" s="87"/>
      <c r="M12" s="87"/>
      <c r="N12" s="87"/>
    </row>
    <row r="13" spans="1:14" ht="20.100000000000001" customHeight="1" x14ac:dyDescent="0.2">
      <c r="A13" s="251">
        <v>500251</v>
      </c>
      <c r="B13" s="328">
        <f>4813-3684</f>
        <v>1129</v>
      </c>
      <c r="I13" s="87">
        <v>21665</v>
      </c>
      <c r="J13" s="496">
        <v>73449.16</v>
      </c>
      <c r="K13" s="87" t="s">
        <v>276</v>
      </c>
      <c r="L13" s="87"/>
      <c r="M13" s="87"/>
      <c r="N13" s="87"/>
    </row>
    <row r="14" spans="1:14" ht="20.100000000000001" customHeight="1" x14ac:dyDescent="0.2">
      <c r="A14" s="251">
        <v>500254</v>
      </c>
      <c r="B14" s="328">
        <f>1372-1479</f>
        <v>-107</v>
      </c>
      <c r="I14" s="87">
        <v>22664</v>
      </c>
      <c r="J14" s="499">
        <v>23612.35</v>
      </c>
      <c r="K14" s="87" t="s">
        <v>278</v>
      </c>
      <c r="L14" s="87"/>
      <c r="M14" s="87"/>
      <c r="N14" s="87"/>
    </row>
    <row r="15" spans="1:14" ht="20.100000000000001" customHeight="1" x14ac:dyDescent="0.2">
      <c r="A15" s="32">
        <v>500255</v>
      </c>
      <c r="B15" s="328">
        <f>4813-4253</f>
        <v>560</v>
      </c>
      <c r="I15" s="87"/>
      <c r="J15" s="496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28">
        <f>312-279</f>
        <v>33</v>
      </c>
      <c r="I16" s="87"/>
      <c r="J16" s="496"/>
      <c r="K16" s="87"/>
      <c r="L16" s="87"/>
      <c r="M16" s="87"/>
      <c r="N16" s="87"/>
    </row>
    <row r="17" spans="1:14" x14ac:dyDescent="0.2">
      <c r="A17" s="287">
        <v>500267</v>
      </c>
      <c r="B17" s="354">
        <f>556732-579413</f>
        <v>-22681</v>
      </c>
      <c r="I17" s="87"/>
      <c r="J17" s="496"/>
      <c r="K17" s="87"/>
      <c r="L17" s="87"/>
      <c r="M17" s="87"/>
      <c r="N17" s="87"/>
    </row>
    <row r="18" spans="1:14" x14ac:dyDescent="0.2">
      <c r="B18" s="14">
        <f>SUM(B8:B17)</f>
        <v>19313</v>
      </c>
      <c r="I18" s="87"/>
      <c r="J18" s="496"/>
      <c r="K18" s="87"/>
      <c r="L18" s="87"/>
      <c r="M18" s="87"/>
      <c r="N18" s="87"/>
    </row>
    <row r="19" spans="1:14" x14ac:dyDescent="0.2">
      <c r="B19" s="15">
        <f>+summary!H5</f>
        <v>2.04</v>
      </c>
      <c r="C19" s="201">
        <f>+B19*B18</f>
        <v>39398.520000000004</v>
      </c>
      <c r="G19" s="32"/>
      <c r="H19" s="397"/>
      <c r="I19" s="340"/>
      <c r="J19" s="496"/>
      <c r="K19" s="87"/>
      <c r="L19" s="87"/>
      <c r="M19" s="87"/>
      <c r="N19" s="87"/>
    </row>
    <row r="20" spans="1:14" x14ac:dyDescent="0.2">
      <c r="C20" s="334">
        <f>+C19+C5</f>
        <v>1536736.44</v>
      </c>
      <c r="E20" s="15"/>
      <c r="G20" s="32"/>
      <c r="H20" s="397"/>
      <c r="I20" s="340"/>
      <c r="J20" s="496"/>
      <c r="K20" s="87"/>
      <c r="L20" s="87"/>
      <c r="M20" s="87"/>
      <c r="N20" s="87"/>
    </row>
    <row r="21" spans="1:14" x14ac:dyDescent="0.2">
      <c r="E21" s="15"/>
      <c r="G21" s="32"/>
      <c r="H21" s="397"/>
      <c r="I21" s="340"/>
      <c r="J21" s="496"/>
      <c r="K21" s="87"/>
      <c r="L21" s="87"/>
      <c r="M21" s="87"/>
      <c r="N21" s="87"/>
    </row>
    <row r="22" spans="1:14" x14ac:dyDescent="0.2">
      <c r="A22" s="32" t="s">
        <v>87</v>
      </c>
      <c r="G22" s="32"/>
      <c r="H22" s="397"/>
      <c r="I22" s="340"/>
      <c r="J22" s="496"/>
      <c r="K22" s="87"/>
      <c r="L22" s="87"/>
      <c r="M22" s="87"/>
      <c r="N22" s="87"/>
    </row>
    <row r="23" spans="1:14" x14ac:dyDescent="0.2">
      <c r="A23" s="2" t="s">
        <v>74</v>
      </c>
      <c r="G23" s="32"/>
      <c r="H23" s="397"/>
      <c r="I23" s="340"/>
      <c r="J23" s="496"/>
      <c r="K23" s="87"/>
      <c r="L23" s="87"/>
      <c r="M23" s="87"/>
      <c r="N23" s="87"/>
    </row>
    <row r="24" spans="1:14" x14ac:dyDescent="0.2">
      <c r="G24" s="32"/>
      <c r="H24" s="397"/>
      <c r="I24" s="340"/>
      <c r="J24" s="496"/>
      <c r="K24" s="87"/>
      <c r="L24" s="87"/>
      <c r="M24" s="87"/>
      <c r="N24" s="87"/>
    </row>
    <row r="25" spans="1:14" x14ac:dyDescent="0.2">
      <c r="G25" s="32"/>
      <c r="H25" s="397"/>
      <c r="I25" s="340"/>
      <c r="J25" s="496"/>
      <c r="K25" s="87"/>
      <c r="L25" s="87"/>
      <c r="M25" s="87"/>
      <c r="N25" s="87"/>
    </row>
    <row r="26" spans="1:14" x14ac:dyDescent="0.2">
      <c r="A26" s="200">
        <v>37225</v>
      </c>
      <c r="C26" s="574">
        <v>275313.71999999997</v>
      </c>
      <c r="G26" s="32"/>
      <c r="H26" s="15"/>
      <c r="I26" s="340"/>
      <c r="J26" s="496"/>
      <c r="K26" s="87"/>
      <c r="L26" s="87"/>
      <c r="M26" s="87"/>
      <c r="N26" s="87"/>
    </row>
    <row r="27" spans="1:14" x14ac:dyDescent="0.2">
      <c r="F27" s="264"/>
      <c r="G27" s="32"/>
      <c r="H27" s="15"/>
      <c r="I27" s="87"/>
      <c r="J27" s="496"/>
      <c r="K27" s="87"/>
      <c r="L27" s="87"/>
      <c r="M27" s="87"/>
      <c r="N27" s="87"/>
    </row>
    <row r="28" spans="1:14" x14ac:dyDescent="0.2">
      <c r="A28" s="57">
        <v>37235</v>
      </c>
      <c r="G28" s="32"/>
      <c r="H28" s="15"/>
      <c r="I28" s="87"/>
      <c r="J28" s="496"/>
      <c r="K28" s="87"/>
      <c r="L28" s="87"/>
      <c r="M28" s="87"/>
      <c r="N28" s="87"/>
    </row>
    <row r="29" spans="1:14" x14ac:dyDescent="0.2">
      <c r="A29" s="32">
        <v>9164</v>
      </c>
      <c r="B29" s="212"/>
      <c r="G29" s="32"/>
      <c r="H29" s="15"/>
      <c r="I29" s="87"/>
      <c r="J29" s="496"/>
      <c r="K29" s="87"/>
      <c r="L29" s="87"/>
      <c r="M29" s="87"/>
      <c r="N29" s="87"/>
    </row>
    <row r="30" spans="1:14" x14ac:dyDescent="0.2">
      <c r="A30" s="32">
        <v>9167</v>
      </c>
      <c r="B30" s="212"/>
      <c r="I30" s="87"/>
      <c r="J30" s="49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96"/>
      <c r="K31" s="87"/>
      <c r="L31" s="87"/>
      <c r="M31" s="87"/>
      <c r="N31" s="87"/>
    </row>
    <row r="32" spans="1:14" x14ac:dyDescent="0.2">
      <c r="B32" s="15">
        <f>+summary!H4</f>
        <v>2.02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62">
        <v>363548</v>
      </c>
      <c r="G38" s="553">
        <v>117857</v>
      </c>
      <c r="H38" s="562">
        <v>173271</v>
      </c>
      <c r="I38" s="14"/>
    </row>
    <row r="39" spans="1:9" x14ac:dyDescent="0.2">
      <c r="E39" s="49">
        <f>+A7</f>
        <v>37235</v>
      </c>
      <c r="F39" s="365">
        <f>+B18</f>
        <v>19313</v>
      </c>
      <c r="G39" s="365">
        <f>+B31</f>
        <v>0</v>
      </c>
      <c r="H39" s="365">
        <f>+B46</f>
        <v>2164</v>
      </c>
      <c r="I39" s="14"/>
    </row>
    <row r="40" spans="1:9" x14ac:dyDescent="0.2">
      <c r="A40" s="49">
        <v>37225</v>
      </c>
      <c r="C40" s="574">
        <v>811403.49</v>
      </c>
      <c r="F40" s="14">
        <f>+F39+F38</f>
        <v>382861</v>
      </c>
      <c r="G40" s="14">
        <f>+G39+G38</f>
        <v>117857</v>
      </c>
      <c r="H40" s="14">
        <f>+H39+H38</f>
        <v>175435</v>
      </c>
      <c r="I40" s="14">
        <f>+H40+G40+F40</f>
        <v>676153</v>
      </c>
    </row>
    <row r="41" spans="1:9" x14ac:dyDescent="0.2">
      <c r="G41" s="32"/>
      <c r="H41" s="15"/>
      <c r="I41" s="32"/>
    </row>
    <row r="42" spans="1:9" x14ac:dyDescent="0.2">
      <c r="A42" s="247">
        <v>37233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398"/>
      <c r="I44" s="14"/>
    </row>
    <row r="45" spans="1:9" x14ac:dyDescent="0.2">
      <c r="A45" s="32">
        <v>500392</v>
      </c>
      <c r="B45" s="255">
        <v>349</v>
      </c>
      <c r="G45" s="32"/>
      <c r="H45" s="398"/>
      <c r="I45" s="14"/>
    </row>
    <row r="46" spans="1:9" x14ac:dyDescent="0.2">
      <c r="B46" s="14">
        <f>SUM(B43:B45)</f>
        <v>2164</v>
      </c>
      <c r="G46" s="32"/>
      <c r="H46" s="398"/>
      <c r="I46" s="14"/>
    </row>
    <row r="47" spans="1:9" x14ac:dyDescent="0.2">
      <c r="B47" s="201">
        <f>+summary!H5</f>
        <v>2.04</v>
      </c>
      <c r="C47" s="201">
        <f>+B47*B46</f>
        <v>4414.5600000000004</v>
      </c>
      <c r="H47" s="398"/>
      <c r="I47" s="14"/>
    </row>
    <row r="48" spans="1:9" x14ac:dyDescent="0.2">
      <c r="C48" s="334">
        <f>+C47+C40</f>
        <v>815818.05</v>
      </c>
      <c r="E48" s="206"/>
      <c r="H48" s="398"/>
      <c r="I48" s="14"/>
    </row>
    <row r="49" spans="1:9" x14ac:dyDescent="0.2">
      <c r="E49" s="215"/>
      <c r="H49" s="398"/>
      <c r="I49" s="14"/>
    </row>
    <row r="50" spans="1:9" x14ac:dyDescent="0.2">
      <c r="E50" s="206"/>
      <c r="H50" s="398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79">
        <v>73445.08</v>
      </c>
      <c r="D53" s="32" t="s">
        <v>120</v>
      </c>
      <c r="E53" s="50"/>
      <c r="H53" s="39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80">
        <v>23612.35</v>
      </c>
      <c r="D54" s="32" t="s">
        <v>121</v>
      </c>
      <c r="H54" s="398">
        <v>22664</v>
      </c>
      <c r="I54" s="208">
        <v>18932</v>
      </c>
    </row>
    <row r="55" spans="1:9" x14ac:dyDescent="0.2">
      <c r="H55" s="399"/>
      <c r="I55" s="16"/>
    </row>
    <row r="56" spans="1:9" x14ac:dyDescent="0.2">
      <c r="C56" s="440"/>
    </row>
    <row r="57" spans="1:9" x14ac:dyDescent="0.2">
      <c r="C57" s="327">
        <f>+C54+C53+C48+C33+C20</f>
        <v>2724925.6399999997</v>
      </c>
      <c r="I57" s="14">
        <f>SUM(I40:I54)</f>
        <v>731486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C37" sqref="C3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62">
        <v>-178485</v>
      </c>
      <c r="J34" s="562">
        <v>-108573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244945</v>
      </c>
      <c r="E35" s="11">
        <f>SUM(E4:E34)</f>
        <v>236164</v>
      </c>
      <c r="F35" s="11">
        <f>SUM(F4:F34)</f>
        <v>-8781</v>
      </c>
      <c r="G35" s="11"/>
      <c r="H35" s="49">
        <f>+A40</f>
        <v>37235</v>
      </c>
      <c r="I35" s="365">
        <f>+C36</f>
        <v>0</v>
      </c>
      <c r="J35" s="365">
        <f>+E36</f>
        <v>-8781</v>
      </c>
      <c r="K35" s="208"/>
      <c r="L35" s="14"/>
    </row>
    <row r="36" spans="1:13" x14ac:dyDescent="0.2">
      <c r="C36" s="25">
        <f>+C35-B35</f>
        <v>0</v>
      </c>
      <c r="E36" s="25">
        <f>+E35-D35</f>
        <v>-8781</v>
      </c>
      <c r="F36" s="25">
        <f>+E36+C36</f>
        <v>-8781</v>
      </c>
      <c r="H36" s="32"/>
      <c r="I36" s="14">
        <f>+I35+I34</f>
        <v>-178485</v>
      </c>
      <c r="J36" s="14">
        <f>+J35+J34</f>
        <v>-117354</v>
      </c>
      <c r="K36" s="14">
        <f>+J36+I36</f>
        <v>-295839</v>
      </c>
      <c r="L36" s="14"/>
    </row>
    <row r="37" spans="1:13" x14ac:dyDescent="0.2">
      <c r="C37" s="325">
        <f>+summary!H5</f>
        <v>2.04</v>
      </c>
      <c r="E37" s="104">
        <f>+C37</f>
        <v>2.04</v>
      </c>
      <c r="F37" s="138">
        <f>+F36*E37</f>
        <v>-17913.240000000002</v>
      </c>
    </row>
    <row r="38" spans="1:13" x14ac:dyDescent="0.2">
      <c r="C38" s="138">
        <f>+C37*C36</f>
        <v>0</v>
      </c>
      <c r="E38" s="136">
        <f>+E37*E36</f>
        <v>-17913.240000000002</v>
      </c>
      <c r="F38" s="138">
        <f>+E38+C38</f>
        <v>-17913.240000000002</v>
      </c>
    </row>
    <row r="39" spans="1:13" x14ac:dyDescent="0.2">
      <c r="A39" s="57">
        <v>37225</v>
      </c>
      <c r="B39" s="2" t="s">
        <v>46</v>
      </c>
      <c r="C39" s="575">
        <v>-1023166.39</v>
      </c>
      <c r="D39" s="333"/>
      <c r="E39" s="561">
        <v>-526596.1</v>
      </c>
      <c r="F39" s="332">
        <f>+E39+C39</f>
        <v>-1549762.49</v>
      </c>
    </row>
    <row r="40" spans="1:13" x14ac:dyDescent="0.2">
      <c r="A40" s="57">
        <v>37235</v>
      </c>
      <c r="B40" s="2" t="s">
        <v>46</v>
      </c>
      <c r="C40" s="326">
        <f>+C39+C38</f>
        <v>-1023166.39</v>
      </c>
      <c r="D40" s="257"/>
      <c r="E40" s="326">
        <f>+E39+E38</f>
        <v>-544509.34</v>
      </c>
      <c r="F40" s="326">
        <f>+E40+C40</f>
        <v>-1567675.73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13">
        <v>0</v>
      </c>
      <c r="G44" s="252" t="s">
        <v>48</v>
      </c>
      <c r="J44" s="12">
        <v>22864</v>
      </c>
      <c r="K44" s="493"/>
    </row>
    <row r="45" spans="1:13" x14ac:dyDescent="0.2">
      <c r="C45" s="248"/>
      <c r="D45" s="248"/>
      <c r="E45" s="12">
        <v>20379</v>
      </c>
      <c r="F45" s="574">
        <v>-51695.87</v>
      </c>
      <c r="G45" s="252" t="s">
        <v>123</v>
      </c>
      <c r="J45" s="12">
        <v>20379</v>
      </c>
      <c r="K45" s="553">
        <v>2979</v>
      </c>
      <c r="M45" s="14"/>
    </row>
    <row r="46" spans="1:13" x14ac:dyDescent="0.2">
      <c r="C46" s="248"/>
      <c r="D46" s="248"/>
      <c r="E46" s="12">
        <v>26357</v>
      </c>
      <c r="F46" s="573">
        <f>44144.84-58339.66</f>
        <v>-14194.820000000007</v>
      </c>
      <c r="G46" s="252" t="s">
        <v>124</v>
      </c>
      <c r="J46" s="12">
        <v>26357</v>
      </c>
      <c r="K46" s="553">
        <f>26521-24566</f>
        <v>1955</v>
      </c>
    </row>
    <row r="47" spans="1:13" x14ac:dyDescent="0.2">
      <c r="C47" s="248"/>
      <c r="D47" s="248"/>
      <c r="E47" s="12">
        <v>21544</v>
      </c>
      <c r="F47" s="574">
        <v>61340.160000000003</v>
      </c>
      <c r="G47" s="252" t="s">
        <v>125</v>
      </c>
      <c r="J47" s="12">
        <v>21544</v>
      </c>
      <c r="K47" s="553">
        <v>36108</v>
      </c>
    </row>
    <row r="48" spans="1:13" x14ac:dyDescent="0.2">
      <c r="C48" s="248"/>
      <c r="D48" s="248"/>
      <c r="E48" s="12">
        <v>24532</v>
      </c>
      <c r="F48" s="576">
        <v>-1132591.3500000001</v>
      </c>
      <c r="G48" s="252" t="s">
        <v>122</v>
      </c>
      <c r="J48" s="12">
        <v>24532</v>
      </c>
      <c r="K48" s="562">
        <v>-139694</v>
      </c>
    </row>
    <row r="49" spans="3:13" x14ac:dyDescent="0.2">
      <c r="C49" s="248"/>
      <c r="D49" s="248"/>
      <c r="F49" s="343">
        <f>SUM(F40:F48)</f>
        <v>-2704817.6100000003</v>
      </c>
      <c r="G49" s="248"/>
      <c r="K49" s="14">
        <f>SUM(K36:K48)</f>
        <v>-394491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2724925.6399999997</v>
      </c>
      <c r="M51" s="14">
        <f>+Duke!I57</f>
        <v>731486</v>
      </c>
    </row>
    <row r="53" spans="3:13" x14ac:dyDescent="0.2">
      <c r="F53" s="104">
        <f>+F51+F49</f>
        <v>20108.029999999329</v>
      </c>
      <c r="M53" s="16">
        <f>+M51+K49</f>
        <v>336995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-139694</v>
      </c>
      <c r="C69" s="250">
        <f>+F48</f>
        <v>-1132591.3500000001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1955</v>
      </c>
      <c r="C71" s="264">
        <f>+F46</f>
        <v>-14194.820000000007</v>
      </c>
    </row>
    <row r="72" spans="1:3" x14ac:dyDescent="0.2">
      <c r="A72">
        <v>22864</v>
      </c>
      <c r="B72" s="31">
        <f>+K44</f>
        <v>0</v>
      </c>
      <c r="C72" s="264">
        <f>+F44</f>
        <v>0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-117354</v>
      </c>
      <c r="C74" s="250">
        <f>+E40</f>
        <v>-544509.34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815818.05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382861</v>
      </c>
      <c r="C79" s="264">
        <f>+Duke!C20</f>
        <v>1536736.44</v>
      </c>
    </row>
    <row r="81" spans="2:3" x14ac:dyDescent="0.2">
      <c r="B81" s="31">
        <f>SUM(B68:B80)</f>
        <v>336995</v>
      </c>
      <c r="C81" s="264">
        <f>SUM(C68:C80)</f>
        <v>20108.029999999795</v>
      </c>
    </row>
    <row r="82" spans="2:3" x14ac:dyDescent="0.2">
      <c r="C82">
        <f>+C81/B81</f>
        <v>5.9668630098368806E-2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1" workbookViewId="0">
      <selection activeCell="A42" sqref="A42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2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2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3536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676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59725</v>
      </c>
      <c r="C39" s="11">
        <f t="shared" si="1"/>
        <v>54880</v>
      </c>
      <c r="D39" s="11">
        <f t="shared" si="1"/>
        <v>10255</v>
      </c>
      <c r="E39" s="11">
        <f t="shared" si="1"/>
        <v>3000</v>
      </c>
      <c r="F39" s="129">
        <f t="shared" si="1"/>
        <v>9710</v>
      </c>
      <c r="G39" s="11">
        <f t="shared" si="1"/>
        <v>9446</v>
      </c>
      <c r="H39" s="11">
        <f t="shared" si="1"/>
        <v>14939</v>
      </c>
      <c r="I39" s="11">
        <f t="shared" si="1"/>
        <v>14140</v>
      </c>
      <c r="J39" s="25">
        <f t="shared" si="1"/>
        <v>-13163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-26589.260000000002</v>
      </c>
      <c r="L41"/>
      <c r="R41" s="138"/>
      <c r="X41" s="138"/>
    </row>
    <row r="42" spans="1:24" x14ac:dyDescent="0.2">
      <c r="A42" s="57">
        <v>37225</v>
      </c>
      <c r="C42" s="15"/>
      <c r="J42" s="572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37235</v>
      </c>
      <c r="C43" s="48"/>
      <c r="J43" s="138">
        <f>+J42+J41</f>
        <v>396576.81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62">
        <v>174196</v>
      </c>
      <c r="L47"/>
    </row>
    <row r="48" spans="1:24" x14ac:dyDescent="0.2">
      <c r="A48" s="49">
        <f>+A43</f>
        <v>37235</v>
      </c>
      <c r="B48" s="32"/>
      <c r="C48" s="32"/>
      <c r="D48" s="365">
        <f>+J39</f>
        <v>-13163</v>
      </c>
      <c r="L48"/>
    </row>
    <row r="49" spans="1:12" x14ac:dyDescent="0.2">
      <c r="A49" s="32"/>
      <c r="B49" s="32"/>
      <c r="C49" s="32"/>
      <c r="D49" s="14">
        <f>+D48+D47</f>
        <v>161033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9"/>
  <sheetViews>
    <sheetView tabSelected="1" workbookViewId="0"/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32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0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1.99</v>
      </c>
      <c r="I3" s="391">
        <f ca="1">NOW()</f>
        <v>41887.501028240738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2.02</v>
      </c>
    </row>
    <row r="5" spans="1:32" ht="15" customHeight="1" x14ac:dyDescent="0.2">
      <c r="B5" s="358"/>
      <c r="G5" s="296" t="s">
        <v>118</v>
      </c>
      <c r="H5" s="359">
        <f>+'[2]1001'!$E$39</f>
        <v>2.04</v>
      </c>
    </row>
    <row r="6" spans="1:32" ht="12" customHeight="1" x14ac:dyDescent="0.2">
      <c r="C6" s="460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44">
        <f>+Duke!$C$20</f>
        <v>1536736.44</v>
      </c>
      <c r="C8" s="208">
        <f>+B8/$H$5</f>
        <v>753302.17647058819</v>
      </c>
      <c r="D8" s="381">
        <f>+Duke!A7</f>
        <v>37235</v>
      </c>
      <c r="E8" s="206" t="s">
        <v>86</v>
      </c>
      <c r="F8" s="206" t="s">
        <v>101</v>
      </c>
      <c r="G8" s="206"/>
      <c r="H8" s="70"/>
      <c r="I8" s="47">
        <f>+B8+B9+B39</f>
        <v>20108.029999999329</v>
      </c>
      <c r="J8" s="32"/>
      <c r="K8" s="32"/>
      <c r="L8" s="32"/>
      <c r="M8" s="39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275</v>
      </c>
      <c r="B9" s="544">
        <f>+Duke!$C$54+Duke!$C$53+Duke!$C$48+Duke!$C$33</f>
        <v>1188189.2</v>
      </c>
      <c r="C9" s="208">
        <f>+B9/$H$5</f>
        <v>582445.68627450976</v>
      </c>
      <c r="D9" s="381">
        <f>+DEFS!A40</f>
        <v>37235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29" t="s">
        <v>88</v>
      </c>
      <c r="B10" s="544">
        <f>+NNG!$D$24</f>
        <v>736220.4</v>
      </c>
      <c r="C10" s="282">
        <f t="shared" ref="C10:C15" si="0">+B10/$H$4</f>
        <v>364465.54455445544</v>
      </c>
      <c r="D10" s="381">
        <f>+NNG!A24</f>
        <v>37235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30" t="s">
        <v>83</v>
      </c>
      <c r="B11" s="544">
        <f>+PNM!$D$23</f>
        <v>555889.94999999995</v>
      </c>
      <c r="C11" s="282">
        <f t="shared" si="0"/>
        <v>275193.04455445544</v>
      </c>
      <c r="D11" s="382">
        <f>+PNM!A23</f>
        <v>37235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30" t="s">
        <v>2</v>
      </c>
      <c r="B12" s="544">
        <f>+mewborne!$J$43</f>
        <v>396576.81</v>
      </c>
      <c r="C12" s="282">
        <f t="shared" si="0"/>
        <v>196325.15346534652</v>
      </c>
      <c r="D12" s="382">
        <f>+mewborne!A43</f>
        <v>37235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30" t="s">
        <v>3</v>
      </c>
      <c r="B13" s="544">
        <f>+'Amoco Abo'!$F$43</f>
        <v>357031.5</v>
      </c>
      <c r="C13" s="282">
        <f t="shared" si="0"/>
        <v>176748.26732673266</v>
      </c>
      <c r="D13" s="382">
        <f>+'Amoco Abo'!A43</f>
        <v>37235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30" t="s">
        <v>81</v>
      </c>
      <c r="B14" s="544">
        <f>+Conoco!$F$41</f>
        <v>353549.23</v>
      </c>
      <c r="C14" s="282">
        <f t="shared" si="0"/>
        <v>175024.37128712871</v>
      </c>
      <c r="D14" s="381">
        <f>+Conoco!A41</f>
        <v>37235</v>
      </c>
      <c r="E14" s="32" t="s">
        <v>86</v>
      </c>
      <c r="F14" s="32" t="s">
        <v>114</v>
      </c>
      <c r="G14" s="32" t="s">
        <v>145</v>
      </c>
      <c r="H14" s="32"/>
      <c r="I14" s="32"/>
      <c r="J14" s="32"/>
      <c r="K14" s="32"/>
      <c r="L14" s="32"/>
      <c r="M14" s="39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30" t="s">
        <v>108</v>
      </c>
      <c r="B15" s="544">
        <f>+KN_Westar!F41</f>
        <v>352106.44</v>
      </c>
      <c r="C15" s="282">
        <f t="shared" si="0"/>
        <v>174310.1188118812</v>
      </c>
      <c r="D15" s="382">
        <f>+KN_Westar!A41</f>
        <v>37222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97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0" t="s">
        <v>95</v>
      </c>
      <c r="B16" s="544">
        <f>+C16*$H$4</f>
        <v>364028.24</v>
      </c>
      <c r="C16" s="282">
        <f>+Mojave!D40</f>
        <v>180212</v>
      </c>
      <c r="D16" s="382">
        <f>+Mojave!A40</f>
        <v>37235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29" t="s">
        <v>33</v>
      </c>
      <c r="B17" s="544">
        <f>+C17*$H$4</f>
        <v>318053.03999999998</v>
      </c>
      <c r="C17" s="208">
        <f>+SoCal!F40</f>
        <v>157452</v>
      </c>
      <c r="D17" s="381">
        <f>+SoCal!A40</f>
        <v>37236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30" t="s">
        <v>89</v>
      </c>
      <c r="B18" s="544">
        <f>+C18*$H$5</f>
        <v>260355</v>
      </c>
      <c r="C18" s="282">
        <f>+NGPL!F38</f>
        <v>127625</v>
      </c>
      <c r="D18" s="382">
        <f>+NGPL!A38</f>
        <v>37235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29" t="s">
        <v>29</v>
      </c>
      <c r="B19" s="544">
        <f>+C19*$H$3</f>
        <v>231727.54</v>
      </c>
      <c r="C19" s="282">
        <f>+williams!J40</f>
        <v>116446</v>
      </c>
      <c r="D19" s="381">
        <f>+williams!A40</f>
        <v>37236</v>
      </c>
      <c r="E19" s="206" t="s">
        <v>85</v>
      </c>
      <c r="F19" s="206" t="s">
        <v>147</v>
      </c>
      <c r="G19" s="2" t="s">
        <v>280</v>
      </c>
      <c r="H19" s="32"/>
      <c r="I19" s="32"/>
      <c r="J19" s="32"/>
      <c r="K19" s="32"/>
      <c r="L19" s="32"/>
      <c r="M19" s="39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31" t="s">
        <v>80</v>
      </c>
      <c r="B20" s="543">
        <f>+Agave!$D$24</f>
        <v>167641.46</v>
      </c>
      <c r="C20" s="522">
        <f>+B20/$H$4</f>
        <v>82990.821782178216</v>
      </c>
      <c r="D20" s="521">
        <f>+Agave!A24</f>
        <v>37235</v>
      </c>
      <c r="E20" s="482" t="s">
        <v>86</v>
      </c>
      <c r="F20" s="482" t="s">
        <v>103</v>
      </c>
      <c r="G20" s="482"/>
      <c r="H20" s="32"/>
      <c r="I20" s="32"/>
      <c r="J20" s="32"/>
      <c r="K20" s="32"/>
      <c r="L20" s="32"/>
      <c r="M20" s="39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30" t="s">
        <v>220</v>
      </c>
      <c r="B21" s="544">
        <f>+Dominion!D41</f>
        <v>176714.27000000002</v>
      </c>
      <c r="C21" s="282">
        <f>+B21/$H$5</f>
        <v>86624.642156862756</v>
      </c>
      <c r="D21" s="382">
        <f>+Dominion!A41</f>
        <v>37235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7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30" t="s">
        <v>115</v>
      </c>
      <c r="B22" s="544">
        <f>+C22*$H$4</f>
        <v>165694.54</v>
      </c>
      <c r="C22" s="208">
        <f>+'PG&amp;E'!D40</f>
        <v>82027</v>
      </c>
      <c r="D22" s="382">
        <f>+'PG&amp;E'!A40</f>
        <v>37236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 t="s">
        <v>262</v>
      </c>
      <c r="M22" s="397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30" t="s">
        <v>24</v>
      </c>
      <c r="B23" s="548">
        <f>+C23*$H$3</f>
        <v>161144.23000000001</v>
      </c>
      <c r="C23" s="363">
        <f>+'Red C'!F43</f>
        <v>80977</v>
      </c>
      <c r="D23" s="381">
        <f>+'Red C'!B43</f>
        <v>37235</v>
      </c>
      <c r="E23" s="206" t="s">
        <v>85</v>
      </c>
      <c r="F23" s="32" t="s">
        <v>116</v>
      </c>
      <c r="G23" s="32"/>
      <c r="H23" s="32"/>
      <c r="I23" s="32"/>
      <c r="J23" s="32"/>
      <c r="K23" s="32"/>
      <c r="L23" s="32" t="s">
        <v>262</v>
      </c>
      <c r="M23" s="397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30" t="s">
        <v>223</v>
      </c>
      <c r="B24" s="544">
        <f>+Devon!D41</f>
        <v>147908.97</v>
      </c>
      <c r="C24" s="282">
        <f>+B24/$H$5</f>
        <v>72504.397058823524</v>
      </c>
      <c r="D24" s="382">
        <f>+Devon!A41</f>
        <v>37235</v>
      </c>
      <c r="E24" s="32" t="s">
        <v>86</v>
      </c>
      <c r="F24" s="32" t="s">
        <v>100</v>
      </c>
      <c r="G24" s="32"/>
      <c r="H24" s="32"/>
      <c r="I24" s="32"/>
      <c r="J24" s="32"/>
      <c r="K24" s="32"/>
      <c r="L24" s="32" t="s">
        <v>262</v>
      </c>
      <c r="M24" s="397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30" t="s">
        <v>231</v>
      </c>
      <c r="B25" s="544">
        <f>+Amarillo!P41</f>
        <v>112382.84</v>
      </c>
      <c r="C25" s="282">
        <f>+B25/$H$4</f>
        <v>55635.069306930694</v>
      </c>
      <c r="D25" s="382">
        <f>+Amarillo!A41</f>
        <v>37235</v>
      </c>
      <c r="E25" s="32" t="s">
        <v>86</v>
      </c>
      <c r="F25" s="32" t="s">
        <v>114</v>
      </c>
      <c r="G25" s="32"/>
      <c r="H25" s="32"/>
      <c r="I25" s="32"/>
      <c r="J25" s="32"/>
      <c r="K25" s="32"/>
      <c r="L25" s="32" t="s">
        <v>262</v>
      </c>
      <c r="M25" s="397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29" t="s">
        <v>129</v>
      </c>
      <c r="B26" s="544">
        <f>+Calpine!D41</f>
        <v>93714.12</v>
      </c>
      <c r="C26" s="208">
        <f>+B26/$H$4</f>
        <v>46393.128712871287</v>
      </c>
      <c r="D26" s="381">
        <f>+Calpine!A41</f>
        <v>37236</v>
      </c>
      <c r="E26" s="206" t="s">
        <v>86</v>
      </c>
      <c r="F26" s="206" t="s">
        <v>100</v>
      </c>
      <c r="G26" s="206"/>
      <c r="H26" s="32"/>
      <c r="I26" s="32"/>
      <c r="J26" s="32"/>
      <c r="K26" s="32"/>
      <c r="L26" s="32" t="s">
        <v>262</v>
      </c>
      <c r="M26" s="397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30" t="s">
        <v>131</v>
      </c>
      <c r="B27" s="544">
        <f>+EPFS!D41</f>
        <v>64780.91</v>
      </c>
      <c r="C27" s="208">
        <f>+B27/$H$5</f>
        <v>31755.348039215689</v>
      </c>
      <c r="D27" s="381">
        <f>+EPFS!A41</f>
        <v>37235</v>
      </c>
      <c r="E27" s="32" t="s">
        <v>86</v>
      </c>
      <c r="F27" s="32" t="s">
        <v>103</v>
      </c>
      <c r="G27" s="32"/>
      <c r="H27" s="32"/>
      <c r="I27" s="32"/>
      <c r="J27" s="32"/>
      <c r="K27" s="32"/>
      <c r="L27" s="32" t="s">
        <v>262</v>
      </c>
      <c r="M27" s="397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29" t="s">
        <v>141</v>
      </c>
      <c r="B28" s="544">
        <f>+'Citizens-Griffith'!D41</f>
        <v>66541.960000000006</v>
      </c>
      <c r="C28" s="282">
        <f>+B28/$H$4</f>
        <v>32941.564356435643</v>
      </c>
      <c r="D28" s="381">
        <f>+'Citizens-Griffith'!A41</f>
        <v>37235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33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206" t="s">
        <v>34</v>
      </c>
      <c r="B29" s="544">
        <f>+'El Paso'!C39*summary!H4+'El Paso'!E39*summary!H3</f>
        <v>68649.680000000008</v>
      </c>
      <c r="C29" s="282">
        <f>+'El Paso'!H39</f>
        <v>33530</v>
      </c>
      <c r="D29" s="381">
        <f>+'El Paso'!A39</f>
        <v>37235</v>
      </c>
      <c r="E29" s="206" t="s">
        <v>85</v>
      </c>
      <c r="F29" s="206" t="s">
        <v>101</v>
      </c>
      <c r="G29" s="206"/>
      <c r="H29" s="206"/>
      <c r="I29" s="206"/>
      <c r="J29" s="206"/>
      <c r="K29" s="206"/>
      <c r="L29" s="206" t="s">
        <v>261</v>
      </c>
      <c r="M29" s="533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">
      <c r="A30" s="530" t="s">
        <v>133</v>
      </c>
      <c r="B30" s="544">
        <f>+SidR!D41</f>
        <v>55578.31</v>
      </c>
      <c r="C30" s="282">
        <f>+B30/$H$5</f>
        <v>27244.269607843136</v>
      </c>
      <c r="D30" s="382">
        <f>+SidR!A41</f>
        <v>37236</v>
      </c>
      <c r="E30" s="32" t="s">
        <v>86</v>
      </c>
      <c r="F30" s="32" t="s">
        <v>103</v>
      </c>
      <c r="G30" s="32"/>
      <c r="H30" s="206"/>
      <c r="I30" s="206"/>
      <c r="J30" s="206"/>
      <c r="K30" s="206"/>
      <c r="L30" s="206"/>
      <c r="M30" s="533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">
      <c r="A31" s="530" t="s">
        <v>1</v>
      </c>
      <c r="B31" s="544">
        <f>+C31*$H$3</f>
        <v>33945.42</v>
      </c>
      <c r="C31" s="208">
        <f>+NW!$F$41</f>
        <v>17058</v>
      </c>
      <c r="D31" s="381">
        <f>+NW!B41</f>
        <v>37235</v>
      </c>
      <c r="E31" s="32" t="s">
        <v>85</v>
      </c>
      <c r="F31" s="32" t="s">
        <v>116</v>
      </c>
      <c r="G31" s="367"/>
      <c r="H31" s="206"/>
      <c r="I31" s="206"/>
      <c r="J31" s="206"/>
      <c r="K31" s="206"/>
      <c r="L31" s="206"/>
      <c r="M31" s="533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">
      <c r="A32" s="530" t="s">
        <v>111</v>
      </c>
      <c r="B32" s="544">
        <f>+C32*$H$4</f>
        <v>33628.959999999999</v>
      </c>
      <c r="C32" s="282">
        <f>+CIG!D42</f>
        <v>16648</v>
      </c>
      <c r="D32" s="382">
        <f>+CIG!A42</f>
        <v>37235</v>
      </c>
      <c r="E32" s="206" t="s">
        <v>85</v>
      </c>
      <c r="F32" s="32" t="s">
        <v>114</v>
      </c>
      <c r="G32" s="32"/>
      <c r="H32" s="252"/>
      <c r="I32" s="252"/>
      <c r="J32" s="252"/>
      <c r="K32" s="252"/>
      <c r="L32" s="32" t="s">
        <v>263</v>
      </c>
      <c r="M32" s="533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">
      <c r="A33" s="529" t="s">
        <v>110</v>
      </c>
      <c r="B33" s="544">
        <f>+Continental!F43</f>
        <v>30319.09</v>
      </c>
      <c r="C33" s="208">
        <f>+B33/$H$4</f>
        <v>15009.450495049505</v>
      </c>
      <c r="D33" s="381">
        <f>+Continental!A43</f>
        <v>37235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263</v>
      </c>
      <c r="M33" s="397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">
      <c r="A34" s="206" t="s">
        <v>96</v>
      </c>
      <c r="B34" s="544">
        <f>+burlington!D42</f>
        <v>5062.93</v>
      </c>
      <c r="C34" s="282">
        <f>+B34/$H$3</f>
        <v>2544.1859296482412</v>
      </c>
      <c r="D34" s="381">
        <f>+burlington!A42</f>
        <v>37235</v>
      </c>
      <c r="E34" s="206" t="s">
        <v>86</v>
      </c>
      <c r="F34" s="32" t="s">
        <v>114</v>
      </c>
      <c r="G34" s="32"/>
      <c r="H34" s="206"/>
      <c r="I34" s="206"/>
      <c r="J34" s="206"/>
      <c r="K34" s="206"/>
      <c r="L34" s="32" t="s">
        <v>263</v>
      </c>
      <c r="M34" s="397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s="300" customFormat="1" ht="13.5" customHeight="1" x14ac:dyDescent="0.2">
      <c r="A35" s="530" t="s">
        <v>32</v>
      </c>
      <c r="B35" s="585">
        <f>+C35*$H$4</f>
        <v>1620.04</v>
      </c>
      <c r="C35" s="71">
        <f>+Lonestar!F42</f>
        <v>802</v>
      </c>
      <c r="D35" s="381">
        <f>+Lonestar!B42</f>
        <v>37235</v>
      </c>
      <c r="E35" s="32" t="s">
        <v>85</v>
      </c>
      <c r="F35" s="32" t="s">
        <v>103</v>
      </c>
      <c r="G35" s="32"/>
      <c r="H35" s="206"/>
      <c r="I35" s="206"/>
      <c r="J35" s="206"/>
      <c r="K35" s="206"/>
      <c r="L35" s="32"/>
      <c r="M35" s="397"/>
      <c r="N35" s="70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">
      <c r="A36" s="32" t="s">
        <v>97</v>
      </c>
      <c r="B36" s="47">
        <f>SUM(B8:B35)</f>
        <v>8035791.5199999986</v>
      </c>
      <c r="C36" s="69">
        <f>SUM(C8:C35)</f>
        <v>3964234.2401909563</v>
      </c>
      <c r="D36" s="205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5"/>
      <c r="E37" s="32"/>
      <c r="F37" s="366"/>
      <c r="G37" s="32"/>
      <c r="H37" s="32"/>
      <c r="I37" s="32"/>
      <c r="J37" s="32"/>
      <c r="K37" s="32"/>
      <c r="L37" s="32"/>
      <c r="M37" s="39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48" t="s">
        <v>90</v>
      </c>
      <c r="B38" s="349" t="s">
        <v>17</v>
      </c>
      <c r="C38" s="350" t="s">
        <v>0</v>
      </c>
      <c r="D38" s="357" t="s">
        <v>149</v>
      </c>
      <c r="E38" s="348" t="s">
        <v>91</v>
      </c>
      <c r="F38" s="351" t="s">
        <v>102</v>
      </c>
      <c r="G38" s="348" t="s">
        <v>99</v>
      </c>
      <c r="H38" s="32"/>
      <c r="I38" s="32"/>
      <c r="J38" s="32"/>
      <c r="K38" s="32"/>
      <c r="L38" s="32"/>
      <c r="M38" s="39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06" t="s">
        <v>267</v>
      </c>
      <c r="B39" s="547">
        <f>+DEFS!$C$40+DEFS!$E$40+DEFS!$F$44+DEFS!$F$45+DEFS!$F$46+DEFS!$F$47+DEFS!$F$48</f>
        <v>-2704817.6100000003</v>
      </c>
      <c r="C39" s="363">
        <f>+B39/$H$5</f>
        <v>-1325890.9852941178</v>
      </c>
      <c r="D39" s="381">
        <f>+DEFS!A40</f>
        <v>37235</v>
      </c>
      <c r="E39" s="206" t="s">
        <v>86</v>
      </c>
      <c r="F39" s="32" t="s">
        <v>101</v>
      </c>
      <c r="G39" s="348"/>
      <c r="H39" s="32"/>
      <c r="I39" s="32"/>
      <c r="J39" s="32"/>
      <c r="K39" s="32"/>
      <c r="L39" s="32"/>
      <c r="M39" s="39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6" t="s">
        <v>137</v>
      </c>
      <c r="B40" s="544">
        <f>+Citizens!D18</f>
        <v>-521519.44</v>
      </c>
      <c r="C40" s="208">
        <f>+B40/$H$4</f>
        <v>-258177.94059405942</v>
      </c>
      <c r="D40" s="381">
        <f>+Citizens!A18</f>
        <v>37235</v>
      </c>
      <c r="E40" s="206" t="s">
        <v>86</v>
      </c>
      <c r="F40" s="206" t="s">
        <v>100</v>
      </c>
      <c r="G40" s="367"/>
      <c r="H40" s="32"/>
      <c r="I40" s="32"/>
      <c r="J40" s="32"/>
      <c r="K40" s="32"/>
      <c r="L40" s="32"/>
      <c r="M40" s="39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135</v>
      </c>
      <c r="B41" s="544">
        <f>+'NS Steel'!D41</f>
        <v>-346903.34</v>
      </c>
      <c r="C41" s="208">
        <f>+B41/$H$4</f>
        <v>-171734.32673267327</v>
      </c>
      <c r="D41" s="382">
        <f>+'NS Steel'!A41</f>
        <v>37235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06" t="s">
        <v>279</v>
      </c>
      <c r="B42" s="544">
        <f>+MiVida_Rich!D41</f>
        <v>-195699.5</v>
      </c>
      <c r="C42" s="208">
        <f>+B42/$H$5</f>
        <v>-95931.127450980392</v>
      </c>
      <c r="D42" s="381">
        <f>+MiVida_Rich!A41</f>
        <v>37225</v>
      </c>
      <c r="E42" s="206" t="s">
        <v>86</v>
      </c>
      <c r="F42" s="206" t="s">
        <v>100</v>
      </c>
      <c r="G42" s="367"/>
      <c r="H42" s="32"/>
      <c r="I42" s="32"/>
      <c r="J42" s="32"/>
      <c r="K42" s="32"/>
      <c r="L42" s="32"/>
      <c r="M42" s="39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32" t="s">
        <v>229</v>
      </c>
      <c r="B43" s="544">
        <f>+crosstex!F41</f>
        <v>-120641.36</v>
      </c>
      <c r="C43" s="208">
        <f>+B43/$H$4</f>
        <v>-59723.445544554452</v>
      </c>
      <c r="D43" s="382">
        <f>+crosstex!A41</f>
        <v>37235</v>
      </c>
      <c r="E43" s="32" t="s">
        <v>86</v>
      </c>
      <c r="F43" s="32" t="s">
        <v>101</v>
      </c>
      <c r="G43" s="367"/>
      <c r="H43" s="32"/>
      <c r="I43" s="32"/>
      <c r="J43" s="32"/>
      <c r="K43" s="32"/>
      <c r="L43" s="32"/>
      <c r="M43" s="39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2.95" customHeight="1" x14ac:dyDescent="0.2">
      <c r="A44" s="32" t="s">
        <v>6</v>
      </c>
      <c r="B44" s="544">
        <f>+C44*$H$3</f>
        <v>-121344.23</v>
      </c>
      <c r="C44" s="282">
        <f>+Amoco!D40</f>
        <v>-60977</v>
      </c>
      <c r="D44" s="382">
        <f>+Amoco!A40</f>
        <v>37236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33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s="300" customFormat="1" ht="13.5" customHeight="1" x14ac:dyDescent="0.2">
      <c r="A45" s="32" t="s">
        <v>150</v>
      </c>
      <c r="B45" s="544">
        <f>+PGETX!$H$39</f>
        <v>-105467.86</v>
      </c>
      <c r="C45" s="282">
        <f>+B45/$H$4</f>
        <v>-52211.811881188121</v>
      </c>
      <c r="D45" s="382">
        <f>+PGETX!E39</f>
        <v>37235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33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ht="13.5" customHeight="1" x14ac:dyDescent="0.2">
      <c r="A46" s="206" t="s">
        <v>144</v>
      </c>
      <c r="B46" s="547">
        <f>+C46*$H$4</f>
        <v>-58501.22</v>
      </c>
      <c r="C46" s="363">
        <f>+PEPL!D41</f>
        <v>-28961</v>
      </c>
      <c r="D46" s="381">
        <f>+PEPL!A41</f>
        <v>37235</v>
      </c>
      <c r="E46" s="206" t="s">
        <v>85</v>
      </c>
      <c r="F46" s="206" t="s">
        <v>101</v>
      </c>
      <c r="G46" s="32"/>
      <c r="H46" s="32"/>
      <c r="I46" s="32"/>
      <c r="J46" s="32"/>
      <c r="K46" s="32"/>
      <c r="L46" s="32"/>
      <c r="M46" s="397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">
      <c r="A47" s="32" t="s">
        <v>104</v>
      </c>
      <c r="B47" s="544">
        <f>+EOG!$J$41</f>
        <v>-40950.44</v>
      </c>
      <c r="C47" s="282">
        <f>+B47/$H$4</f>
        <v>-20272.495049504952</v>
      </c>
      <c r="D47" s="381">
        <f>+EOG!A41</f>
        <v>37235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9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7</v>
      </c>
      <c r="B48" s="544">
        <f>+C48*$H$4</f>
        <v>-18060.82</v>
      </c>
      <c r="C48" s="208">
        <f>+Oasis!D40</f>
        <v>-8941</v>
      </c>
      <c r="D48" s="382">
        <f>+Oasis!B40</f>
        <v>37235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206" t="s">
        <v>217</v>
      </c>
      <c r="B49" s="547">
        <f>+WTG!V43</f>
        <v>-16238.24</v>
      </c>
      <c r="C49" s="208">
        <f>+B49/$H$4</f>
        <v>-8038.7326732673264</v>
      </c>
      <c r="D49" s="381">
        <f>+WTG!A43</f>
        <v>37233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2.95" customHeight="1" x14ac:dyDescent="0.2">
      <c r="A50" s="32" t="s">
        <v>320</v>
      </c>
      <c r="B50" s="544">
        <f>+SWGasTrans!$D$41</f>
        <v>-1029.6999999999998</v>
      </c>
      <c r="C50" s="282">
        <f>+B50/$H$4</f>
        <v>-509.75247524752467</v>
      </c>
      <c r="D50" s="381">
        <f>+SWGasTrans!A41</f>
        <v>37235</v>
      </c>
      <c r="E50" s="32" t="s">
        <v>86</v>
      </c>
      <c r="F50" s="32" t="s">
        <v>100</v>
      </c>
      <c r="G50" s="32"/>
      <c r="H50" s="32"/>
      <c r="I50" s="32"/>
      <c r="J50" s="32"/>
      <c r="K50" s="32"/>
      <c r="L50" s="32"/>
      <c r="M50" s="39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5" customHeight="1" x14ac:dyDescent="0.2">
      <c r="A51" s="529" t="s">
        <v>72</v>
      </c>
      <c r="B51" s="545">
        <f>+transcol!$D$43</f>
        <v>-1051.9700000000012</v>
      </c>
      <c r="C51" s="290">
        <f>+B51/$H$4</f>
        <v>-520.77722772277286</v>
      </c>
      <c r="D51" s="381">
        <f>+transcol!A43</f>
        <v>37235</v>
      </c>
      <c r="E51" s="206" t="s">
        <v>86</v>
      </c>
      <c r="F51" s="206" t="s">
        <v>116</v>
      </c>
      <c r="G51" s="32"/>
      <c r="H51" s="32"/>
      <c r="I51" s="32"/>
      <c r="J51" s="32"/>
      <c r="K51" s="32"/>
      <c r="L51" s="32"/>
      <c r="M51" s="39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32" t="s">
        <v>98</v>
      </c>
      <c r="B52" s="361">
        <f>SUM(B39:B51)</f>
        <v>-4252225.7300000004</v>
      </c>
      <c r="C52" s="208">
        <f>SUM(C39:C51)</f>
        <v>-2091890.3949233161</v>
      </c>
      <c r="D52" s="368"/>
      <c r="E52" s="32"/>
      <c r="F52" s="32"/>
      <c r="G52" s="32"/>
      <c r="H52" s="32"/>
      <c r="I52" s="32"/>
      <c r="J52" s="32"/>
      <c r="K52" s="32"/>
      <c r="L52" s="32"/>
      <c r="M52" s="39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2.95" customHeight="1" x14ac:dyDescent="0.2">
      <c r="A53" s="32"/>
      <c r="B53" s="364"/>
      <c r="C53" s="71"/>
      <c r="D53" s="205"/>
      <c r="E53" s="32"/>
      <c r="F53" s="32"/>
      <c r="G53" s="32"/>
      <c r="H53" s="32"/>
      <c r="I53" s="32"/>
      <c r="J53" s="32"/>
      <c r="K53" s="32"/>
      <c r="L53" s="32"/>
      <c r="M53" s="39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5" thickBot="1" x14ac:dyDescent="0.25">
      <c r="A54" s="2" t="s">
        <v>92</v>
      </c>
      <c r="B54" s="369">
        <f>+B52+B36</f>
        <v>3783565.7899999982</v>
      </c>
      <c r="C54" s="370">
        <f>+C52+C36</f>
        <v>1872343.8452676402</v>
      </c>
      <c r="D54" s="205"/>
      <c r="E54" s="32"/>
      <c r="F54" s="32"/>
      <c r="G54" s="32"/>
      <c r="H54" s="32"/>
      <c r="I54" s="32"/>
      <c r="J54" s="32"/>
      <c r="K54" s="32"/>
      <c r="L54" s="32"/>
      <c r="M54" s="39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Top="1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2" t="s">
        <v>93</v>
      </c>
      <c r="B56" s="47"/>
      <c r="C56" s="301"/>
      <c r="D56" s="205"/>
      <c r="E56" s="32"/>
      <c r="F56" s="32"/>
      <c r="G56" s="32"/>
      <c r="H56" s="32"/>
      <c r="I56" s="32"/>
      <c r="J56" s="32"/>
      <c r="K56" s="32"/>
      <c r="L56" s="32"/>
      <c r="M56" s="39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2" t="s">
        <v>283</v>
      </c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 t="s">
        <v>281</v>
      </c>
      <c r="B62" s="47"/>
      <c r="C62" s="14"/>
      <c r="D62" s="205"/>
      <c r="E62" s="136"/>
      <c r="F62" s="32"/>
      <c r="G62" s="32"/>
      <c r="H62" s="32"/>
      <c r="I62" s="32"/>
      <c r="J62" s="32"/>
      <c r="K62" s="32"/>
      <c r="L62" s="32"/>
      <c r="M62" s="39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 t="s">
        <v>282</v>
      </c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47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9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47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371"/>
      <c r="C69" s="372"/>
      <c r="D69" s="205"/>
      <c r="E69" s="32"/>
      <c r="F69" s="32"/>
      <c r="G69" s="32"/>
      <c r="H69" s="32"/>
      <c r="I69" s="32"/>
      <c r="J69" s="32"/>
      <c r="K69" s="32"/>
      <c r="L69" s="32"/>
      <c r="M69" s="39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 t="s">
        <v>284</v>
      </c>
      <c r="B70" s="75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 t="s">
        <v>285</v>
      </c>
      <c r="B71" s="7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9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 t="s">
        <v>287</v>
      </c>
      <c r="B72" s="75">
        <v>-8065.83</v>
      </c>
      <c r="C72" s="69"/>
      <c r="D72" s="205"/>
      <c r="E72" s="32"/>
      <c r="F72" s="32"/>
      <c r="G72" s="32"/>
      <c r="H72" s="32"/>
      <c r="I72" s="32"/>
      <c r="J72" s="32"/>
      <c r="K72" s="32"/>
      <c r="L72" s="32"/>
      <c r="M72" s="39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 t="s">
        <v>288</v>
      </c>
      <c r="B73" s="75">
        <v>8689.86</v>
      </c>
      <c r="C73" s="69" t="s">
        <v>289</v>
      </c>
      <c r="D73" s="373"/>
      <c r="E73" s="32"/>
      <c r="F73" s="32"/>
      <c r="G73" s="32"/>
      <c r="H73" s="32"/>
      <c r="I73" s="32"/>
      <c r="J73" s="32"/>
      <c r="K73" s="32"/>
      <c r="L73" s="32"/>
      <c r="M73" s="39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 t="s">
        <v>290</v>
      </c>
      <c r="B74" s="75">
        <v>75737.570000000007</v>
      </c>
      <c r="C74" s="301"/>
      <c r="D74" s="205"/>
      <c r="E74" s="32"/>
      <c r="F74" s="32"/>
      <c r="G74" s="32"/>
      <c r="H74" s="32"/>
      <c r="I74" s="32"/>
      <c r="J74" s="32"/>
      <c r="K74" s="32"/>
      <c r="L74" s="32"/>
      <c r="M74" s="39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 t="s">
        <v>291</v>
      </c>
      <c r="B75" s="581" t="s">
        <v>293</v>
      </c>
      <c r="C75" s="301"/>
      <c r="D75" s="374"/>
      <c r="E75" s="375"/>
      <c r="F75" s="32"/>
      <c r="G75" s="32"/>
      <c r="H75" s="32"/>
      <c r="I75" s="32"/>
      <c r="J75" s="32"/>
      <c r="K75" s="32"/>
      <c r="L75" s="32"/>
      <c r="M75" s="39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 t="s">
        <v>292</v>
      </c>
      <c r="B76" s="581" t="s">
        <v>294</v>
      </c>
      <c r="C76" s="301"/>
      <c r="D76" s="376"/>
      <c r="E76" s="32"/>
      <c r="F76" s="32"/>
      <c r="G76" s="32"/>
      <c r="H76" s="32"/>
      <c r="I76" s="32"/>
      <c r="J76" s="32"/>
      <c r="K76" s="32"/>
      <c r="L76" s="32"/>
      <c r="M76" s="39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 t="s">
        <v>297</v>
      </c>
      <c r="B77" s="15">
        <v>97267.53</v>
      </c>
      <c r="C77" s="301"/>
      <c r="D77" s="376"/>
      <c r="E77" s="32"/>
      <c r="F77" s="32"/>
      <c r="G77" s="32"/>
      <c r="H77" s="32"/>
      <c r="I77" s="32"/>
      <c r="J77" s="32"/>
      <c r="K77" s="32"/>
      <c r="L77" s="32"/>
      <c r="M77" s="39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 t="s">
        <v>295</v>
      </c>
      <c r="B78" s="75">
        <v>-1590.44</v>
      </c>
      <c r="C78" s="301"/>
      <c r="D78" s="377"/>
      <c r="E78" s="32"/>
      <c r="F78" s="32"/>
      <c r="G78" s="32"/>
      <c r="H78" s="32"/>
      <c r="I78" s="32"/>
      <c r="J78" s="32"/>
      <c r="K78" s="32"/>
      <c r="L78" s="32"/>
      <c r="M78" s="39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 t="s">
        <v>298</v>
      </c>
      <c r="B79" s="75">
        <v>4290.5</v>
      </c>
      <c r="C79" s="301"/>
      <c r="D79" s="378"/>
      <c r="E79" s="32"/>
      <c r="F79" s="32"/>
      <c r="G79" s="32"/>
      <c r="H79" s="32"/>
      <c r="I79" s="32"/>
      <c r="J79" s="32"/>
      <c r="K79" s="32"/>
      <c r="L79" s="32"/>
      <c r="M79" s="39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 t="s">
        <v>302</v>
      </c>
      <c r="B80" s="75">
        <v>9780.35</v>
      </c>
      <c r="C80" s="577"/>
      <c r="D80" s="205"/>
      <c r="E80" s="32"/>
      <c r="F80" s="32"/>
      <c r="G80" s="32"/>
      <c r="H80" s="32"/>
      <c r="I80" s="32"/>
      <c r="J80" s="32"/>
      <c r="K80" s="32"/>
      <c r="L80" s="32"/>
      <c r="M80" s="39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 t="s">
        <v>305</v>
      </c>
      <c r="B81" s="75">
        <v>47610.18</v>
      </c>
      <c r="C81" s="577"/>
      <c r="D81" s="373"/>
      <c r="E81" s="32"/>
      <c r="F81" s="32"/>
      <c r="G81" s="32"/>
      <c r="H81" s="32"/>
      <c r="I81" s="32"/>
      <c r="J81" s="32"/>
      <c r="K81" s="32"/>
      <c r="L81" s="32"/>
      <c r="M81" s="39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 t="s">
        <v>309</v>
      </c>
      <c r="B82" s="15">
        <v>-1548.84</v>
      </c>
      <c r="C82" s="577"/>
      <c r="D82" s="205"/>
      <c r="E82" s="32"/>
      <c r="F82" s="32"/>
      <c r="G82" s="32"/>
      <c r="H82" s="32"/>
      <c r="I82" s="32"/>
      <c r="J82" s="32"/>
      <c r="K82" s="32"/>
      <c r="L82" s="32"/>
      <c r="M82" s="39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 t="s">
        <v>313</v>
      </c>
      <c r="B83" s="15">
        <v>-10776.55</v>
      </c>
      <c r="C83" s="577"/>
      <c r="D83" s="205"/>
      <c r="E83" s="32"/>
      <c r="F83" s="32"/>
      <c r="G83" s="32"/>
      <c r="H83" s="32"/>
      <c r="I83" s="32"/>
      <c r="J83" s="32"/>
      <c r="K83" s="32"/>
      <c r="L83" s="32"/>
      <c r="M83" s="39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 t="s">
        <v>314</v>
      </c>
      <c r="B84" s="15">
        <v>9125.5499999999993</v>
      </c>
      <c r="C84" s="578"/>
      <c r="D84" s="373"/>
      <c r="E84" s="32"/>
      <c r="F84" s="32"/>
      <c r="G84" s="32"/>
      <c r="H84" s="32"/>
      <c r="I84" s="32"/>
      <c r="J84" s="32"/>
      <c r="K84" s="32"/>
      <c r="L84" s="32"/>
      <c r="M84" s="39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 t="s">
        <v>316</v>
      </c>
      <c r="B85" s="583" t="s">
        <v>317</v>
      </c>
      <c r="C85" s="578"/>
      <c r="D85" s="373"/>
      <c r="E85" s="32"/>
      <c r="F85" s="32"/>
      <c r="G85" s="32"/>
      <c r="H85" s="32"/>
      <c r="I85" s="32"/>
      <c r="J85" s="32"/>
      <c r="K85" s="32"/>
      <c r="L85" s="32"/>
      <c r="M85" s="39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 t="s">
        <v>321</v>
      </c>
      <c r="B86" s="15">
        <v>1357.88</v>
      </c>
      <c r="C86" s="578"/>
      <c r="D86" s="373"/>
      <c r="E86" s="32"/>
      <c r="F86" s="32"/>
      <c r="G86" s="32"/>
      <c r="H86" s="32"/>
      <c r="I86" s="32"/>
      <c r="J86" s="32"/>
      <c r="K86" s="32"/>
      <c r="L86" s="32"/>
      <c r="M86" s="39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 t="s">
        <v>312</v>
      </c>
      <c r="B87" s="15">
        <f>44144.84-58339.66</f>
        <v>-14194.820000000007</v>
      </c>
      <c r="C87" s="578">
        <v>26357</v>
      </c>
      <c r="D87" s="205"/>
      <c r="E87" s="32"/>
      <c r="F87" s="32"/>
      <c r="G87" s="32"/>
      <c r="H87" s="32"/>
      <c r="I87" s="32"/>
      <c r="J87" s="32"/>
      <c r="K87" s="32"/>
      <c r="L87" s="32"/>
      <c r="M87" s="39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 t="s">
        <v>312</v>
      </c>
      <c r="B88" s="15">
        <v>-51695.87</v>
      </c>
      <c r="C88" s="578">
        <v>20379</v>
      </c>
      <c r="D88" s="205"/>
      <c r="E88" s="32"/>
      <c r="F88" s="32"/>
      <c r="G88" s="32"/>
      <c r="H88" s="32"/>
      <c r="I88" s="32"/>
      <c r="J88" s="32"/>
      <c r="K88" s="32"/>
      <c r="L88" s="32"/>
      <c r="M88" s="39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 t="s">
        <v>312</v>
      </c>
      <c r="B89" s="15">
        <v>61340.160000000003</v>
      </c>
      <c r="C89" s="578">
        <v>21544</v>
      </c>
      <c r="D89" s="205"/>
      <c r="E89" s="32"/>
      <c r="F89" s="32"/>
      <c r="G89" s="32"/>
      <c r="H89" s="32"/>
      <c r="I89" s="32"/>
      <c r="J89" s="32"/>
      <c r="K89" s="32"/>
      <c r="L89" s="32"/>
      <c r="M89" s="39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 t="s">
        <v>312</v>
      </c>
      <c r="B90" s="264"/>
      <c r="C90" s="578"/>
      <c r="D90" s="205"/>
      <c r="E90" s="32"/>
      <c r="F90" s="32"/>
      <c r="G90" s="32"/>
      <c r="H90" s="32"/>
      <c r="I90" s="32"/>
      <c r="J90" s="32"/>
      <c r="K90" s="32"/>
      <c r="L90" s="32"/>
      <c r="M90" s="39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 t="s">
        <v>322</v>
      </c>
      <c r="B91" s="264">
        <v>828.64</v>
      </c>
      <c r="C91" s="578"/>
      <c r="D91" s="205"/>
      <c r="E91" s="32"/>
      <c r="F91" s="32"/>
      <c r="G91" s="32"/>
      <c r="H91" s="32"/>
      <c r="I91" s="32"/>
      <c r="J91" s="32"/>
      <c r="K91" s="32"/>
      <c r="L91" s="32"/>
      <c r="M91" s="39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 t="s">
        <v>323</v>
      </c>
      <c r="B92" s="264">
        <v>8282.6</v>
      </c>
      <c r="C92" s="578"/>
      <c r="D92" s="205"/>
      <c r="E92" s="32"/>
      <c r="F92" s="32"/>
      <c r="G92" s="32"/>
      <c r="H92" s="32"/>
      <c r="I92" s="32"/>
      <c r="J92" s="32"/>
      <c r="K92" s="32"/>
      <c r="L92" s="32"/>
      <c r="M92" s="39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 t="s">
        <v>315</v>
      </c>
      <c r="B93" s="264">
        <v>17432.3</v>
      </c>
      <c r="C93" s="578"/>
      <c r="D93" s="205"/>
      <c r="E93" s="32"/>
      <c r="F93" s="32"/>
      <c r="G93" s="32"/>
      <c r="H93" s="32"/>
      <c r="I93" s="32"/>
      <c r="J93" s="32"/>
      <c r="K93" s="32"/>
      <c r="L93" s="32"/>
      <c r="M93" s="39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 t="s">
        <v>308</v>
      </c>
      <c r="B94" s="264">
        <v>-7228.77</v>
      </c>
      <c r="C94" s="577"/>
      <c r="D94" s="205"/>
      <c r="E94" s="32"/>
      <c r="F94" s="32"/>
      <c r="G94" s="32"/>
      <c r="H94" s="32"/>
      <c r="I94" s="32"/>
      <c r="J94" s="32"/>
      <c r="K94" s="32"/>
      <c r="L94" s="32"/>
      <c r="M94" s="39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292" t="s">
        <v>307</v>
      </c>
      <c r="B95" s="15">
        <v>249009.74</v>
      </c>
      <c r="C95" s="577"/>
      <c r="D95" s="205"/>
      <c r="E95" s="32"/>
      <c r="F95" s="32"/>
      <c r="G95" s="32"/>
      <c r="H95" s="32"/>
      <c r="I95" s="32"/>
      <c r="J95" s="32"/>
      <c r="K95" s="32"/>
      <c r="L95" s="32"/>
      <c r="M95" s="39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 t="s">
        <v>301</v>
      </c>
      <c r="B96" s="15">
        <v>1974.11</v>
      </c>
      <c r="C96" s="577"/>
      <c r="D96" s="205"/>
      <c r="E96" s="32"/>
      <c r="F96" s="32"/>
      <c r="G96" s="32"/>
      <c r="H96" s="32"/>
      <c r="I96" s="32"/>
      <c r="J96" s="32"/>
      <c r="K96" s="32"/>
      <c r="L96" s="32"/>
      <c r="M96" s="39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 t="s">
        <v>286</v>
      </c>
      <c r="B97" s="75">
        <v>-35893</v>
      </c>
      <c r="C97" s="577"/>
      <c r="D97" s="205"/>
      <c r="E97" s="32"/>
      <c r="F97" s="32"/>
      <c r="G97" s="32"/>
      <c r="H97" s="32"/>
      <c r="I97" s="32"/>
      <c r="J97" s="32"/>
      <c r="K97" s="32"/>
      <c r="L97" s="32"/>
      <c r="M97" s="39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 t="s">
        <v>296</v>
      </c>
      <c r="B98" s="75">
        <v>27281.87</v>
      </c>
      <c r="C98" s="577"/>
      <c r="D98" s="205"/>
      <c r="E98" s="32"/>
      <c r="F98" s="32"/>
      <c r="G98" s="32"/>
      <c r="H98" s="32"/>
      <c r="I98" s="32"/>
      <c r="J98" s="32"/>
      <c r="K98" s="32"/>
      <c r="L98" s="32"/>
      <c r="M98" s="39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 t="s">
        <v>299</v>
      </c>
      <c r="B99" s="75">
        <v>-2614.58</v>
      </c>
      <c r="C99" s="577"/>
      <c r="D99" s="205"/>
      <c r="E99" s="32"/>
      <c r="F99" s="32"/>
      <c r="G99" s="32"/>
      <c r="H99" s="32"/>
      <c r="I99" s="32"/>
      <c r="J99" s="32"/>
      <c r="K99" s="32"/>
      <c r="L99" s="32"/>
      <c r="M99" s="39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 t="s">
        <v>300</v>
      </c>
      <c r="B100" s="75">
        <v>-177733.88</v>
      </c>
      <c r="C100" s="577"/>
      <c r="D100" s="205"/>
      <c r="E100" s="32"/>
      <c r="F100" s="32"/>
      <c r="G100" s="32"/>
      <c r="H100" s="32"/>
      <c r="I100" s="32"/>
      <c r="J100" s="32"/>
      <c r="K100" s="32"/>
      <c r="L100" s="32"/>
      <c r="M100" s="39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303</v>
      </c>
      <c r="B101" s="15">
        <v>3338.45</v>
      </c>
      <c r="C101" s="577"/>
      <c r="D101" s="205"/>
      <c r="E101" s="32"/>
      <c r="F101" s="32"/>
      <c r="G101" s="32"/>
      <c r="H101" s="32"/>
      <c r="I101" s="32"/>
      <c r="J101" s="32"/>
      <c r="K101" s="32"/>
      <c r="L101" s="32"/>
      <c r="M101" s="39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304</v>
      </c>
      <c r="B102" s="15">
        <v>15325.21</v>
      </c>
      <c r="C102" s="577"/>
      <c r="D102" s="205"/>
      <c r="E102" s="32"/>
      <c r="F102" s="32"/>
      <c r="G102" s="32"/>
      <c r="H102" s="32"/>
      <c r="I102" s="32"/>
      <c r="J102" s="32"/>
      <c r="K102" s="32"/>
      <c r="L102" s="32"/>
      <c r="M102" s="39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 t="s">
        <v>306</v>
      </c>
      <c r="B103" s="15">
        <v>-33878.81</v>
      </c>
      <c r="C103" s="577"/>
      <c r="D103" s="205"/>
      <c r="E103" s="32"/>
      <c r="F103" s="32"/>
      <c r="G103" s="32"/>
      <c r="H103" s="32"/>
      <c r="I103" s="32"/>
      <c r="J103" s="32"/>
      <c r="K103" s="32"/>
      <c r="L103" s="32"/>
      <c r="M103" s="39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310</v>
      </c>
      <c r="B104" s="15">
        <v>-726.96</v>
      </c>
      <c r="C104" s="577"/>
      <c r="D104" s="205"/>
      <c r="E104" s="32"/>
      <c r="F104" s="32"/>
      <c r="G104" s="32"/>
      <c r="H104" s="32"/>
      <c r="I104" s="32"/>
      <c r="J104" s="32"/>
      <c r="K104" s="32"/>
      <c r="L104" s="32"/>
      <c r="M104" s="39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311</v>
      </c>
      <c r="B105" s="47">
        <v>-4405.4799999999996</v>
      </c>
      <c r="C105" s="577"/>
      <c r="D105" s="205"/>
      <c r="E105" s="32"/>
      <c r="F105" s="32"/>
      <c r="G105" s="32"/>
      <c r="H105" s="32"/>
      <c r="I105" s="32"/>
      <c r="J105" s="32"/>
      <c r="K105" s="32"/>
      <c r="L105" s="32"/>
      <c r="M105" s="39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577"/>
      <c r="D106" s="205"/>
      <c r="E106" s="32"/>
      <c r="F106" s="32"/>
      <c r="G106" s="32"/>
      <c r="H106" s="32"/>
      <c r="I106" s="32"/>
      <c r="J106" s="32"/>
      <c r="K106" s="32"/>
      <c r="L106" s="32"/>
      <c r="M106" s="39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577"/>
      <c r="D107" s="205"/>
      <c r="E107" s="32"/>
      <c r="F107" s="32"/>
      <c r="G107" s="32"/>
      <c r="H107" s="32"/>
      <c r="I107" s="32"/>
      <c r="J107" s="32"/>
      <c r="K107" s="32"/>
      <c r="L107" s="32"/>
      <c r="M107" s="39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577"/>
      <c r="D108" s="205"/>
      <c r="E108" s="32"/>
      <c r="F108" s="32"/>
      <c r="G108" s="32"/>
      <c r="H108" s="32"/>
      <c r="I108" s="32"/>
      <c r="J108" s="32"/>
      <c r="K108" s="32"/>
      <c r="L108" s="32"/>
      <c r="M108" s="39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16">
        <f>SUM(B71:B109)</f>
        <v>288318.67</v>
      </c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5"/>
      <c r="E365" s="32"/>
      <c r="F365" s="32"/>
      <c r="G365" s="32"/>
      <c r="H365" s="32"/>
      <c r="I365" s="32"/>
      <c r="J365" s="32"/>
      <c r="K365" s="32"/>
      <c r="L365" s="32"/>
      <c r="M365" s="39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5"/>
      <c r="E366" s="32"/>
      <c r="F366" s="32"/>
      <c r="G366" s="32"/>
      <c r="H366" s="32"/>
      <c r="I366" s="32"/>
      <c r="J366" s="32"/>
      <c r="K366" s="32"/>
      <c r="L366" s="32"/>
      <c r="M366" s="39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5"/>
      <c r="E367" s="32"/>
      <c r="F367" s="32"/>
      <c r="G367" s="32"/>
      <c r="H367" s="32"/>
      <c r="I367" s="32"/>
      <c r="J367" s="32"/>
      <c r="K367" s="32"/>
      <c r="L367" s="32"/>
      <c r="M367" s="39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5"/>
      <c r="E368" s="32"/>
      <c r="F368" s="32"/>
      <c r="G368" s="32"/>
      <c r="H368" s="32"/>
      <c r="I368" s="32"/>
      <c r="J368" s="32"/>
      <c r="K368" s="32"/>
      <c r="L368" s="32"/>
      <c r="M368" s="39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5"/>
      <c r="E369" s="32"/>
      <c r="F369" s="32"/>
      <c r="G369" s="32"/>
      <c r="H369" s="32"/>
      <c r="I369" s="32"/>
      <c r="J369" s="32"/>
      <c r="K369" s="32"/>
      <c r="L369" s="32"/>
      <c r="M369" s="39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D38" sqref="D38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49" t="s">
        <v>20</v>
      </c>
      <c r="C7" s="449" t="s">
        <v>21</v>
      </c>
      <c r="D7" s="449" t="s">
        <v>20</v>
      </c>
      <c r="E7" s="449" t="s">
        <v>21</v>
      </c>
      <c r="F7" s="449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0">
        <v>1</v>
      </c>
      <c r="B8" s="430">
        <v>12873</v>
      </c>
      <c r="C8" s="430">
        <v>10932</v>
      </c>
      <c r="D8" s="430"/>
      <c r="E8" s="430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0">
        <v>2</v>
      </c>
      <c r="B9" s="430">
        <v>13275</v>
      </c>
      <c r="C9" s="430">
        <v>10932</v>
      </c>
      <c r="D9" s="430"/>
      <c r="E9" s="430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0">
        <v>3</v>
      </c>
      <c r="B10" s="430">
        <v>15491</v>
      </c>
      <c r="C10" s="430">
        <v>10932</v>
      </c>
      <c r="D10" s="430">
        <v>-1</v>
      </c>
      <c r="E10" s="430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0">
        <v>4</v>
      </c>
      <c r="B11" s="430">
        <v>14090</v>
      </c>
      <c r="C11" s="430">
        <v>10932</v>
      </c>
      <c r="D11" s="430">
        <v>-2</v>
      </c>
      <c r="E11" s="430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0">
        <v>5</v>
      </c>
      <c r="B12" s="430">
        <v>14451</v>
      </c>
      <c r="C12" s="430">
        <v>10932</v>
      </c>
      <c r="D12" s="430">
        <v>-6</v>
      </c>
      <c r="E12" s="430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0">
        <v>6</v>
      </c>
      <c r="B13" s="430">
        <v>13027</v>
      </c>
      <c r="C13" s="430">
        <v>10932</v>
      </c>
      <c r="D13" s="430">
        <v>-56</v>
      </c>
      <c r="E13" s="430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0">
        <v>7</v>
      </c>
      <c r="B14" s="430">
        <v>11185</v>
      </c>
      <c r="C14" s="430">
        <v>10932</v>
      </c>
      <c r="D14" s="430">
        <v>-97</v>
      </c>
      <c r="E14" s="430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0">
        <v>8</v>
      </c>
      <c r="B15" s="430">
        <v>10651</v>
      </c>
      <c r="C15" s="430">
        <v>10866</v>
      </c>
      <c r="D15" s="430">
        <v>-111</v>
      </c>
      <c r="E15" s="430"/>
      <c r="F15" s="317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0">
        <v>9</v>
      </c>
      <c r="B16" s="430">
        <v>10898</v>
      </c>
      <c r="C16" s="430">
        <v>10932</v>
      </c>
      <c r="D16" s="430">
        <v>-36</v>
      </c>
      <c r="E16" s="430"/>
      <c r="F16" s="317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0">
        <v>10</v>
      </c>
      <c r="B17" s="430">
        <v>11139</v>
      </c>
      <c r="C17" s="430">
        <v>10932</v>
      </c>
      <c r="D17" s="430">
        <v>-13</v>
      </c>
      <c r="E17" s="430"/>
      <c r="F17" s="317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0">
        <v>11</v>
      </c>
      <c r="B18" s="430"/>
      <c r="C18" s="430"/>
      <c r="D18" s="430"/>
      <c r="E18" s="430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0">
        <v>12</v>
      </c>
      <c r="B19" s="430"/>
      <c r="C19" s="430"/>
      <c r="D19" s="430"/>
      <c r="E19" s="430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0">
        <v>13</v>
      </c>
      <c r="B20" s="430"/>
      <c r="C20" s="430"/>
      <c r="D20" s="430"/>
      <c r="E20" s="430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0">
        <v>14</v>
      </c>
      <c r="B21" s="430"/>
      <c r="C21" s="430"/>
      <c r="D21" s="430"/>
      <c r="E21" s="430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0">
        <v>15</v>
      </c>
      <c r="B22" s="430"/>
      <c r="C22" s="430"/>
      <c r="D22" s="430"/>
      <c r="E22" s="430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0">
        <v>16</v>
      </c>
      <c r="B23" s="430"/>
      <c r="C23" s="430"/>
      <c r="D23" s="430"/>
      <c r="E23" s="430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0">
        <v>17</v>
      </c>
      <c r="B24" s="430"/>
      <c r="C24" s="430"/>
      <c r="D24" s="430"/>
      <c r="E24" s="430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0">
        <v>18</v>
      </c>
      <c r="B25" s="430"/>
      <c r="C25" s="430"/>
      <c r="D25" s="430"/>
      <c r="E25" s="430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0">
        <v>19</v>
      </c>
      <c r="B26" s="430"/>
      <c r="C26" s="430"/>
      <c r="D26" s="430"/>
      <c r="E26" s="430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0">
        <v>20</v>
      </c>
      <c r="B27" s="457"/>
      <c r="C27" s="430"/>
      <c r="D27" s="430"/>
      <c r="E27" s="430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0">
        <v>21</v>
      </c>
      <c r="B28" s="430"/>
      <c r="C28" s="430"/>
      <c r="D28" s="430"/>
      <c r="E28" s="430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0">
        <v>22</v>
      </c>
      <c r="B29" s="430"/>
      <c r="C29" s="430"/>
      <c r="D29" s="430"/>
      <c r="E29" s="430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0">
        <v>23</v>
      </c>
      <c r="B30" s="430"/>
      <c r="C30" s="430"/>
      <c r="D30" s="430"/>
      <c r="E30" s="430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0">
        <v>24</v>
      </c>
      <c r="B31" s="430"/>
      <c r="C31" s="430"/>
      <c r="D31" s="430"/>
      <c r="E31" s="430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0">
        <v>25</v>
      </c>
      <c r="B32" s="430"/>
      <c r="C32" s="430"/>
      <c r="D32" s="430"/>
      <c r="E32" s="430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0">
        <v>26</v>
      </c>
      <c r="B33" s="430"/>
      <c r="C33" s="430"/>
      <c r="D33" s="430"/>
      <c r="E33" s="430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0">
        <v>27</v>
      </c>
      <c r="B34" s="430"/>
      <c r="C34" s="430"/>
      <c r="D34" s="430"/>
      <c r="E34" s="430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0">
        <v>28</v>
      </c>
      <c r="B35" s="430"/>
      <c r="C35" s="430"/>
      <c r="D35" s="430"/>
      <c r="E35" s="430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0">
        <v>29</v>
      </c>
      <c r="B36" s="430"/>
      <c r="C36" s="430"/>
      <c r="D36" s="430"/>
      <c r="E36" s="430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0">
        <v>30</v>
      </c>
      <c r="B37" s="430"/>
      <c r="C37" s="430"/>
      <c r="D37" s="430"/>
      <c r="E37" s="430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0">
        <v>31</v>
      </c>
      <c r="B38" s="430"/>
      <c r="C38" s="430"/>
      <c r="D38" s="430"/>
      <c r="E38" s="430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0"/>
      <c r="B39" s="430">
        <f>SUM(B8:B38)</f>
        <v>127080</v>
      </c>
      <c r="C39" s="430">
        <f>SUM(C8:C38)</f>
        <v>109254</v>
      </c>
      <c r="D39" s="430">
        <f>SUM(D8:D38)</f>
        <v>-322</v>
      </c>
      <c r="E39" s="430">
        <f>SUM(E8:E38)</f>
        <v>0</v>
      </c>
      <c r="F39" s="430">
        <f>SUM(F8:F38)</f>
        <v>-17504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1"/>
      <c r="B40" s="292"/>
      <c r="C40" s="452"/>
      <c r="D40" s="452"/>
      <c r="E40" s="452"/>
      <c r="F40" s="453">
        <f>+summary!H4</f>
        <v>2.02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4">
        <f>+F40*F39</f>
        <v>-35358.080000000002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5"/>
      <c r="D42" s="455"/>
      <c r="E42" s="455"/>
      <c r="F42" s="563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37235</v>
      </c>
      <c r="B43" s="292"/>
      <c r="C43" s="456"/>
      <c r="D43" s="456"/>
      <c r="E43" s="456"/>
      <c r="F43" s="436">
        <f>+F42+F41</f>
        <v>357031.5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62">
        <v>-260608</v>
      </c>
      <c r="E47" s="11"/>
    </row>
    <row r="48" spans="1:26" x14ac:dyDescent="0.2">
      <c r="A48" s="49">
        <f>+A43</f>
        <v>37235</v>
      </c>
      <c r="B48" s="32"/>
      <c r="C48" s="32"/>
      <c r="D48" s="365">
        <f>+F39</f>
        <v>-17504</v>
      </c>
      <c r="E48" s="11"/>
    </row>
    <row r="49" spans="1:5" x14ac:dyDescent="0.2">
      <c r="A49" s="32"/>
      <c r="B49" s="32"/>
      <c r="C49" s="32"/>
      <c r="D49" s="14">
        <f>+D48+D47</f>
        <v>-278112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3" sqref="A2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-833427</v>
      </c>
      <c r="C6" s="80"/>
      <c r="D6" s="80">
        <f t="shared" ref="D6:D14" si="0">+C6-B6</f>
        <v>833427</v>
      </c>
    </row>
    <row r="7" spans="1:4" x14ac:dyDescent="0.2">
      <c r="A7" s="32">
        <v>3531</v>
      </c>
      <c r="B7" s="319">
        <v>-315444</v>
      </c>
      <c r="C7" s="80">
        <v>-120130</v>
      </c>
      <c r="D7" s="80">
        <f t="shared" si="0"/>
        <v>195314</v>
      </c>
    </row>
    <row r="8" spans="1:4" x14ac:dyDescent="0.2">
      <c r="A8" s="32">
        <v>60667</v>
      </c>
      <c r="B8" s="319">
        <v>-9394</v>
      </c>
      <c r="C8" s="80">
        <v>-938771</v>
      </c>
      <c r="D8" s="80">
        <f t="shared" si="0"/>
        <v>-929377</v>
      </c>
    </row>
    <row r="9" spans="1:4" x14ac:dyDescent="0.2">
      <c r="A9" s="32">
        <v>60749</v>
      </c>
      <c r="B9" s="319">
        <v>3195</v>
      </c>
      <c r="C9" s="80">
        <v>-187612</v>
      </c>
      <c r="D9" s="80">
        <f t="shared" si="0"/>
        <v>-190807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-97735</v>
      </c>
      <c r="C11" s="80"/>
      <c r="D11" s="80">
        <f t="shared" si="0"/>
        <v>97735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6292</v>
      </c>
    </row>
    <row r="19" spans="1:5" x14ac:dyDescent="0.2">
      <c r="A19" s="32" t="s">
        <v>82</v>
      </c>
      <c r="B19" s="69"/>
      <c r="C19" s="69"/>
      <c r="D19" s="73">
        <f>+summary!H4</f>
        <v>2.02</v>
      </c>
    </row>
    <row r="20" spans="1:5" x14ac:dyDescent="0.2">
      <c r="B20" s="69"/>
      <c r="C20" s="69"/>
      <c r="D20" s="75">
        <f>+D19*D18</f>
        <v>12709.84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52">
        <v>723510.56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37235</v>
      </c>
      <c r="B24" s="69"/>
      <c r="C24" s="69"/>
      <c r="D24" s="345">
        <f>+D22+D20</f>
        <v>736220.4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53">
        <v>125165</v>
      </c>
    </row>
    <row r="33" spans="1:4" x14ac:dyDescent="0.2">
      <c r="A33" s="49">
        <f>+A24</f>
        <v>37235</v>
      </c>
      <c r="D33" s="365">
        <f>+D18</f>
        <v>6292</v>
      </c>
    </row>
    <row r="34" spans="1:4" x14ac:dyDescent="0.2">
      <c r="D34" s="14">
        <f>+D33+D32</f>
        <v>131457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0" workbookViewId="0">
      <selection activeCell="D28" sqref="D2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-32721-4334</f>
        <v>-37055</v>
      </c>
      <c r="C5" s="90">
        <v>-17720</v>
      </c>
      <c r="D5" s="90">
        <f t="shared" ref="D5:D13" si="0">+C5-B5</f>
        <v>19335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-706641-76421</f>
        <v>-783062</v>
      </c>
      <c r="C7" s="90">
        <v>-988318</v>
      </c>
      <c r="D7" s="90">
        <f t="shared" si="0"/>
        <v>-205256</v>
      </c>
      <c r="E7" s="282"/>
      <c r="F7" s="203"/>
    </row>
    <row r="8" spans="1:13" x14ac:dyDescent="0.2">
      <c r="A8" s="87">
        <v>58710</v>
      </c>
      <c r="B8" s="90">
        <v>-36012</v>
      </c>
      <c r="C8" s="90">
        <v>-23128</v>
      </c>
      <c r="D8" s="90">
        <f t="shared" si="0"/>
        <v>12884</v>
      </c>
      <c r="E8" s="282"/>
      <c r="F8" s="203"/>
    </row>
    <row r="9" spans="1:13" x14ac:dyDescent="0.2">
      <c r="A9" s="87">
        <v>60921</v>
      </c>
      <c r="B9" s="90">
        <f>-396906-68057</f>
        <v>-464963</v>
      </c>
      <c r="C9" s="90">
        <v>-267542</v>
      </c>
      <c r="D9" s="90">
        <f t="shared" si="0"/>
        <v>197421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25"/>
    </row>
    <row r="11" spans="1:13" x14ac:dyDescent="0.2">
      <c r="A11" s="87">
        <v>500084</v>
      </c>
      <c r="B11" s="90">
        <f>-23241-2261</f>
        <v>-25502</v>
      </c>
      <c r="C11" s="90">
        <v>-30000</v>
      </c>
      <c r="D11" s="90">
        <f t="shared" si="0"/>
        <v>-4498</v>
      </c>
      <c r="E11" s="283"/>
      <c r="F11" s="525"/>
    </row>
    <row r="12" spans="1:13" x14ac:dyDescent="0.2">
      <c r="A12" s="329">
        <v>500085</v>
      </c>
      <c r="B12" s="90">
        <v>-2</v>
      </c>
      <c r="C12" s="90"/>
      <c r="D12" s="90">
        <f t="shared" si="0"/>
        <v>2</v>
      </c>
      <c r="E12" s="282"/>
      <c r="F12" s="525"/>
    </row>
    <row r="13" spans="1:13" x14ac:dyDescent="0.2">
      <c r="A13" s="87">
        <v>500097</v>
      </c>
      <c r="B13" s="90">
        <v>-15406</v>
      </c>
      <c r="C13" s="90">
        <v>-10000</v>
      </c>
      <c r="D13" s="90">
        <f t="shared" si="0"/>
        <v>5406</v>
      </c>
      <c r="E13" s="282"/>
      <c r="F13" s="525"/>
    </row>
    <row r="14" spans="1:13" x14ac:dyDescent="0.2">
      <c r="A14" s="87"/>
      <c r="B14" s="90"/>
      <c r="C14" s="90"/>
      <c r="D14" s="90"/>
      <c r="E14" s="282"/>
      <c r="F14" s="525"/>
    </row>
    <row r="15" spans="1:13" x14ac:dyDescent="0.2">
      <c r="A15" s="87"/>
      <c r="B15" s="90"/>
      <c r="C15" s="90"/>
      <c r="D15" s="90"/>
      <c r="E15" s="282"/>
      <c r="F15" s="525"/>
    </row>
    <row r="16" spans="1:13" x14ac:dyDescent="0.2">
      <c r="A16" s="87"/>
      <c r="B16" s="88"/>
      <c r="C16" s="88"/>
      <c r="D16" s="94"/>
      <c r="E16" s="282"/>
      <c r="F16" s="525"/>
    </row>
    <row r="17" spans="1:7" x14ac:dyDescent="0.2">
      <c r="A17" s="87"/>
      <c r="B17" s="88"/>
      <c r="C17" s="88"/>
      <c r="D17" s="88">
        <f>SUM(D5:D16)</f>
        <v>25294</v>
      </c>
      <c r="E17" s="282"/>
      <c r="F17" s="525"/>
    </row>
    <row r="18" spans="1:7" x14ac:dyDescent="0.2">
      <c r="A18" s="87" t="s">
        <v>82</v>
      </c>
      <c r="B18" s="88"/>
      <c r="C18" s="88"/>
      <c r="D18" s="95">
        <f>+summary!H4</f>
        <v>2.02</v>
      </c>
      <c r="E18" s="284"/>
      <c r="F18" s="525"/>
    </row>
    <row r="19" spans="1:7" x14ac:dyDescent="0.2">
      <c r="A19" s="87"/>
      <c r="B19" s="88"/>
      <c r="C19" s="88"/>
      <c r="D19" s="96">
        <f>+D18*D17</f>
        <v>51093.88</v>
      </c>
      <c r="E19" s="209"/>
      <c r="F19" s="525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69">
        <v>504796.07</v>
      </c>
      <c r="E21" s="209"/>
      <c r="F21" s="526"/>
    </row>
    <row r="22" spans="1:7" x14ac:dyDescent="0.2">
      <c r="A22" s="87"/>
      <c r="B22" s="88"/>
      <c r="C22" s="88"/>
      <c r="D22" s="318"/>
      <c r="E22" s="209"/>
      <c r="F22" s="526"/>
    </row>
    <row r="23" spans="1:7" ht="13.5" thickBot="1" x14ac:dyDescent="0.25">
      <c r="A23" s="99">
        <v>37235</v>
      </c>
      <c r="B23" s="88"/>
      <c r="C23" s="88"/>
      <c r="D23" s="330">
        <f>+D21+D19</f>
        <v>555889.94999999995</v>
      </c>
      <c r="E23" s="209"/>
      <c r="F23" s="526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62">
        <v>190825</v>
      </c>
    </row>
    <row r="29" spans="1:7" x14ac:dyDescent="0.2">
      <c r="A29" s="49">
        <f>+A23</f>
        <v>37235</v>
      </c>
      <c r="B29" s="32"/>
      <c r="C29" s="32"/>
      <c r="D29" s="365">
        <f>+D17</f>
        <v>25294</v>
      </c>
    </row>
    <row r="30" spans="1:7" x14ac:dyDescent="0.2">
      <c r="A30" s="32"/>
      <c r="B30" s="32"/>
      <c r="C30" s="32"/>
      <c r="D30" s="14">
        <f>+D29+D28</f>
        <v>216119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25"/>
      <c r="G44" s="206"/>
    </row>
    <row r="45" spans="1:7" x14ac:dyDescent="0.2">
      <c r="B45" s="69"/>
      <c r="C45" s="69"/>
      <c r="D45" s="302"/>
      <c r="E45" s="282"/>
      <c r="F45" s="525"/>
      <c r="G45" s="206"/>
    </row>
    <row r="46" spans="1:7" x14ac:dyDescent="0.2">
      <c r="A46" s="32"/>
      <c r="B46" s="69"/>
      <c r="C46" s="69"/>
      <c r="D46" s="282"/>
      <c r="E46" s="282"/>
      <c r="F46" s="525"/>
      <c r="G46" s="206"/>
    </row>
    <row r="47" spans="1:7" x14ac:dyDescent="0.2">
      <c r="A47" s="32"/>
      <c r="B47" s="69"/>
      <c r="C47" s="69"/>
      <c r="D47" s="284"/>
      <c r="E47" s="284"/>
      <c r="F47" s="525"/>
      <c r="G47" s="206"/>
    </row>
    <row r="48" spans="1:7" x14ac:dyDescent="0.2">
      <c r="B48" s="69"/>
      <c r="C48" s="69"/>
      <c r="D48" s="282"/>
      <c r="E48" s="282"/>
      <c r="F48" s="525"/>
      <c r="G48" s="206"/>
    </row>
    <row r="49" spans="1:7" x14ac:dyDescent="0.2">
      <c r="B49" s="69"/>
      <c r="C49" s="69"/>
      <c r="D49" s="282"/>
      <c r="E49" s="282"/>
      <c r="F49" s="525"/>
      <c r="G49" s="206"/>
    </row>
    <row r="50" spans="1:7" x14ac:dyDescent="0.2">
      <c r="C50" s="299"/>
      <c r="D50" s="299"/>
      <c r="E50" s="299"/>
      <c r="F50" s="527"/>
      <c r="G50" s="300"/>
    </row>
    <row r="51" spans="1:7" x14ac:dyDescent="0.2">
      <c r="A51" s="32"/>
      <c r="C51" s="299"/>
      <c r="D51" s="299"/>
      <c r="E51" s="299"/>
      <c r="F51" s="527"/>
    </row>
    <row r="52" spans="1:7" x14ac:dyDescent="0.2">
      <c r="A52" s="32"/>
      <c r="C52" s="299"/>
      <c r="D52" s="299"/>
      <c r="E52" s="299"/>
      <c r="F52" s="527"/>
    </row>
    <row r="53" spans="1:7" x14ac:dyDescent="0.2">
      <c r="A53" s="32"/>
      <c r="C53" s="299"/>
      <c r="D53" s="299"/>
      <c r="E53" s="299"/>
      <c r="F53" s="527"/>
    </row>
    <row r="54" spans="1:7" x14ac:dyDescent="0.2">
      <c r="A54" s="32"/>
      <c r="C54" s="299"/>
      <c r="D54" s="299"/>
      <c r="E54" s="299"/>
      <c r="F54" s="527"/>
    </row>
    <row r="55" spans="1:7" x14ac:dyDescent="0.2">
      <c r="A55" s="32"/>
      <c r="C55" s="299"/>
      <c r="D55" s="299"/>
      <c r="E55" s="285"/>
      <c r="F55" s="441"/>
    </row>
    <row r="56" spans="1:7" x14ac:dyDescent="0.2">
      <c r="C56" s="299"/>
      <c r="D56" s="299"/>
      <c r="E56" s="285"/>
      <c r="F56" s="441"/>
    </row>
    <row r="57" spans="1:7" x14ac:dyDescent="0.2">
      <c r="C57" s="299"/>
      <c r="D57" s="299"/>
      <c r="E57" s="285"/>
      <c r="F57" s="441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28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26"/>
    </row>
    <row r="101" spans="1:6" x14ac:dyDescent="0.2">
      <c r="A101" s="32"/>
      <c r="E101" s="63"/>
      <c r="F101" s="526"/>
    </row>
    <row r="102" spans="1:6" ht="13.5" thickBot="1" x14ac:dyDescent="0.25">
      <c r="A102" s="32"/>
      <c r="D102" s="68"/>
      <c r="E102" s="68"/>
      <c r="F102" s="52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28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26"/>
    </row>
    <row r="127" spans="1:6" x14ac:dyDescent="0.2">
      <c r="A127" s="32"/>
      <c r="D127" s="75"/>
      <c r="E127" s="75"/>
      <c r="F127" s="526"/>
    </row>
    <row r="128" spans="1:6" ht="13.5" thickBot="1" x14ac:dyDescent="0.25">
      <c r="A128" s="32"/>
      <c r="D128" s="77"/>
      <c r="E128" s="77"/>
      <c r="F128" s="526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28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26"/>
    </row>
    <row r="152" spans="1:6" x14ac:dyDescent="0.2">
      <c r="A152" s="32"/>
      <c r="D152" s="75"/>
      <c r="E152" s="75"/>
      <c r="F152" s="526"/>
    </row>
    <row r="153" spans="1:6" ht="13.5" thickBot="1" x14ac:dyDescent="0.25">
      <c r="A153" s="32"/>
      <c r="D153" s="77"/>
      <c r="E153" s="77"/>
      <c r="F153" s="526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28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26"/>
    </row>
    <row r="177" spans="1:6" x14ac:dyDescent="0.2">
      <c r="A177" s="32"/>
      <c r="D177" s="75"/>
      <c r="E177" s="75"/>
      <c r="F177" s="526"/>
    </row>
    <row r="178" spans="1:6" ht="13.5" thickBot="1" x14ac:dyDescent="0.25">
      <c r="A178" s="32"/>
      <c r="D178" s="77"/>
      <c r="E178" s="77"/>
      <c r="F178" s="526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28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26"/>
    </row>
    <row r="201" spans="1:6" x14ac:dyDescent="0.2">
      <c r="A201" s="32"/>
      <c r="D201" s="75"/>
      <c r="E201" s="75"/>
      <c r="F201" s="526"/>
    </row>
    <row r="202" spans="1:6" ht="13.5" thickBot="1" x14ac:dyDescent="0.25">
      <c r="A202" s="32"/>
      <c r="D202" s="83"/>
      <c r="E202" s="77"/>
      <c r="F202" s="526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28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26"/>
    </row>
    <row r="227" spans="1:6" x14ac:dyDescent="0.2">
      <c r="A227" s="32"/>
      <c r="D227" s="75"/>
      <c r="E227" s="75"/>
      <c r="F227" s="526"/>
    </row>
    <row r="228" spans="1:6" ht="13.5" thickBot="1" x14ac:dyDescent="0.25">
      <c r="A228" s="32"/>
      <c r="D228" s="83"/>
      <c r="E228" s="77"/>
      <c r="F228" s="526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28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26"/>
    </row>
    <row r="251" spans="1:6" x14ac:dyDescent="0.2">
      <c r="A251" s="32"/>
      <c r="D251" s="75"/>
      <c r="E251" s="75"/>
      <c r="F251" s="526"/>
    </row>
    <row r="252" spans="1:6" ht="13.5" thickBot="1" x14ac:dyDescent="0.25">
      <c r="A252" s="32"/>
      <c r="D252" s="86"/>
      <c r="E252" s="77"/>
      <c r="F252" s="52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28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26"/>
    </row>
    <row r="275" spans="1:6" x14ac:dyDescent="0.2">
      <c r="A275" s="87"/>
      <c r="B275" s="88"/>
      <c r="C275" s="88"/>
      <c r="D275" s="96"/>
      <c r="E275" s="75"/>
      <c r="F275" s="526"/>
    </row>
    <row r="276" spans="1:6" ht="13.5" thickBot="1" x14ac:dyDescent="0.25">
      <c r="A276" s="87"/>
      <c r="B276" s="88"/>
      <c r="C276" s="88"/>
      <c r="D276" s="98"/>
      <c r="E276" s="77"/>
      <c r="F276" s="52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28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26"/>
    </row>
    <row r="300" spans="1:6" x14ac:dyDescent="0.2">
      <c r="A300" s="87"/>
      <c r="B300" s="88"/>
      <c r="C300" s="88"/>
      <c r="D300" s="96"/>
      <c r="E300" s="75"/>
      <c r="F300" s="526"/>
    </row>
    <row r="301" spans="1:6" ht="13.5" thickBot="1" x14ac:dyDescent="0.25">
      <c r="A301" s="87"/>
      <c r="B301" s="88"/>
      <c r="C301" s="88"/>
      <c r="D301" s="98"/>
      <c r="E301" s="77"/>
      <c r="F301" s="52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28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26"/>
    </row>
    <row r="327" spans="1:6" x14ac:dyDescent="0.2">
      <c r="A327" s="87"/>
      <c r="B327" s="88"/>
      <c r="C327" s="88"/>
      <c r="D327" s="96"/>
      <c r="E327" s="75"/>
      <c r="F327" s="526"/>
    </row>
    <row r="328" spans="1:6" ht="13.5" thickBot="1" x14ac:dyDescent="0.25">
      <c r="A328" s="87"/>
      <c r="B328" s="88"/>
      <c r="C328" s="88"/>
      <c r="D328" s="98"/>
      <c r="E328" s="77"/>
      <c r="F328" s="52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6" sqref="C3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97"/>
      <c r="J9" s="340"/>
      <c r="K9" s="340"/>
      <c r="L9" s="340"/>
      <c r="M9" s="496"/>
      <c r="N9" s="496"/>
      <c r="O9" s="496"/>
      <c r="P9" s="497"/>
      <c r="Q9" s="340"/>
      <c r="R9" s="340"/>
      <c r="S9" s="340"/>
      <c r="T9" s="496"/>
      <c r="U9" s="496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97">
        <v>37012</v>
      </c>
      <c r="J10" s="340">
        <v>1103057</v>
      </c>
      <c r="K10" s="340">
        <v>1120793</v>
      </c>
      <c r="L10" s="340">
        <f>+K10-J10</f>
        <v>17736</v>
      </c>
      <c r="M10" s="496">
        <v>4.01</v>
      </c>
      <c r="N10" s="496">
        <f>+L10*M10</f>
        <v>71121.36</v>
      </c>
      <c r="O10" s="496"/>
      <c r="P10" s="497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496">
        <v>4.01</v>
      </c>
      <c r="U10" s="496">
        <f>+S10*T10</f>
        <v>71081.259999999995</v>
      </c>
      <c r="W10" s="498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97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496">
        <v>3.51</v>
      </c>
      <c r="N11" s="496">
        <f>+L11*M11</f>
        <v>96809.31</v>
      </c>
      <c r="O11" s="496"/>
      <c r="P11" s="497">
        <v>37043</v>
      </c>
      <c r="Q11" s="340">
        <v>-153623</v>
      </c>
      <c r="R11" s="340">
        <v>-88473</v>
      </c>
      <c r="S11" s="340">
        <f t="shared" si="1"/>
        <v>65150</v>
      </c>
      <c r="T11" s="496">
        <v>3.51</v>
      </c>
      <c r="U11" s="496">
        <f>+S11*T11</f>
        <v>228676.5</v>
      </c>
      <c r="W11" s="498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-1056</v>
      </c>
      <c r="E12" s="90">
        <v>-9593</v>
      </c>
      <c r="F12" s="90">
        <f t="shared" si="0"/>
        <v>-8591</v>
      </c>
      <c r="I12" s="497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496">
        <v>2.94</v>
      </c>
      <c r="N12" s="496">
        <f>+L12*M12</f>
        <v>-114736.44</v>
      </c>
      <c r="O12" s="496"/>
      <c r="P12" s="497">
        <v>37104</v>
      </c>
      <c r="Q12" s="340">
        <v>-34269</v>
      </c>
      <c r="R12" s="340">
        <v>-27046</v>
      </c>
      <c r="S12" s="340">
        <f t="shared" si="1"/>
        <v>7223</v>
      </c>
      <c r="T12" s="496">
        <v>2.85</v>
      </c>
      <c r="U12" s="496">
        <f>+S12*T12</f>
        <v>20585.55</v>
      </c>
      <c r="W12" s="49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97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496">
        <v>2.85</v>
      </c>
      <c r="N13" s="496">
        <f>+L13*M13</f>
        <v>-55210.200000000004</v>
      </c>
      <c r="O13" s="496"/>
      <c r="P13" s="497">
        <v>37135</v>
      </c>
      <c r="Q13" s="340">
        <v>-1191628</v>
      </c>
      <c r="R13" s="340">
        <v>-1210937</v>
      </c>
      <c r="S13" s="340">
        <f t="shared" si="1"/>
        <v>-19309</v>
      </c>
      <c r="T13" s="496">
        <v>1.96</v>
      </c>
      <c r="U13" s="496">
        <f>+S13*T13</f>
        <v>-37845.64</v>
      </c>
      <c r="W13" s="49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97">
        <v>37135</v>
      </c>
      <c r="J14" s="340">
        <v>1109912</v>
      </c>
      <c r="K14" s="340">
        <v>1111335</v>
      </c>
      <c r="L14" s="340">
        <f>+K14-J14</f>
        <v>1423</v>
      </c>
      <c r="M14" s="496">
        <v>1.96</v>
      </c>
      <c r="N14" s="499">
        <f>+L14*M14</f>
        <v>2789.08</v>
      </c>
      <c r="O14" s="496"/>
      <c r="P14" s="497"/>
      <c r="Q14" s="340"/>
      <c r="R14" s="340"/>
      <c r="S14" s="340">
        <f t="shared" si="1"/>
        <v>0</v>
      </c>
      <c r="T14" s="496"/>
      <c r="U14" s="496"/>
      <c r="W14" s="49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97"/>
      <c r="J15" s="340"/>
      <c r="K15" s="340"/>
      <c r="L15" s="340"/>
      <c r="M15" s="496"/>
      <c r="N15" s="496"/>
      <c r="O15" s="496"/>
      <c r="P15" s="497"/>
      <c r="Q15" s="340"/>
      <c r="R15" s="340"/>
      <c r="S15" s="340">
        <f t="shared" si="1"/>
        <v>0</v>
      </c>
      <c r="T15" s="496"/>
      <c r="U15" s="49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97" t="s">
        <v>250</v>
      </c>
      <c r="J16" s="340"/>
      <c r="K16" s="340"/>
      <c r="L16" s="340">
        <f>SUM(L10:L15)</f>
        <v>-11658</v>
      </c>
      <c r="M16" s="496"/>
      <c r="N16" s="496">
        <f>SUM(N9:N15)</f>
        <v>773.10999999997694</v>
      </c>
      <c r="O16" s="496"/>
      <c r="P16" s="497" t="s">
        <v>250</v>
      </c>
      <c r="Q16" s="340"/>
      <c r="R16" s="340"/>
      <c r="S16" s="340">
        <f>SUM(S9:S15)</f>
        <v>70790</v>
      </c>
      <c r="T16" s="496"/>
      <c r="U16" s="496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497" t="s">
        <v>251</v>
      </c>
      <c r="J18" s="340"/>
      <c r="K18" s="340"/>
      <c r="L18" s="340">
        <v>19880</v>
      </c>
      <c r="M18" s="496"/>
      <c r="N18" s="496"/>
      <c r="O18" s="496"/>
      <c r="P18" s="497" t="s">
        <v>251</v>
      </c>
      <c r="Q18" s="340"/>
      <c r="R18" s="340"/>
      <c r="S18" s="340">
        <v>37185</v>
      </c>
      <c r="T18" s="496"/>
      <c r="U18" s="496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497"/>
      <c r="J19" s="340"/>
      <c r="K19" s="340"/>
      <c r="L19" s="340"/>
      <c r="M19" s="496"/>
      <c r="N19" s="496"/>
      <c r="O19" s="496"/>
      <c r="P19" s="497"/>
      <c r="Q19" s="340"/>
      <c r="R19" s="340"/>
      <c r="S19" s="340"/>
      <c r="T19" s="496"/>
      <c r="U19" s="496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497"/>
      <c r="J20" s="340"/>
      <c r="K20" s="340"/>
      <c r="L20" s="340"/>
      <c r="M20" s="496"/>
      <c r="N20" s="496"/>
      <c r="O20" s="496"/>
      <c r="P20" s="497"/>
      <c r="Q20" s="340"/>
      <c r="R20" s="340"/>
      <c r="S20" s="340"/>
      <c r="T20" s="496"/>
      <c r="U20" s="496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497"/>
      <c r="J21" s="340"/>
      <c r="K21" s="340"/>
      <c r="L21" s="340"/>
      <c r="M21" s="496"/>
      <c r="N21" s="496"/>
      <c r="O21" s="496"/>
      <c r="P21" s="497"/>
      <c r="Q21" s="340"/>
      <c r="R21" s="340"/>
      <c r="S21" s="340"/>
      <c r="T21" s="496"/>
      <c r="U21" s="496"/>
    </row>
    <row r="22" spans="1:21" x14ac:dyDescent="0.2">
      <c r="A22">
        <v>20</v>
      </c>
      <c r="B22" s="447"/>
      <c r="C22" s="340"/>
      <c r="D22" s="340"/>
      <c r="E22" s="340"/>
      <c r="F22" s="90">
        <f t="shared" si="0"/>
        <v>0</v>
      </c>
      <c r="I22" s="497"/>
      <c r="J22" s="340"/>
      <c r="K22" s="340"/>
      <c r="L22" s="340"/>
      <c r="M22" s="496"/>
      <c r="N22" s="496"/>
      <c r="O22" s="496"/>
      <c r="P22" s="497"/>
      <c r="Q22" s="340"/>
      <c r="R22" s="340"/>
      <c r="S22" s="340"/>
      <c r="T22" s="496"/>
      <c r="U22" s="496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497"/>
      <c r="J23" s="340"/>
      <c r="K23" s="340"/>
      <c r="L23" s="340"/>
      <c r="M23" s="496"/>
      <c r="N23" s="496"/>
      <c r="O23" s="496"/>
      <c r="P23" s="497"/>
      <c r="Q23" s="340"/>
      <c r="R23" s="340"/>
      <c r="S23" s="340"/>
      <c r="T23" s="496"/>
      <c r="U23" s="496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496"/>
      <c r="N24" s="496"/>
      <c r="O24" s="496"/>
      <c r="P24" s="87"/>
      <c r="Q24" s="87"/>
      <c r="R24" s="87"/>
      <c r="S24" s="340"/>
      <c r="T24" s="496"/>
      <c r="U24" s="496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496"/>
      <c r="N25" s="496"/>
      <c r="O25" s="496"/>
      <c r="P25" s="87"/>
      <c r="Q25" s="87"/>
      <c r="R25" s="87"/>
      <c r="S25" s="340"/>
      <c r="T25" s="496"/>
      <c r="U25" s="496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496"/>
      <c r="N26" s="496"/>
      <c r="O26" s="496"/>
      <c r="P26" s="87"/>
      <c r="Q26" s="87"/>
      <c r="R26" s="87"/>
      <c r="S26" s="340"/>
      <c r="T26" s="496"/>
      <c r="U26" s="496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496"/>
      <c r="N27" s="496"/>
      <c r="O27" s="496"/>
      <c r="P27" s="87"/>
      <c r="Q27" s="87"/>
      <c r="R27" s="87"/>
      <c r="S27" s="340"/>
      <c r="T27" s="496"/>
      <c r="U27" s="496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496"/>
      <c r="N28" s="496"/>
      <c r="O28" s="496"/>
      <c r="P28" s="87"/>
      <c r="Q28" s="87"/>
      <c r="R28" s="87"/>
      <c r="S28" s="87"/>
      <c r="T28" s="496"/>
      <c r="U28" s="496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496"/>
      <c r="N29" s="496"/>
      <c r="O29" s="496"/>
      <c r="P29" s="87"/>
      <c r="Q29" s="87"/>
      <c r="R29" s="87"/>
      <c r="S29" s="87"/>
      <c r="T29" s="496"/>
      <c r="U29" s="496"/>
    </row>
    <row r="30" spans="1:21" x14ac:dyDescent="0.2">
      <c r="A30">
        <v>28</v>
      </c>
      <c r="B30" s="447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496"/>
      <c r="N30" s="496"/>
      <c r="O30" s="496"/>
      <c r="P30" s="87"/>
      <c r="Q30" s="87"/>
      <c r="R30" s="87"/>
      <c r="S30" s="87"/>
      <c r="T30" s="496"/>
      <c r="U30" s="496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496"/>
      <c r="N31" s="496"/>
      <c r="O31" s="496"/>
      <c r="P31" s="87"/>
      <c r="Q31" s="87"/>
      <c r="R31" s="87"/>
      <c r="S31" s="87"/>
      <c r="T31" s="496"/>
      <c r="U31" s="496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199762</v>
      </c>
      <c r="C34" s="294">
        <f>SUM(C3:C33)</f>
        <v>200528</v>
      </c>
      <c r="D34" s="14">
        <f>SUM(D3:D33)</f>
        <v>-12052</v>
      </c>
      <c r="E34" s="14">
        <f>SUM(E3:E33)</f>
        <v>-44643</v>
      </c>
      <c r="F34" s="14">
        <f>SUM(F3:F33)</f>
        <v>-31825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1">
        <v>159450</v>
      </c>
      <c r="M37" s="264"/>
      <c r="N37" s="264"/>
      <c r="O37" s="264"/>
      <c r="T37" s="264"/>
      <c r="U37" s="264"/>
    </row>
    <row r="38" spans="1:21" x14ac:dyDescent="0.2">
      <c r="A38" s="261">
        <v>37235</v>
      </c>
      <c r="B38" s="14"/>
      <c r="C38" s="14"/>
      <c r="D38" s="14"/>
      <c r="E38" s="14"/>
      <c r="F38" s="150">
        <f>+F37+F34</f>
        <v>127625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48">
        <v>416892</v>
      </c>
      <c r="F43" s="300"/>
      <c r="M43" s="264"/>
      <c r="N43" s="264"/>
      <c r="O43" s="264"/>
    </row>
    <row r="44" spans="1:21" x14ac:dyDescent="0.2">
      <c r="A44" s="49">
        <f>+A38</f>
        <v>37235</v>
      </c>
      <c r="B44" s="32"/>
      <c r="C44" s="32"/>
      <c r="D44" s="392">
        <f>+F34*'by type_area'!J4</f>
        <v>-64286.5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352605.5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D45" sqref="D4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-201480</v>
      </c>
      <c r="C35" s="11">
        <f>SUM(C4:C34)</f>
        <v>-198202</v>
      </c>
      <c r="D35" s="11">
        <f>SUM(D4:D34)</f>
        <v>3278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67">
        <v>176934</v>
      </c>
    </row>
    <row r="39" spans="1:4" x14ac:dyDescent="0.2">
      <c r="A39" s="2"/>
      <c r="D39" s="24"/>
    </row>
    <row r="40" spans="1:4" x14ac:dyDescent="0.2">
      <c r="A40" s="57">
        <v>37235</v>
      </c>
      <c r="D40" s="51">
        <f>+D38+D35</f>
        <v>180212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65">
        <v>177562.79</v>
      </c>
    </row>
    <row r="46" spans="1:4" x14ac:dyDescent="0.2">
      <c r="A46" s="49">
        <f>+A40</f>
        <v>37235</v>
      </c>
      <c r="B46" s="32"/>
      <c r="C46" s="32"/>
      <c r="D46" s="392">
        <f>+D35*'by type_area'!J4</f>
        <v>6621.56</v>
      </c>
    </row>
    <row r="47" spans="1:4" x14ac:dyDescent="0.2">
      <c r="A47" s="32"/>
      <c r="B47" s="32"/>
      <c r="C47" s="32"/>
      <c r="D47" s="202">
        <f>+D46+D45</f>
        <v>184184.35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46" sqref="D4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12406</v>
      </c>
      <c r="C13" s="11">
        <v>13000</v>
      </c>
      <c r="D13" s="11">
        <v>9352</v>
      </c>
      <c r="E13" s="11">
        <v>8266</v>
      </c>
      <c r="F13" s="11"/>
      <c r="G13" s="11"/>
      <c r="H13" s="11"/>
      <c r="I13" s="11"/>
      <c r="J13" s="11">
        <f t="shared" si="0"/>
        <v>-492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130211</v>
      </c>
      <c r="C35" s="11">
        <f t="shared" ref="C35:I35" si="1">SUM(C4:C34)</f>
        <v>132936</v>
      </c>
      <c r="D35" s="11">
        <f t="shared" si="1"/>
        <v>87631</v>
      </c>
      <c r="E35" s="11">
        <f t="shared" si="1"/>
        <v>85120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-1220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-2464.4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61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37235</v>
      </c>
      <c r="J41" s="332">
        <f>+J39+J37</f>
        <v>-40950.44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62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37235</v>
      </c>
      <c r="B47" s="32"/>
      <c r="C47" s="32"/>
      <c r="D47" s="365">
        <f>+J35</f>
        <v>-1220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-145879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-4361.18</v>
      </c>
      <c r="G39" s="46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0">
        <v>37195</v>
      </c>
      <c r="E40" s="14"/>
      <c r="F40" s="512">
        <v>356467.62</v>
      </c>
      <c r="G40" s="46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0">
        <v>37222</v>
      </c>
      <c r="E41" s="14"/>
      <c r="F41" s="104">
        <f>+F40+F39</f>
        <v>352106.44</v>
      </c>
      <c r="G41" s="46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15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680</v>
      </c>
      <c r="F39" s="25">
        <f>SUM(F8:F38)</f>
        <v>680</v>
      </c>
    </row>
    <row r="40" spans="1:6" x14ac:dyDescent="0.2">
      <c r="A40" s="26"/>
      <c r="C40" s="14"/>
      <c r="F40" s="258">
        <f>+summary!H4</f>
        <v>2.02</v>
      </c>
    </row>
    <row r="41" spans="1:6" x14ac:dyDescent="0.2">
      <c r="F41" s="138">
        <f>+F40*F39</f>
        <v>1373.6</v>
      </c>
    </row>
    <row r="42" spans="1:6" x14ac:dyDescent="0.2">
      <c r="A42" s="57">
        <v>37225</v>
      </c>
      <c r="C42" s="15"/>
      <c r="F42" s="572">
        <v>28945.49</v>
      </c>
    </row>
    <row r="43" spans="1:6" x14ac:dyDescent="0.2">
      <c r="A43" s="57">
        <v>37235</v>
      </c>
      <c r="C43" s="48"/>
      <c r="F43" s="138">
        <f>+F42+F41</f>
        <v>30319.09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62">
        <v>-1615</v>
      </c>
    </row>
    <row r="49" spans="1:4" x14ac:dyDescent="0.2">
      <c r="A49" s="49">
        <f>+A43</f>
        <v>37235</v>
      </c>
      <c r="B49" s="32"/>
      <c r="C49" s="32"/>
      <c r="D49" s="365">
        <f>+F39</f>
        <v>680</v>
      </c>
    </row>
    <row r="50" spans="1:4" x14ac:dyDescent="0.2">
      <c r="A50" s="32"/>
      <c r="B50" s="32"/>
      <c r="C50" s="32"/>
      <c r="D50" s="14">
        <f>+D49+D48</f>
        <v>-935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0"/>
    </row>
    <row r="41" spans="1:4" x14ac:dyDescent="0.2">
      <c r="A41" s="57">
        <v>37225</v>
      </c>
      <c r="C41" s="15"/>
      <c r="D41" s="510">
        <v>16648</v>
      </c>
    </row>
    <row r="42" spans="1:4" x14ac:dyDescent="0.2">
      <c r="A42" s="57">
        <v>37235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19">
        <v>383998.2</v>
      </c>
    </row>
    <row r="48" spans="1:4" x14ac:dyDescent="0.2">
      <c r="A48" s="49">
        <f>+A42</f>
        <v>37235</v>
      </c>
      <c r="B48" s="32"/>
      <c r="C48" s="32"/>
      <c r="D48" s="392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9" sqref="C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1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2" t="s">
        <v>20</v>
      </c>
      <c r="I7" s="432" t="s">
        <v>21</v>
      </c>
      <c r="J7" s="433" t="s">
        <v>50</v>
      </c>
      <c r="K7" s="431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1">
        <v>5.62</v>
      </c>
      <c r="L8" s="43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1">
        <v>4.9800000000000004</v>
      </c>
      <c r="L9" s="43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1">
        <v>4.87</v>
      </c>
      <c r="L10" s="43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1">
        <v>3.82</v>
      </c>
      <c r="L11" s="43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1">
        <v>3.2</v>
      </c>
      <c r="L12" s="43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1">
        <v>2.77</v>
      </c>
      <c r="L13" s="43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1">
        <v>2.77</v>
      </c>
      <c r="L14" s="43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58"/>
      <c r="H15" s="119"/>
      <c r="I15" s="119"/>
      <c r="J15" s="119"/>
      <c r="K15" s="431"/>
      <c r="L15" s="436"/>
      <c r="M15" s="104"/>
      <c r="N15" s="34"/>
    </row>
    <row r="16" spans="1:14" ht="15" customHeight="1" x14ac:dyDescent="0.2">
      <c r="A16" s="10">
        <v>11</v>
      </c>
      <c r="B16" s="11">
        <v>-87855</v>
      </c>
      <c r="C16" s="11">
        <v>-85279</v>
      </c>
      <c r="D16" s="25">
        <f t="shared" si="0"/>
        <v>2576</v>
      </c>
      <c r="G16" s="459"/>
      <c r="H16" s="34"/>
      <c r="I16" s="34"/>
      <c r="J16" s="189"/>
      <c r="K16" s="43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59"/>
      <c r="H17" s="34"/>
      <c r="I17" s="34"/>
      <c r="J17" s="317">
        <f>SUM(J8:J16)</f>
        <v>130492</v>
      </c>
      <c r="K17" s="43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-831864</v>
      </c>
      <c r="I19" s="119">
        <f>+C37</f>
        <v>-811208</v>
      </c>
      <c r="J19" s="119">
        <f>+I19-H19</f>
        <v>20656</v>
      </c>
      <c r="K19" s="431">
        <f>+D38</f>
        <v>2.02</v>
      </c>
      <c r="L19" s="436">
        <f>+K19*J19</f>
        <v>41725.120000000003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1"/>
      <c r="L20" s="43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151148</v>
      </c>
      <c r="K24" s="427"/>
      <c r="L24" s="110">
        <f>+L19+L17</f>
        <v>123410.21999999983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7"/>
      <c r="L26" s="24">
        <f>+L24/K19</f>
        <v>61094.168316831594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-831864</v>
      </c>
      <c r="C37" s="11">
        <f>SUM(C6:C36)</f>
        <v>-811208</v>
      </c>
      <c r="D37" s="25">
        <f>SUM(D6:D36)</f>
        <v>20656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41725.120000000003</v>
      </c>
    </row>
    <row r="40" spans="1:4" x14ac:dyDescent="0.2">
      <c r="A40" s="57">
        <v>37225</v>
      </c>
      <c r="C40" s="15"/>
      <c r="D40" s="572">
        <v>51989</v>
      </c>
    </row>
    <row r="41" spans="1:4" x14ac:dyDescent="0.2">
      <c r="A41" s="57">
        <v>37236</v>
      </c>
      <c r="C41" s="48"/>
      <c r="D41" s="138">
        <f>+D40+D39</f>
        <v>93714.12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62">
        <v>116707</v>
      </c>
    </row>
    <row r="46" spans="1:4" x14ac:dyDescent="0.2">
      <c r="A46" s="49">
        <f>+A41</f>
        <v>37236</v>
      </c>
      <c r="B46" s="32"/>
      <c r="C46" s="32"/>
      <c r="D46" s="365">
        <f>+D37</f>
        <v>20656</v>
      </c>
    </row>
    <row r="47" spans="1:4" x14ac:dyDescent="0.2">
      <c r="A47" s="32"/>
      <c r="B47" s="32"/>
      <c r="C47" s="32"/>
      <c r="D47" s="14">
        <f>+D46+D45</f>
        <v>137363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3" t="s">
        <v>168</v>
      </c>
      <c r="B3" s="464"/>
      <c r="C3" s="465"/>
      <c r="E3" s="149"/>
    </row>
    <row r="4" spans="1:50" x14ac:dyDescent="0.2">
      <c r="A4" s="206"/>
      <c r="B4" s="466"/>
      <c r="C4" s="466"/>
      <c r="D4" s="466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67" t="s">
        <v>90</v>
      </c>
      <c r="B5" s="468">
        <v>36861</v>
      </c>
      <c r="C5" s="468">
        <v>36892</v>
      </c>
      <c r="D5" s="469">
        <v>36923</v>
      </c>
      <c r="E5" s="469">
        <v>36951</v>
      </c>
      <c r="F5" s="469">
        <v>36982</v>
      </c>
      <c r="G5" s="469">
        <v>37012</v>
      </c>
      <c r="H5" s="475">
        <v>37043</v>
      </c>
      <c r="I5" s="470">
        <v>37073</v>
      </c>
      <c r="J5" s="470">
        <v>37104</v>
      </c>
      <c r="K5" s="470">
        <v>37135</v>
      </c>
      <c r="L5" s="501">
        <f>+Mojave!A40</f>
        <v>37235</v>
      </c>
      <c r="M5" s="471"/>
      <c r="N5" s="472"/>
      <c r="O5" s="471"/>
      <c r="P5" s="471"/>
      <c r="Q5" s="471"/>
      <c r="R5" s="471"/>
      <c r="S5" s="471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</row>
    <row r="6" spans="1:50" x14ac:dyDescent="0.2">
      <c r="A6" s="473"/>
      <c r="B6" s="477"/>
      <c r="C6" s="477"/>
      <c r="D6" s="477"/>
      <c r="E6" s="477"/>
      <c r="F6" s="477"/>
      <c r="G6" s="477"/>
      <c r="H6" s="481"/>
      <c r="I6" s="481"/>
      <c r="J6" s="481"/>
      <c r="K6" s="481"/>
      <c r="L6" s="481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</row>
    <row r="7" spans="1:50" x14ac:dyDescent="0.2">
      <c r="A7" s="206" t="s">
        <v>95</v>
      </c>
      <c r="B7" s="477">
        <v>75659</v>
      </c>
      <c r="C7" s="476">
        <v>63393</v>
      </c>
      <c r="D7" s="477">
        <v>41052</v>
      </c>
      <c r="E7" s="477">
        <v>3829</v>
      </c>
      <c r="F7" s="477">
        <v>26482</v>
      </c>
      <c r="G7" s="478">
        <v>3949</v>
      </c>
      <c r="H7" s="477">
        <v>133095</v>
      </c>
      <c r="I7" s="477">
        <v>135803</v>
      </c>
      <c r="J7" s="477">
        <v>151464</v>
      </c>
      <c r="K7" s="477">
        <v>134900.51</v>
      </c>
      <c r="L7" s="477">
        <f>+Mojave!D40</f>
        <v>180212</v>
      </c>
      <c r="M7" s="477"/>
      <c r="N7" s="477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</row>
    <row r="8" spans="1:50" x14ac:dyDescent="0.2">
      <c r="A8" s="206" t="s">
        <v>33</v>
      </c>
      <c r="B8" s="477">
        <v>-42847</v>
      </c>
      <c r="C8" s="476">
        <v>-2392</v>
      </c>
      <c r="D8" s="477">
        <v>-1948</v>
      </c>
      <c r="E8" s="477">
        <v>47976</v>
      </c>
      <c r="F8" s="477">
        <v>39224</v>
      </c>
      <c r="G8" s="478">
        <v>-21565</v>
      </c>
      <c r="H8" s="477">
        <v>123192</v>
      </c>
      <c r="I8" s="477">
        <v>145102</v>
      </c>
      <c r="J8" s="477">
        <v>151133</v>
      </c>
      <c r="K8" s="477">
        <v>294649</v>
      </c>
      <c r="L8" s="477">
        <f>+SoCal!F40</f>
        <v>157452</v>
      </c>
      <c r="M8" s="477"/>
      <c r="N8" s="477"/>
      <c r="O8" s="477"/>
      <c r="P8" s="477"/>
      <c r="Q8" s="477"/>
      <c r="R8" s="477"/>
      <c r="S8" s="477"/>
      <c r="T8" s="477"/>
      <c r="U8" s="477"/>
      <c r="V8" s="477"/>
      <c r="W8" s="477"/>
      <c r="X8" s="477"/>
      <c r="Y8" s="477"/>
      <c r="Z8" s="477"/>
      <c r="AA8" s="477"/>
      <c r="AB8" s="477"/>
      <c r="AC8" s="477"/>
      <c r="AD8" s="477"/>
      <c r="AE8" s="477"/>
      <c r="AF8" s="477"/>
      <c r="AG8" s="477"/>
      <c r="AH8" s="477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</row>
    <row r="9" spans="1:50" x14ac:dyDescent="0.2">
      <c r="A9" s="206" t="s">
        <v>115</v>
      </c>
      <c r="B9" s="477">
        <v>147492</v>
      </c>
      <c r="C9" s="476">
        <v>59676</v>
      </c>
      <c r="D9" s="477">
        <v>69410</v>
      </c>
      <c r="E9" s="477">
        <v>93592</v>
      </c>
      <c r="F9" s="477">
        <v>38770</v>
      </c>
      <c r="G9" s="478">
        <v>-10045</v>
      </c>
      <c r="H9" s="477">
        <v>-12760</v>
      </c>
      <c r="I9" s="477">
        <v>24900</v>
      </c>
      <c r="J9" s="477">
        <v>43542</v>
      </c>
      <c r="K9" s="477">
        <v>73067</v>
      </c>
      <c r="L9" s="477">
        <f>+'PG&amp;E'!D40</f>
        <v>82027</v>
      </c>
      <c r="M9" s="477"/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477"/>
      <c r="AB9" s="477"/>
      <c r="AC9" s="477"/>
      <c r="AD9" s="477"/>
      <c r="AE9" s="477"/>
      <c r="AF9" s="477"/>
      <c r="AG9" s="477"/>
      <c r="AH9" s="477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79"/>
      <c r="AX9" s="479"/>
    </row>
    <row r="10" spans="1:50" x14ac:dyDescent="0.2">
      <c r="A10" s="206" t="s">
        <v>186</v>
      </c>
      <c r="B10" s="477">
        <v>-7121</v>
      </c>
      <c r="C10" s="477">
        <v>-7121</v>
      </c>
      <c r="D10" s="477">
        <v>-7121</v>
      </c>
      <c r="E10" s="477">
        <v>23739</v>
      </c>
      <c r="F10" s="477">
        <v>47545</v>
      </c>
      <c r="G10" s="477">
        <v>47545</v>
      </c>
      <c r="H10" s="477">
        <v>50521</v>
      </c>
      <c r="I10" s="477">
        <v>64269</v>
      </c>
      <c r="J10" s="477">
        <v>64269</v>
      </c>
      <c r="K10" s="477">
        <v>64269</v>
      </c>
      <c r="L10" s="477">
        <f>+'El Paso'!C39</f>
        <v>64166</v>
      </c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C10" s="477"/>
      <c r="AD10" s="477"/>
      <c r="AE10" s="477"/>
      <c r="AF10" s="477"/>
      <c r="AG10" s="477"/>
      <c r="AH10" s="477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</row>
    <row r="11" spans="1:50" x14ac:dyDescent="0.2">
      <c r="A11" s="206" t="s">
        <v>209</v>
      </c>
      <c r="B11" s="477">
        <v>-32074</v>
      </c>
      <c r="C11" s="476">
        <v>-32074</v>
      </c>
      <c r="D11" s="477">
        <v>-25783</v>
      </c>
      <c r="E11" s="477">
        <v>-25783</v>
      </c>
      <c r="F11" s="477">
        <v>19880</v>
      </c>
      <c r="G11" s="478">
        <v>37616</v>
      </c>
      <c r="H11" s="478">
        <v>72277</v>
      </c>
      <c r="I11" s="477">
        <v>30271</v>
      </c>
      <c r="J11" s="477">
        <v>12393</v>
      </c>
      <c r="K11" s="477">
        <v>8222</v>
      </c>
      <c r="L11" s="477">
        <f>+NGPL!C34-NGPL!B34+volvalue!K11</f>
        <v>8988</v>
      </c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C11" s="477"/>
      <c r="AD11" s="477"/>
      <c r="AE11" s="477"/>
      <c r="AF11" s="477"/>
      <c r="AG11" s="477"/>
      <c r="AH11" s="477"/>
      <c r="AI11" s="479"/>
      <c r="AJ11" s="479"/>
      <c r="AK11" s="479"/>
      <c r="AL11" s="479"/>
      <c r="AM11" s="479"/>
      <c r="AN11" s="479"/>
      <c r="AO11" s="479"/>
      <c r="AP11" s="479"/>
      <c r="AQ11" s="479"/>
      <c r="AR11" s="479"/>
      <c r="AS11" s="479"/>
      <c r="AT11" s="479"/>
      <c r="AU11" s="479"/>
      <c r="AV11" s="479"/>
      <c r="AW11" s="479"/>
      <c r="AX11" s="479"/>
    </row>
    <row r="12" spans="1:50" x14ac:dyDescent="0.2">
      <c r="A12" s="482" t="s">
        <v>210</v>
      </c>
      <c r="B12" s="483">
        <v>81654</v>
      </c>
      <c r="C12" s="485">
        <v>79650</v>
      </c>
      <c r="D12" s="483">
        <v>30618</v>
      </c>
      <c r="E12" s="483">
        <v>43969</v>
      </c>
      <c r="F12" s="483">
        <v>37185</v>
      </c>
      <c r="G12" s="484">
        <v>54911</v>
      </c>
      <c r="H12" s="484">
        <v>120061</v>
      </c>
      <c r="I12" s="483">
        <v>120061</v>
      </c>
      <c r="J12" s="483">
        <v>127284</v>
      </c>
      <c r="K12" s="483">
        <v>107975</v>
      </c>
      <c r="L12" s="491">
        <f>+NGPL!E34-NGPL!D34+volvalue!K12</f>
        <v>75384</v>
      </c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  <c r="AC12" s="477"/>
      <c r="AD12" s="477"/>
      <c r="AE12" s="477"/>
      <c r="AF12" s="477"/>
      <c r="AG12" s="477"/>
      <c r="AH12" s="477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</row>
    <row r="13" spans="1:50" x14ac:dyDescent="0.2">
      <c r="A13" s="206" t="s">
        <v>144</v>
      </c>
      <c r="B13" s="477">
        <v>11018</v>
      </c>
      <c r="C13" s="476">
        <v>12567</v>
      </c>
      <c r="D13" s="480">
        <v>19121</v>
      </c>
      <c r="E13" s="477">
        <v>30904</v>
      </c>
      <c r="F13" s="477">
        <v>33216</v>
      </c>
      <c r="G13" s="478">
        <v>27926</v>
      </c>
      <c r="H13" s="477">
        <v>95102</v>
      </c>
      <c r="I13" s="477">
        <v>76325</v>
      </c>
      <c r="J13" s="477">
        <v>48988</v>
      </c>
      <c r="K13" s="477">
        <v>-29618</v>
      </c>
      <c r="L13" s="477">
        <f>+PEPL!D41</f>
        <v>-28961</v>
      </c>
      <c r="M13" s="477"/>
      <c r="N13" s="477"/>
      <c r="O13" s="477"/>
      <c r="P13" s="477"/>
      <c r="Q13" s="477"/>
      <c r="R13" s="477"/>
      <c r="S13" s="477"/>
      <c r="T13" s="477"/>
      <c r="U13" s="477"/>
      <c r="V13" s="477"/>
      <c r="W13" s="477"/>
      <c r="X13" s="477"/>
      <c r="Y13" s="477"/>
      <c r="Z13" s="477"/>
      <c r="AA13" s="477"/>
      <c r="AB13" s="477"/>
      <c r="AC13" s="477"/>
      <c r="AD13" s="477"/>
      <c r="AE13" s="477"/>
      <c r="AF13" s="477"/>
      <c r="AG13" s="477"/>
      <c r="AH13" s="477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</row>
    <row r="14" spans="1:50" x14ac:dyDescent="0.2">
      <c r="A14" s="206" t="s">
        <v>7</v>
      </c>
      <c r="B14" s="477">
        <v>70928</v>
      </c>
      <c r="C14" s="476">
        <v>24533</v>
      </c>
      <c r="D14" s="477">
        <v>29886</v>
      </c>
      <c r="E14" s="477">
        <v>22591</v>
      </c>
      <c r="F14" s="477">
        <v>45729</v>
      </c>
      <c r="G14" s="478">
        <v>1307</v>
      </c>
      <c r="H14" s="477">
        <v>28278</v>
      </c>
      <c r="I14" s="477">
        <v>34979</v>
      </c>
      <c r="J14" s="477">
        <v>47553</v>
      </c>
      <c r="K14" s="477">
        <v>58685</v>
      </c>
      <c r="L14" s="477">
        <f>+Oasis!D40</f>
        <v>-8941</v>
      </c>
      <c r="M14" s="477"/>
      <c r="N14" s="477"/>
      <c r="O14" s="477"/>
      <c r="P14" s="477"/>
      <c r="Q14" s="477"/>
      <c r="R14" s="477"/>
      <c r="S14" s="477"/>
      <c r="T14" s="477"/>
      <c r="U14" s="477"/>
      <c r="V14" s="477"/>
      <c r="W14" s="477"/>
      <c r="X14" s="477"/>
      <c r="Y14" s="477"/>
      <c r="Z14" s="477"/>
      <c r="AA14" s="477"/>
      <c r="AB14" s="477"/>
      <c r="AC14" s="477"/>
      <c r="AD14" s="477"/>
      <c r="AE14" s="477"/>
      <c r="AF14" s="477"/>
      <c r="AG14" s="477"/>
      <c r="AH14" s="477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  <c r="AU14" s="479"/>
      <c r="AV14" s="479"/>
      <c r="AW14" s="479"/>
      <c r="AX14" s="479"/>
    </row>
    <row r="15" spans="1:50" x14ac:dyDescent="0.2">
      <c r="A15" s="206" t="s">
        <v>32</v>
      </c>
      <c r="B15" s="477">
        <v>-7752</v>
      </c>
      <c r="C15" s="476">
        <v>3487</v>
      </c>
      <c r="D15" s="477">
        <v>3487</v>
      </c>
      <c r="E15" s="477">
        <v>6729</v>
      </c>
      <c r="F15" s="477">
        <v>54217</v>
      </c>
      <c r="G15" s="478">
        <v>61895</v>
      </c>
      <c r="H15" s="477">
        <v>69314</v>
      </c>
      <c r="I15" s="477">
        <v>36339</v>
      </c>
      <c r="J15" s="477">
        <v>73003</v>
      </c>
      <c r="K15" s="477">
        <v>69880</v>
      </c>
      <c r="L15" s="477">
        <f>+Lonestar!F42</f>
        <v>802</v>
      </c>
      <c r="M15" s="477"/>
      <c r="N15" s="477"/>
      <c r="O15" s="477"/>
      <c r="P15" s="477"/>
      <c r="Q15" s="477"/>
      <c r="R15" s="477"/>
      <c r="S15" s="477"/>
      <c r="T15" s="477"/>
      <c r="U15" s="477"/>
      <c r="V15" s="477"/>
      <c r="W15" s="477"/>
      <c r="X15" s="477"/>
      <c r="Y15" s="477"/>
      <c r="Z15" s="477"/>
      <c r="AA15" s="477"/>
      <c r="AB15" s="477"/>
      <c r="AC15" s="477"/>
      <c r="AD15" s="477"/>
      <c r="AE15" s="477"/>
      <c r="AF15" s="477"/>
      <c r="AG15" s="477"/>
      <c r="AH15" s="477"/>
      <c r="AI15" s="479"/>
      <c r="AJ15" s="479"/>
      <c r="AK15" s="479"/>
      <c r="AL15" s="479"/>
      <c r="AM15" s="479"/>
      <c r="AN15" s="479"/>
      <c r="AO15" s="479"/>
      <c r="AP15" s="479"/>
      <c r="AQ15" s="479"/>
      <c r="AR15" s="479"/>
      <c r="AS15" s="479"/>
      <c r="AT15" s="479"/>
      <c r="AU15" s="479"/>
      <c r="AV15" s="479"/>
      <c r="AW15" s="479"/>
      <c r="AX15" s="479"/>
    </row>
    <row r="16" spans="1:50" x14ac:dyDescent="0.2">
      <c r="A16" s="206"/>
      <c r="B16" s="477">
        <f>SUM(B7:B15)</f>
        <v>296957</v>
      </c>
      <c r="C16" s="477">
        <f>SUM(C7:C15)</f>
        <v>201719</v>
      </c>
      <c r="D16" s="477">
        <f t="shared" ref="D16:L16" si="0">SUM(D7:D15)</f>
        <v>158722</v>
      </c>
      <c r="E16" s="477">
        <f t="shared" si="0"/>
        <v>247546</v>
      </c>
      <c r="F16" s="477">
        <f t="shared" si="0"/>
        <v>342248</v>
      </c>
      <c r="G16" s="477">
        <f t="shared" si="0"/>
        <v>203539</v>
      </c>
      <c r="H16" s="477">
        <f t="shared" si="0"/>
        <v>679080</v>
      </c>
      <c r="I16" s="477">
        <f t="shared" si="0"/>
        <v>668049</v>
      </c>
      <c r="J16" s="477">
        <f t="shared" si="0"/>
        <v>719629</v>
      </c>
      <c r="K16" s="477">
        <f t="shared" si="0"/>
        <v>782029.51</v>
      </c>
      <c r="L16" s="477">
        <f t="shared" si="0"/>
        <v>531129</v>
      </c>
      <c r="M16" s="477"/>
      <c r="N16" s="477"/>
      <c r="O16" s="477"/>
      <c r="P16" s="477"/>
      <c r="Q16" s="477"/>
      <c r="R16" s="477"/>
      <c r="S16" s="477"/>
      <c r="T16" s="477"/>
      <c r="U16" s="477"/>
      <c r="V16" s="477"/>
      <c r="W16" s="477"/>
      <c r="X16" s="477"/>
      <c r="Y16" s="477"/>
      <c r="Z16" s="477"/>
      <c r="AA16" s="477"/>
      <c r="AB16" s="477"/>
      <c r="AC16" s="477"/>
      <c r="AD16" s="477"/>
      <c r="AE16" s="477"/>
      <c r="AF16" s="477"/>
      <c r="AG16" s="477"/>
      <c r="AH16" s="477"/>
      <c r="AI16" s="479"/>
      <c r="AJ16" s="479"/>
      <c r="AK16" s="479"/>
      <c r="AL16" s="479"/>
      <c r="AM16" s="479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</row>
    <row r="18" spans="1:50" x14ac:dyDescent="0.2">
      <c r="A18" s="486" t="s">
        <v>211</v>
      </c>
      <c r="B18" s="487"/>
      <c r="C18" s="487">
        <v>8.2100000000000009</v>
      </c>
      <c r="D18" s="487">
        <v>5.62</v>
      </c>
      <c r="E18" s="487">
        <v>4.9800000000000004</v>
      </c>
      <c r="F18" s="487">
        <v>4.87</v>
      </c>
      <c r="G18" s="487">
        <v>3.82</v>
      </c>
      <c r="H18" s="487">
        <v>3.2</v>
      </c>
      <c r="I18" s="487">
        <v>2.77</v>
      </c>
      <c r="J18" s="487">
        <v>2.77</v>
      </c>
      <c r="K18" s="487">
        <v>1.88</v>
      </c>
      <c r="L18" s="487">
        <f>+'[1]1001'!$M$39</f>
        <v>2.04</v>
      </c>
      <c r="M18" s="487"/>
      <c r="N18" s="487"/>
      <c r="O18" s="477"/>
      <c r="P18" s="477"/>
      <c r="Q18" s="477"/>
      <c r="R18" s="477"/>
      <c r="S18" s="477"/>
      <c r="T18" s="477"/>
      <c r="U18" s="477"/>
      <c r="V18" s="477"/>
      <c r="W18" s="477"/>
      <c r="X18" s="477"/>
      <c r="Y18" s="477"/>
      <c r="Z18" s="477"/>
      <c r="AA18" s="477"/>
      <c r="AB18" s="477"/>
      <c r="AC18" s="477"/>
      <c r="AD18" s="477"/>
      <c r="AE18" s="477"/>
      <c r="AF18" s="477"/>
      <c r="AG18" s="477"/>
      <c r="AH18" s="477"/>
      <c r="AI18" s="479"/>
      <c r="AJ18" s="479"/>
      <c r="AK18" s="479"/>
      <c r="AL18" s="479"/>
      <c r="AM18" s="479"/>
      <c r="AN18" s="479"/>
      <c r="AO18" s="479"/>
      <c r="AP18" s="479"/>
      <c r="AQ18" s="479"/>
      <c r="AR18" s="479"/>
      <c r="AS18" s="479"/>
      <c r="AT18" s="479"/>
      <c r="AU18" s="479"/>
      <c r="AV18" s="479"/>
      <c r="AW18" s="479"/>
      <c r="AX18" s="479"/>
    </row>
    <row r="19" spans="1:50" s="474" customFormat="1" x14ac:dyDescent="0.2">
      <c r="A19" s="361"/>
      <c r="B19" s="488"/>
      <c r="C19" s="489">
        <f t="shared" ref="C19:L19" si="1">+C18*B16</f>
        <v>2438016.9700000002</v>
      </c>
      <c r="D19" s="489">
        <f t="shared" si="1"/>
        <v>1133660.78</v>
      </c>
      <c r="E19" s="489">
        <f t="shared" si="1"/>
        <v>790435.56</v>
      </c>
      <c r="F19" s="489">
        <f t="shared" si="1"/>
        <v>1205549.02</v>
      </c>
      <c r="G19" s="489">
        <f t="shared" si="1"/>
        <v>1307387.3599999999</v>
      </c>
      <c r="H19" s="489">
        <f t="shared" si="1"/>
        <v>651324.80000000005</v>
      </c>
      <c r="I19" s="489">
        <f t="shared" si="1"/>
        <v>1881051.6</v>
      </c>
      <c r="J19" s="489">
        <f t="shared" si="1"/>
        <v>1850495.73</v>
      </c>
      <c r="K19" s="489">
        <f t="shared" si="1"/>
        <v>1352902.52</v>
      </c>
      <c r="L19" s="489">
        <f t="shared" si="1"/>
        <v>1595340.2004</v>
      </c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88"/>
      <c r="AB19" s="488"/>
      <c r="AC19" s="488"/>
      <c r="AD19" s="488"/>
      <c r="AE19" s="488"/>
      <c r="AF19" s="488"/>
      <c r="AG19" s="488"/>
      <c r="AH19" s="488"/>
      <c r="AI19" s="490"/>
      <c r="AJ19" s="490"/>
      <c r="AK19" s="490"/>
      <c r="AL19" s="490"/>
      <c r="AM19" s="490"/>
      <c r="AN19" s="490"/>
      <c r="AO19" s="490"/>
      <c r="AP19" s="490"/>
      <c r="AQ19" s="490"/>
      <c r="AR19" s="490"/>
      <c r="AS19" s="490"/>
      <c r="AT19" s="490"/>
      <c r="AU19" s="490"/>
      <c r="AV19" s="490"/>
      <c r="AW19" s="490"/>
      <c r="AX19" s="490"/>
    </row>
    <row r="20" spans="1:50" s="474" customFormat="1" x14ac:dyDescent="0.2">
      <c r="A20" s="361"/>
      <c r="B20" s="488"/>
      <c r="C20" s="489"/>
      <c r="D20" s="489">
        <f t="shared" ref="D20:L20" si="2">+D19-C19</f>
        <v>-1304356.1900000002</v>
      </c>
      <c r="E20" s="489">
        <f t="shared" si="2"/>
        <v>-343225.22</v>
      </c>
      <c r="F20" s="489">
        <f t="shared" si="2"/>
        <v>415113.45999999996</v>
      </c>
      <c r="G20" s="489">
        <f t="shared" si="2"/>
        <v>101838.33999999985</v>
      </c>
      <c r="H20" s="489">
        <f t="shared" si="2"/>
        <v>-656062.55999999982</v>
      </c>
      <c r="I20" s="489">
        <f t="shared" si="2"/>
        <v>1229726.8</v>
      </c>
      <c r="J20" s="489">
        <f t="shared" si="2"/>
        <v>-30555.870000000112</v>
      </c>
      <c r="K20" s="489">
        <f t="shared" si="2"/>
        <v>-497593.20999999996</v>
      </c>
      <c r="L20" s="489">
        <f t="shared" si="2"/>
        <v>242437.68039999995</v>
      </c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  <c r="AB20" s="488"/>
      <c r="AC20" s="488"/>
      <c r="AD20" s="488"/>
      <c r="AE20" s="488"/>
      <c r="AF20" s="488"/>
      <c r="AG20" s="488"/>
      <c r="AH20" s="488"/>
      <c r="AI20" s="490"/>
      <c r="AJ20" s="490"/>
      <c r="AK20" s="490"/>
      <c r="AL20" s="490"/>
      <c r="AM20" s="490"/>
      <c r="AN20" s="490"/>
      <c r="AO20" s="490"/>
      <c r="AP20" s="490"/>
      <c r="AQ20" s="490"/>
      <c r="AR20" s="490"/>
      <c r="AS20" s="490"/>
      <c r="AT20" s="490"/>
      <c r="AU20" s="490"/>
      <c r="AV20" s="490"/>
      <c r="AW20" s="490"/>
      <c r="AX20" s="490"/>
    </row>
    <row r="21" spans="1:50" s="474" customFormat="1" x14ac:dyDescent="0.2">
      <c r="A21" s="361"/>
      <c r="B21" s="488"/>
      <c r="C21" s="489"/>
      <c r="D21" s="489"/>
      <c r="E21" s="489"/>
      <c r="F21" s="489"/>
      <c r="G21" s="489"/>
      <c r="H21" s="489"/>
      <c r="I21" s="489"/>
      <c r="J21" s="489"/>
      <c r="K21" s="489"/>
      <c r="L21" s="489"/>
      <c r="M21" s="488"/>
      <c r="N21" s="488"/>
      <c r="O21" s="488"/>
      <c r="P21" s="488"/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488"/>
      <c r="AG21" s="488"/>
      <c r="AH21" s="488"/>
      <c r="AI21" s="490"/>
      <c r="AJ21" s="490"/>
      <c r="AK21" s="490"/>
      <c r="AL21" s="490"/>
      <c r="AM21" s="490"/>
      <c r="AN21" s="490"/>
      <c r="AO21" s="490"/>
      <c r="AP21" s="490"/>
      <c r="AQ21" s="490"/>
      <c r="AR21" s="490"/>
      <c r="AS21" s="490"/>
      <c r="AT21" s="490"/>
      <c r="AU21" s="490"/>
      <c r="AV21" s="490"/>
      <c r="AW21" s="490"/>
      <c r="AX21" s="490"/>
    </row>
    <row r="22" spans="1:50" x14ac:dyDescent="0.2">
      <c r="R22" s="477"/>
      <c r="S22" s="477"/>
      <c r="T22" s="477"/>
      <c r="U22" s="477"/>
      <c r="V22" s="477"/>
      <c r="W22" s="477"/>
      <c r="X22" s="477"/>
      <c r="Y22" s="477"/>
      <c r="Z22" s="477"/>
      <c r="AA22" s="477"/>
      <c r="AB22" s="477"/>
      <c r="AC22" s="477"/>
      <c r="AD22" s="477"/>
      <c r="AE22" s="477"/>
      <c r="AF22" s="477"/>
      <c r="AG22" s="477"/>
      <c r="AH22" s="477"/>
      <c r="AI22" s="479"/>
      <c r="AJ22" s="479"/>
      <c r="AK22" s="479"/>
      <c r="AL22" s="479"/>
      <c r="AM22" s="479"/>
      <c r="AN22" s="479"/>
      <c r="AO22" s="479"/>
      <c r="AP22" s="479"/>
      <c r="AQ22" s="479"/>
      <c r="AR22" s="479"/>
      <c r="AS22" s="479"/>
      <c r="AT22" s="479"/>
      <c r="AU22" s="479"/>
      <c r="AV22" s="479"/>
      <c r="AW22" s="479"/>
      <c r="AX22" s="479"/>
    </row>
    <row r="23" spans="1:50" ht="13.5" customHeight="1" x14ac:dyDescent="0.2">
      <c r="A23" s="206" t="s">
        <v>29</v>
      </c>
      <c r="B23" s="477">
        <v>-70145</v>
      </c>
      <c r="C23" s="476">
        <v>-44467</v>
      </c>
      <c r="D23" s="477">
        <v>-9747</v>
      </c>
      <c r="E23" s="477">
        <v>30129</v>
      </c>
      <c r="F23" s="477">
        <v>121747</v>
      </c>
      <c r="G23" s="478">
        <v>278779</v>
      </c>
      <c r="H23" s="478">
        <v>286331</v>
      </c>
      <c r="I23" s="477">
        <v>310267</v>
      </c>
      <c r="J23" s="477">
        <v>275390</v>
      </c>
      <c r="K23" s="477">
        <v>230460</v>
      </c>
      <c r="L23" s="477">
        <f>+williams!J40</f>
        <v>116446</v>
      </c>
      <c r="M23" s="477"/>
      <c r="N23" s="477"/>
      <c r="O23" s="477"/>
      <c r="P23" s="477"/>
      <c r="Q23" s="477"/>
      <c r="R23" s="477"/>
      <c r="S23" s="477"/>
      <c r="T23" s="477"/>
      <c r="U23" s="477"/>
      <c r="V23" s="477"/>
      <c r="W23" s="477"/>
      <c r="X23" s="477"/>
      <c r="Y23" s="477"/>
      <c r="Z23" s="477"/>
      <c r="AA23" s="477"/>
      <c r="AB23" s="477"/>
      <c r="AC23" s="477"/>
      <c r="AD23" s="477"/>
      <c r="AE23" s="477"/>
      <c r="AF23" s="477"/>
      <c r="AG23" s="477"/>
      <c r="AH23" s="477"/>
      <c r="AI23" s="479"/>
      <c r="AJ23" s="479"/>
      <c r="AK23" s="479"/>
      <c r="AL23" s="479"/>
      <c r="AM23" s="479"/>
      <c r="AN23" s="479"/>
      <c r="AO23" s="479"/>
      <c r="AP23" s="479"/>
      <c r="AQ23" s="479"/>
      <c r="AR23" s="479"/>
      <c r="AS23" s="479"/>
      <c r="AT23" s="479"/>
      <c r="AU23" s="479"/>
      <c r="AV23" s="479"/>
      <c r="AW23" s="479"/>
      <c r="AX23" s="479"/>
    </row>
    <row r="24" spans="1:50" x14ac:dyDescent="0.2">
      <c r="A24" s="206" t="s">
        <v>208</v>
      </c>
      <c r="B24" s="477">
        <v>-55807</v>
      </c>
      <c r="C24" s="476">
        <v>-32211</v>
      </c>
      <c r="D24" s="477">
        <v>-38475</v>
      </c>
      <c r="E24" s="477">
        <v>-32230</v>
      </c>
      <c r="F24" s="477">
        <v>82528</v>
      </c>
      <c r="G24" s="478">
        <v>94855</v>
      </c>
      <c r="H24" s="478">
        <v>59179</v>
      </c>
      <c r="I24" s="477">
        <v>54883</v>
      </c>
      <c r="J24" s="477">
        <v>87070</v>
      </c>
      <c r="K24" s="477">
        <v>50022</v>
      </c>
      <c r="L24" s="477">
        <f>+Amoco!D40</f>
        <v>-60977</v>
      </c>
      <c r="M24" s="492"/>
      <c r="N24" s="492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  <c r="AD24" s="477"/>
      <c r="AE24" s="477"/>
      <c r="AF24" s="477"/>
      <c r="AG24" s="477"/>
      <c r="AH24" s="477"/>
      <c r="AI24" s="479"/>
      <c r="AJ24" s="479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</row>
    <row r="25" spans="1:50" x14ac:dyDescent="0.2">
      <c r="A25" s="206" t="s">
        <v>187</v>
      </c>
      <c r="B25" s="477">
        <v>268892</v>
      </c>
      <c r="C25" s="476">
        <v>198073</v>
      </c>
      <c r="D25" s="477">
        <v>173680</v>
      </c>
      <c r="E25" s="477">
        <v>168646</v>
      </c>
      <c r="F25" s="477">
        <v>255346</v>
      </c>
      <c r="G25" s="478">
        <v>300960</v>
      </c>
      <c r="H25" s="478">
        <v>170528</v>
      </c>
      <c r="I25" s="477">
        <v>27596</v>
      </c>
      <c r="J25" s="477">
        <v>-65974</v>
      </c>
      <c r="K25" s="477">
        <v>-75692</v>
      </c>
      <c r="L25" s="477">
        <f>+'El Paso'!E39</f>
        <v>-30636</v>
      </c>
      <c r="M25" s="477"/>
      <c r="N25" s="477"/>
      <c r="O25" s="477"/>
      <c r="P25" s="477"/>
      <c r="Q25" s="477"/>
      <c r="R25" s="477"/>
      <c r="S25" s="477"/>
      <c r="T25" s="477"/>
      <c r="U25" s="477"/>
      <c r="V25" s="477"/>
      <c r="W25" s="477"/>
      <c r="X25" s="477"/>
      <c r="Y25" s="477"/>
      <c r="Z25" s="477"/>
      <c r="AA25" s="477"/>
      <c r="AB25" s="477"/>
      <c r="AC25" s="477"/>
      <c r="AD25" s="477"/>
      <c r="AE25" s="477"/>
      <c r="AF25" s="477"/>
      <c r="AG25" s="477"/>
      <c r="AH25" s="477"/>
      <c r="AI25" s="479"/>
      <c r="AJ25" s="479"/>
      <c r="AK25" s="479"/>
      <c r="AL25" s="479"/>
      <c r="AM25" s="479"/>
      <c r="AN25" s="479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</row>
    <row r="26" spans="1:50" x14ac:dyDescent="0.2">
      <c r="A26" s="206" t="s">
        <v>1</v>
      </c>
      <c r="B26" s="477">
        <v>-119838</v>
      </c>
      <c r="C26" s="476">
        <v>-60187</v>
      </c>
      <c r="D26" s="477">
        <v>6957</v>
      </c>
      <c r="E26" s="477">
        <v>-37371</v>
      </c>
      <c r="F26" s="477">
        <v>-18982</v>
      </c>
      <c r="G26" s="478">
        <v>-386</v>
      </c>
      <c r="H26" s="478">
        <v>11234</v>
      </c>
      <c r="I26" s="477">
        <v>5110</v>
      </c>
      <c r="J26" s="477">
        <v>70754</v>
      </c>
      <c r="K26" s="477">
        <v>51156</v>
      </c>
      <c r="L26" s="477">
        <f>+NW!F41</f>
        <v>17058</v>
      </c>
      <c r="M26" s="477"/>
      <c r="N26" s="477"/>
      <c r="O26" s="477"/>
      <c r="P26" s="477"/>
      <c r="Q26" s="477"/>
      <c r="R26" s="477"/>
      <c r="S26" s="477"/>
      <c r="T26" s="477"/>
      <c r="U26" s="477"/>
      <c r="V26" s="477"/>
      <c r="W26" s="477"/>
      <c r="X26" s="477"/>
      <c r="Y26" s="477"/>
      <c r="Z26" s="477"/>
      <c r="AA26" s="477"/>
      <c r="AB26" s="477"/>
      <c r="AC26" s="477"/>
      <c r="AD26" s="477"/>
      <c r="AE26" s="477"/>
      <c r="AF26" s="477"/>
      <c r="AG26" s="477"/>
      <c r="AH26" s="477"/>
      <c r="AI26" s="479"/>
      <c r="AJ26" s="479"/>
      <c r="AK26" s="479"/>
      <c r="AL26" s="479"/>
      <c r="AM26" s="479"/>
      <c r="AN26" s="479"/>
      <c r="AO26" s="479"/>
      <c r="AP26" s="479"/>
      <c r="AQ26" s="479"/>
      <c r="AR26" s="479"/>
      <c r="AS26" s="479"/>
      <c r="AT26" s="479"/>
      <c r="AU26" s="479"/>
      <c r="AV26" s="479"/>
      <c r="AW26" s="479"/>
      <c r="AX26" s="479"/>
    </row>
    <row r="27" spans="1:50" x14ac:dyDescent="0.2">
      <c r="A27" s="206"/>
      <c r="B27" s="477">
        <f t="shared" ref="B27:L27" si="3">SUM(B23:B26)</f>
        <v>23102</v>
      </c>
      <c r="C27" s="477">
        <f t="shared" si="3"/>
        <v>61208</v>
      </c>
      <c r="D27" s="477">
        <f t="shared" si="3"/>
        <v>132415</v>
      </c>
      <c r="E27" s="477">
        <f t="shared" si="3"/>
        <v>129174</v>
      </c>
      <c r="F27" s="477">
        <f t="shared" si="3"/>
        <v>440639</v>
      </c>
      <c r="G27" s="477">
        <f t="shared" si="3"/>
        <v>674208</v>
      </c>
      <c r="H27" s="477">
        <f t="shared" si="3"/>
        <v>527272</v>
      </c>
      <c r="I27" s="477">
        <f t="shared" si="3"/>
        <v>397856</v>
      </c>
      <c r="J27" s="477">
        <f t="shared" si="3"/>
        <v>367240</v>
      </c>
      <c r="K27" s="477">
        <f t="shared" si="3"/>
        <v>255946</v>
      </c>
      <c r="L27" s="477">
        <f t="shared" si="3"/>
        <v>41891</v>
      </c>
      <c r="M27" s="477"/>
      <c r="N27" s="477"/>
      <c r="O27" s="477"/>
      <c r="P27" s="477"/>
      <c r="Q27" s="477"/>
      <c r="R27" s="477"/>
      <c r="S27" s="477"/>
      <c r="T27" s="477"/>
      <c r="U27" s="477"/>
      <c r="V27" s="477"/>
      <c r="W27" s="477"/>
      <c r="X27" s="477"/>
      <c r="Y27" s="477"/>
      <c r="Z27" s="477"/>
      <c r="AA27" s="477"/>
      <c r="AB27" s="477"/>
      <c r="AC27" s="477"/>
      <c r="AD27" s="477"/>
      <c r="AE27" s="477"/>
      <c r="AF27" s="477"/>
      <c r="AG27" s="477"/>
      <c r="AH27" s="477"/>
      <c r="AI27" s="479"/>
      <c r="AJ27" s="479"/>
      <c r="AK27" s="479"/>
      <c r="AL27" s="479"/>
      <c r="AM27" s="479"/>
      <c r="AN27" s="479"/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</row>
    <row r="29" spans="1:50" x14ac:dyDescent="0.2">
      <c r="A29" s="486" t="s">
        <v>212</v>
      </c>
      <c r="B29" s="487"/>
      <c r="C29" s="487">
        <v>8.1</v>
      </c>
      <c r="D29" s="487">
        <v>5.61</v>
      </c>
      <c r="E29" s="487">
        <v>4.87</v>
      </c>
      <c r="F29" s="487">
        <v>4.62</v>
      </c>
      <c r="G29" s="487">
        <v>3.44</v>
      </c>
      <c r="H29" s="487">
        <v>2.58</v>
      </c>
      <c r="I29" s="487">
        <v>2.4500000000000002</v>
      </c>
      <c r="J29" s="487">
        <v>2.61</v>
      </c>
      <c r="K29" s="487">
        <v>1.73</v>
      </c>
      <c r="L29" s="487">
        <f>+'[1]1001'!$K$39</f>
        <v>1.98</v>
      </c>
      <c r="M29" s="487"/>
      <c r="N29" s="487"/>
      <c r="O29" s="477"/>
      <c r="P29" s="477"/>
      <c r="Q29" s="477"/>
      <c r="R29" s="477"/>
      <c r="S29" s="477"/>
      <c r="T29" s="477"/>
      <c r="U29" s="477"/>
      <c r="V29" s="477"/>
      <c r="W29" s="477"/>
      <c r="X29" s="477"/>
      <c r="Y29" s="477"/>
      <c r="Z29" s="477"/>
      <c r="AA29" s="477"/>
      <c r="AB29" s="477"/>
      <c r="AC29" s="477"/>
      <c r="AD29" s="477"/>
      <c r="AE29" s="477"/>
      <c r="AF29" s="477"/>
      <c r="AG29" s="477"/>
      <c r="AH29" s="477"/>
      <c r="AI29" s="479"/>
      <c r="AJ29" s="479"/>
      <c r="AK29" s="479"/>
      <c r="AL29" s="479"/>
      <c r="AM29" s="479"/>
      <c r="AN29" s="479"/>
      <c r="AO29" s="479"/>
      <c r="AP29" s="479"/>
      <c r="AQ29" s="479"/>
      <c r="AR29" s="479"/>
      <c r="AS29" s="479"/>
      <c r="AT29" s="479"/>
      <c r="AU29" s="479"/>
      <c r="AV29" s="479"/>
      <c r="AW29" s="479"/>
      <c r="AX29" s="479"/>
    </row>
    <row r="30" spans="1:50" x14ac:dyDescent="0.2">
      <c r="A30" s="206"/>
      <c r="B30" s="477"/>
      <c r="C30" s="477">
        <f t="shared" ref="C30:J30" si="4">+C29*B27</f>
        <v>187126.19999999998</v>
      </c>
      <c r="D30" s="477">
        <f t="shared" si="4"/>
        <v>343376.88</v>
      </c>
      <c r="E30" s="477">
        <f t="shared" si="4"/>
        <v>644861.05000000005</v>
      </c>
      <c r="F30" s="477">
        <f t="shared" si="4"/>
        <v>596783.88</v>
      </c>
      <c r="G30" s="477">
        <f t="shared" si="4"/>
        <v>1515798.16</v>
      </c>
      <c r="H30" s="477">
        <f t="shared" si="4"/>
        <v>1739456.6400000001</v>
      </c>
      <c r="I30" s="477">
        <f t="shared" si="4"/>
        <v>1291816.4000000001</v>
      </c>
      <c r="J30" s="477">
        <f t="shared" si="4"/>
        <v>1038404.1599999999</v>
      </c>
      <c r="K30" s="477">
        <f>+J27*K29</f>
        <v>635325.19999999995</v>
      </c>
      <c r="L30" s="477">
        <f>+K27*L29</f>
        <v>506773.08</v>
      </c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77"/>
      <c r="AB30" s="477"/>
      <c r="AC30" s="477"/>
      <c r="AD30" s="477"/>
      <c r="AE30" s="477"/>
      <c r="AF30" s="477"/>
      <c r="AG30" s="477"/>
      <c r="AH30" s="477"/>
      <c r="AI30" s="479"/>
      <c r="AJ30" s="479"/>
      <c r="AK30" s="479"/>
      <c r="AL30" s="479"/>
      <c r="AM30" s="479"/>
      <c r="AN30" s="479"/>
      <c r="AO30" s="479"/>
      <c r="AP30" s="479"/>
      <c r="AQ30" s="479"/>
      <c r="AR30" s="479"/>
      <c r="AS30" s="479"/>
      <c r="AT30" s="479"/>
      <c r="AU30" s="479"/>
      <c r="AV30" s="479"/>
      <c r="AW30" s="479"/>
      <c r="AX30" s="479"/>
    </row>
    <row r="31" spans="1:50" s="479" customFormat="1" ht="12" x14ac:dyDescent="0.2">
      <c r="D31" s="491">
        <f t="shared" ref="D31:L31" si="5">+D30-C30</f>
        <v>156250.68000000002</v>
      </c>
      <c r="E31" s="491">
        <f t="shared" si="5"/>
        <v>301484.17000000004</v>
      </c>
      <c r="F31" s="491">
        <f t="shared" si="5"/>
        <v>-48077.170000000042</v>
      </c>
      <c r="G31" s="491">
        <f t="shared" si="5"/>
        <v>919014.27999999991</v>
      </c>
      <c r="H31" s="491">
        <f t="shared" si="5"/>
        <v>223658.48000000021</v>
      </c>
      <c r="I31" s="491">
        <f t="shared" si="5"/>
        <v>-447640.24</v>
      </c>
      <c r="J31" s="491">
        <f t="shared" si="5"/>
        <v>-253412.24000000022</v>
      </c>
      <c r="K31" s="491">
        <f t="shared" si="5"/>
        <v>-403078.95999999996</v>
      </c>
      <c r="L31" s="491">
        <f t="shared" si="5"/>
        <v>-128552.11999999994</v>
      </c>
    </row>
    <row r="32" spans="1:50" s="479" customFormat="1" ht="12" x14ac:dyDescent="0.2">
      <c r="B32" s="487"/>
      <c r="C32" s="487"/>
      <c r="D32" s="487"/>
      <c r="E32" s="487"/>
      <c r="F32" s="487"/>
      <c r="G32" s="487"/>
      <c r="H32" s="487"/>
      <c r="I32" s="487"/>
      <c r="J32" s="487"/>
      <c r="K32" s="487"/>
      <c r="L32" s="487"/>
      <c r="M32" s="487"/>
      <c r="N32" s="487"/>
      <c r="O32" s="477"/>
      <c r="P32" s="477"/>
      <c r="Q32" s="477"/>
      <c r="R32" s="477"/>
      <c r="S32" s="477"/>
      <c r="T32" s="477"/>
      <c r="U32" s="477"/>
      <c r="V32" s="477"/>
      <c r="W32" s="477"/>
      <c r="X32" s="477"/>
      <c r="Y32" s="477"/>
      <c r="Z32" s="477"/>
      <c r="AA32" s="477"/>
      <c r="AB32" s="477"/>
      <c r="AC32" s="477"/>
      <c r="AD32" s="477"/>
      <c r="AE32" s="477"/>
      <c r="AF32" s="477"/>
      <c r="AG32" s="477"/>
      <c r="AH32" s="477"/>
    </row>
    <row r="33" spans="1:50" s="479" customFormat="1" ht="12" x14ac:dyDescent="0.2">
      <c r="B33" s="487"/>
      <c r="C33" s="487"/>
      <c r="D33" s="487"/>
      <c r="E33" s="487"/>
      <c r="F33" s="487"/>
      <c r="G33" s="487"/>
      <c r="H33" s="487"/>
      <c r="I33" s="487"/>
      <c r="J33" s="487"/>
      <c r="K33" s="487"/>
      <c r="L33" s="487"/>
      <c r="M33" s="487"/>
      <c r="N33" s="487"/>
      <c r="O33" s="477"/>
      <c r="P33" s="477"/>
      <c r="Q33" s="477"/>
      <c r="R33" s="477"/>
      <c r="S33" s="477"/>
      <c r="T33" s="477"/>
      <c r="U33" s="477"/>
      <c r="V33" s="477"/>
      <c r="W33" s="477"/>
      <c r="X33" s="477"/>
      <c r="Y33" s="477"/>
      <c r="Z33" s="477"/>
      <c r="AA33" s="477"/>
      <c r="AB33" s="477"/>
      <c r="AC33" s="477"/>
      <c r="AD33" s="477"/>
      <c r="AE33" s="477"/>
      <c r="AF33" s="477"/>
      <c r="AG33" s="477"/>
      <c r="AH33" s="477"/>
    </row>
    <row r="34" spans="1:50" s="474" customFormat="1" x14ac:dyDescent="0.2">
      <c r="A34" s="361"/>
      <c r="B34" s="488"/>
      <c r="C34" s="488"/>
      <c r="D34" s="488">
        <f t="shared" ref="D34:L34" si="6">+D31+D20</f>
        <v>-1148105.5100000002</v>
      </c>
      <c r="E34" s="488">
        <f t="shared" si="6"/>
        <v>-41741.04999999993</v>
      </c>
      <c r="F34" s="488">
        <f t="shared" si="6"/>
        <v>367036.28999999992</v>
      </c>
      <c r="G34" s="488">
        <f t="shared" si="6"/>
        <v>1020852.6199999998</v>
      </c>
      <c r="H34" s="488">
        <f t="shared" si="6"/>
        <v>-432404.07999999961</v>
      </c>
      <c r="I34" s="488">
        <f t="shared" si="6"/>
        <v>782086.56</v>
      </c>
      <c r="J34" s="488">
        <f t="shared" si="6"/>
        <v>-283968.11000000034</v>
      </c>
      <c r="K34" s="488">
        <f t="shared" si="6"/>
        <v>-900672.16999999993</v>
      </c>
      <c r="L34" s="488">
        <f t="shared" si="6"/>
        <v>113885.56040000002</v>
      </c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  <c r="AB34" s="488"/>
      <c r="AC34" s="488"/>
      <c r="AD34" s="488"/>
      <c r="AE34" s="488"/>
      <c r="AF34" s="488"/>
      <c r="AG34" s="488"/>
      <c r="AH34" s="488"/>
      <c r="AI34" s="490"/>
      <c r="AJ34" s="490"/>
      <c r="AK34" s="490"/>
      <c r="AL34" s="490"/>
      <c r="AM34" s="490"/>
      <c r="AN34" s="490"/>
      <c r="AO34" s="490"/>
      <c r="AP34" s="490"/>
      <c r="AQ34" s="490"/>
      <c r="AR34" s="490"/>
      <c r="AS34" s="490"/>
      <c r="AT34" s="490"/>
      <c r="AU34" s="490"/>
      <c r="AV34" s="490"/>
      <c r="AW34" s="490"/>
      <c r="AX34" s="490"/>
    </row>
    <row r="35" spans="1:50" x14ac:dyDescent="0.2">
      <c r="A35" s="206"/>
      <c r="B35" s="487"/>
      <c r="C35" s="487"/>
      <c r="D35" s="487"/>
      <c r="E35" s="487"/>
      <c r="F35" s="487"/>
      <c r="G35" s="487"/>
      <c r="H35" s="487"/>
      <c r="I35" s="487"/>
      <c r="J35" s="487"/>
      <c r="K35" s="487"/>
      <c r="L35" s="487"/>
      <c r="M35" s="487"/>
      <c r="N35" s="487"/>
      <c r="O35" s="477"/>
      <c r="P35" s="477"/>
      <c r="Q35" s="477"/>
      <c r="R35" s="477"/>
      <c r="S35" s="477"/>
      <c r="T35" s="477"/>
      <c r="U35" s="477"/>
      <c r="V35" s="477"/>
      <c r="W35" s="477"/>
      <c r="X35" s="477"/>
      <c r="Y35" s="477"/>
      <c r="Z35" s="477"/>
      <c r="AA35" s="477"/>
      <c r="AB35" s="477"/>
      <c r="AC35" s="477"/>
      <c r="AD35" s="477"/>
      <c r="AE35" s="477"/>
      <c r="AF35" s="477"/>
      <c r="AG35" s="477"/>
      <c r="AH35" s="477"/>
      <c r="AI35" s="479"/>
      <c r="AJ35" s="479"/>
      <c r="AK35" s="479"/>
      <c r="AL35" s="479"/>
      <c r="AM35" s="479"/>
      <c r="AN35" s="479"/>
      <c r="AO35" s="479"/>
      <c r="AP35" s="479"/>
      <c r="AQ35" s="479"/>
      <c r="AR35" s="479"/>
      <c r="AS35" s="479"/>
      <c r="AT35" s="479"/>
      <c r="AU35" s="479"/>
      <c r="AV35" s="479"/>
      <c r="AW35" s="479"/>
      <c r="AX35" s="479"/>
    </row>
    <row r="36" spans="1:50" x14ac:dyDescent="0.2">
      <c r="A36" s="206"/>
      <c r="B36" s="477"/>
      <c r="C36" s="477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  <c r="X36" s="477"/>
      <c r="Y36" s="477"/>
      <c r="Z36" s="477"/>
      <c r="AA36" s="477"/>
      <c r="AB36" s="477"/>
      <c r="AC36" s="477"/>
      <c r="AD36" s="477"/>
      <c r="AE36" s="477"/>
      <c r="AF36" s="477"/>
      <c r="AG36" s="477"/>
      <c r="AH36" s="477"/>
      <c r="AI36" s="479"/>
      <c r="AJ36" s="479"/>
      <c r="AK36" s="479"/>
      <c r="AL36" s="479"/>
      <c r="AM36" s="479"/>
      <c r="AN36" s="479"/>
      <c r="AO36" s="479"/>
      <c r="AP36" s="479"/>
      <c r="AQ36" s="479"/>
      <c r="AR36" s="479"/>
      <c r="AS36" s="479"/>
      <c r="AT36" s="479"/>
      <c r="AU36" s="479"/>
      <c r="AV36" s="479"/>
      <c r="AW36" s="479"/>
      <c r="AX36" s="479"/>
    </row>
    <row r="37" spans="1:50" x14ac:dyDescent="0.2">
      <c r="A37" s="206"/>
      <c r="B37" s="477"/>
      <c r="C37" s="477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77"/>
      <c r="Y37" s="477"/>
      <c r="Z37" s="477"/>
      <c r="AA37" s="477"/>
      <c r="AB37" s="477"/>
      <c r="AC37" s="477"/>
      <c r="AD37" s="477"/>
      <c r="AE37" s="477"/>
      <c r="AF37" s="477"/>
      <c r="AG37" s="477"/>
      <c r="AH37" s="477"/>
      <c r="AI37" s="479"/>
      <c r="AJ37" s="479"/>
      <c r="AK37" s="479"/>
      <c r="AL37" s="479"/>
      <c r="AM37" s="479"/>
      <c r="AN37" s="479"/>
      <c r="AO37" s="479"/>
      <c r="AP37" s="479"/>
      <c r="AQ37" s="479"/>
      <c r="AR37" s="479"/>
      <c r="AS37" s="479"/>
      <c r="AT37" s="479"/>
      <c r="AU37" s="479"/>
      <c r="AV37" s="479"/>
      <c r="AW37" s="479"/>
      <c r="AX37" s="479"/>
    </row>
    <row r="38" spans="1:50" x14ac:dyDescent="0.2">
      <c r="A38" s="206"/>
      <c r="B38" s="477"/>
      <c r="C38" s="477"/>
      <c r="D38" s="477"/>
      <c r="E38" s="477"/>
      <c r="F38" s="477"/>
      <c r="G38" s="477"/>
      <c r="H38" s="477">
        <f>+H27+H16</f>
        <v>1206352</v>
      </c>
      <c r="I38" s="477">
        <f>+I27+I16</f>
        <v>1065905</v>
      </c>
      <c r="J38" s="477">
        <f>+J27+J16</f>
        <v>1086869</v>
      </c>
      <c r="K38" s="477">
        <f>+K27+K16</f>
        <v>1037975.51</v>
      </c>
      <c r="L38" s="477">
        <f>+L27+L16</f>
        <v>573020</v>
      </c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Y38" s="477"/>
      <c r="Z38" s="477"/>
      <c r="AA38" s="477"/>
      <c r="AB38" s="477"/>
      <c r="AC38" s="477"/>
      <c r="AD38" s="477"/>
      <c r="AE38" s="477"/>
      <c r="AF38" s="477"/>
      <c r="AG38" s="477"/>
      <c r="AH38" s="477"/>
      <c r="AI38" s="479"/>
      <c r="AJ38" s="479"/>
      <c r="AK38" s="479"/>
      <c r="AL38" s="479"/>
      <c r="AM38" s="479"/>
      <c r="AN38" s="479"/>
      <c r="AO38" s="479"/>
      <c r="AP38" s="479"/>
      <c r="AQ38" s="479"/>
      <c r="AR38" s="479"/>
      <c r="AS38" s="479"/>
      <c r="AT38" s="479"/>
      <c r="AU38" s="479"/>
      <c r="AV38" s="479"/>
      <c r="AW38" s="479"/>
      <c r="AX38" s="479"/>
    </row>
    <row r="39" spans="1:50" x14ac:dyDescent="0.2">
      <c r="A39" s="206"/>
      <c r="B39" s="477"/>
      <c r="C39" s="47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77"/>
      <c r="R39" s="477"/>
      <c r="S39" s="477"/>
      <c r="T39" s="477"/>
      <c r="U39" s="477"/>
      <c r="V39" s="477"/>
      <c r="W39" s="477"/>
      <c r="X39" s="477"/>
      <c r="Y39" s="477"/>
      <c r="Z39" s="477"/>
      <c r="AA39" s="477"/>
      <c r="AB39" s="477"/>
      <c r="AC39" s="477"/>
      <c r="AD39" s="477"/>
      <c r="AE39" s="477"/>
      <c r="AF39" s="477"/>
      <c r="AG39" s="477"/>
      <c r="AH39" s="477"/>
      <c r="AI39" s="479"/>
      <c r="AJ39" s="479"/>
      <c r="AK39" s="479"/>
      <c r="AL39" s="479"/>
      <c r="AM39" s="479"/>
      <c r="AN39" s="479"/>
      <c r="AO39" s="479"/>
      <c r="AP39" s="479"/>
      <c r="AQ39" s="479"/>
      <c r="AR39" s="479"/>
      <c r="AS39" s="479"/>
      <c r="AT39" s="479"/>
      <c r="AU39" s="479"/>
      <c r="AV39" s="479"/>
      <c r="AW39" s="479"/>
      <c r="AX39" s="479"/>
    </row>
    <row r="40" spans="1:50" x14ac:dyDescent="0.2">
      <c r="A40" s="206"/>
      <c r="B40" s="477"/>
      <c r="C40" s="477"/>
      <c r="D40" s="477"/>
      <c r="E40" s="477"/>
      <c r="F40" s="477"/>
      <c r="G40" s="477"/>
      <c r="H40" s="477">
        <f>+H30+H19</f>
        <v>2390781.4400000004</v>
      </c>
      <c r="I40" s="477">
        <f>+I30+I19</f>
        <v>3172868</v>
      </c>
      <c r="J40" s="477">
        <f>+J30+J19</f>
        <v>2888899.8899999997</v>
      </c>
      <c r="K40" s="477">
        <f>+K30+K19</f>
        <v>1988227.72</v>
      </c>
      <c r="L40" s="477"/>
      <c r="M40" s="477"/>
      <c r="N40" s="477"/>
      <c r="O40" s="477"/>
      <c r="P40" s="477"/>
      <c r="Q40" s="477"/>
      <c r="R40" s="477"/>
      <c r="S40" s="477"/>
      <c r="T40" s="477"/>
      <c r="U40" s="477"/>
      <c r="V40" s="477"/>
      <c r="W40" s="477"/>
      <c r="X40" s="477"/>
      <c r="Y40" s="477"/>
      <c r="Z40" s="477"/>
      <c r="AA40" s="477"/>
      <c r="AB40" s="477"/>
      <c r="AC40" s="477"/>
      <c r="AD40" s="477"/>
      <c r="AE40" s="477"/>
      <c r="AF40" s="477"/>
      <c r="AG40" s="477"/>
      <c r="AH40" s="477"/>
      <c r="AI40" s="479"/>
      <c r="AJ40" s="479"/>
      <c r="AK40" s="479"/>
      <c r="AL40" s="479"/>
      <c r="AM40" s="479"/>
      <c r="AN40" s="479"/>
      <c r="AO40" s="479"/>
      <c r="AP40" s="479"/>
      <c r="AQ40" s="479"/>
      <c r="AR40" s="479"/>
      <c r="AS40" s="479"/>
      <c r="AT40" s="479"/>
      <c r="AU40" s="479"/>
      <c r="AV40" s="479"/>
      <c r="AW40" s="479"/>
      <c r="AX40" s="479"/>
    </row>
    <row r="41" spans="1:50" x14ac:dyDescent="0.2">
      <c r="A41" s="206"/>
      <c r="B41" s="477"/>
      <c r="C41" s="477"/>
      <c r="D41" s="477"/>
      <c r="E41" s="477"/>
      <c r="F41" s="477"/>
      <c r="G41" s="477"/>
      <c r="H41" s="477"/>
      <c r="I41" s="477"/>
      <c r="J41" s="477"/>
      <c r="K41" s="477">
        <v>2037075.88</v>
      </c>
      <c r="L41" s="477"/>
      <c r="M41" s="477"/>
      <c r="N41" s="477"/>
      <c r="O41" s="477"/>
      <c r="P41" s="477"/>
      <c r="Q41" s="477"/>
      <c r="R41" s="477"/>
      <c r="S41" s="477"/>
      <c r="T41" s="477"/>
      <c r="U41" s="477"/>
      <c r="V41" s="477"/>
      <c r="W41" s="477"/>
      <c r="X41" s="477"/>
      <c r="Y41" s="477"/>
      <c r="Z41" s="477"/>
      <c r="AA41" s="477"/>
      <c r="AB41" s="477"/>
      <c r="AC41" s="477"/>
      <c r="AD41" s="477"/>
      <c r="AE41" s="477"/>
      <c r="AF41" s="477"/>
      <c r="AG41" s="477"/>
      <c r="AH41" s="477"/>
      <c r="AI41" s="479"/>
      <c r="AJ41" s="479"/>
      <c r="AK41" s="479"/>
      <c r="AL41" s="479"/>
      <c r="AM41" s="479"/>
      <c r="AN41" s="479"/>
      <c r="AO41" s="479"/>
      <c r="AP41" s="479"/>
      <c r="AQ41" s="479"/>
      <c r="AR41" s="479"/>
      <c r="AS41" s="479"/>
      <c r="AT41" s="479"/>
      <c r="AU41" s="479"/>
      <c r="AV41" s="479"/>
      <c r="AW41" s="479"/>
      <c r="AX41" s="479"/>
    </row>
    <row r="42" spans="1:50" x14ac:dyDescent="0.2">
      <c r="A42" s="206"/>
      <c r="B42" s="477"/>
      <c r="C42" s="477"/>
      <c r="D42" s="477"/>
      <c r="E42" s="477"/>
      <c r="F42" s="477"/>
      <c r="G42" s="477"/>
      <c r="H42" s="477"/>
      <c r="I42" s="477"/>
      <c r="J42" s="477"/>
      <c r="K42" s="477">
        <f>+K40-K41</f>
        <v>-48848.159999999916</v>
      </c>
      <c r="L42" s="477"/>
      <c r="M42" s="477"/>
      <c r="N42" s="477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9"/>
      <c r="AJ42" s="479"/>
      <c r="AK42" s="479"/>
      <c r="AL42" s="479"/>
      <c r="AM42" s="479"/>
      <c r="AN42" s="479"/>
      <c r="AO42" s="479"/>
      <c r="AP42" s="479"/>
      <c r="AQ42" s="479"/>
      <c r="AR42" s="479"/>
      <c r="AS42" s="479"/>
      <c r="AT42" s="479"/>
      <c r="AU42" s="479"/>
      <c r="AV42" s="479"/>
      <c r="AW42" s="479"/>
      <c r="AX42" s="479"/>
    </row>
    <row r="43" spans="1:50" x14ac:dyDescent="0.2">
      <c r="A43" s="206"/>
      <c r="B43" s="477"/>
      <c r="C43" s="477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77"/>
      <c r="P43" s="477"/>
      <c r="Q43" s="477"/>
      <c r="R43" s="477"/>
      <c r="S43" s="477"/>
      <c r="T43" s="477"/>
      <c r="U43" s="477"/>
      <c r="V43" s="477"/>
      <c r="W43" s="477"/>
      <c r="X43" s="477"/>
      <c r="Y43" s="477"/>
      <c r="Z43" s="477"/>
      <c r="AA43" s="477"/>
      <c r="AB43" s="477"/>
      <c r="AC43" s="477"/>
      <c r="AD43" s="477"/>
      <c r="AE43" s="477"/>
      <c r="AF43" s="477"/>
      <c r="AG43" s="477"/>
      <c r="AH43" s="477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</row>
    <row r="44" spans="1:50" x14ac:dyDescent="0.2">
      <c r="A44" s="206"/>
      <c r="B44" s="477"/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7"/>
      <c r="X44" s="477"/>
      <c r="Y44" s="477"/>
      <c r="Z44" s="477"/>
      <c r="AA44" s="477"/>
      <c r="AB44" s="477"/>
      <c r="AC44" s="477"/>
      <c r="AD44" s="477"/>
      <c r="AE44" s="477"/>
      <c r="AF44" s="477"/>
      <c r="AG44" s="477"/>
      <c r="AH44" s="477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</row>
    <row r="45" spans="1:50" x14ac:dyDescent="0.2">
      <c r="A45" s="206"/>
      <c r="B45" s="477"/>
      <c r="C45" s="477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77"/>
      <c r="P45" s="477"/>
      <c r="Q45" s="477"/>
      <c r="R45" s="477"/>
      <c r="S45" s="477"/>
      <c r="T45" s="477"/>
      <c r="U45" s="477"/>
      <c r="V45" s="477"/>
      <c r="W45" s="477"/>
      <c r="X45" s="477"/>
      <c r="Y45" s="477"/>
      <c r="Z45" s="477"/>
      <c r="AA45" s="477"/>
      <c r="AB45" s="477"/>
      <c r="AC45" s="477"/>
      <c r="AD45" s="477"/>
      <c r="AE45" s="477"/>
      <c r="AF45" s="477"/>
      <c r="AG45" s="477"/>
      <c r="AH45" s="477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</row>
    <row r="46" spans="1:50" x14ac:dyDescent="0.2">
      <c r="A46" s="206"/>
      <c r="B46" s="477"/>
      <c r="C46" s="477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77"/>
      <c r="R46" s="477"/>
      <c r="S46" s="477"/>
      <c r="T46" s="477"/>
      <c r="U46" s="477"/>
      <c r="V46" s="477"/>
      <c r="W46" s="477"/>
      <c r="X46" s="477"/>
      <c r="Y46" s="477"/>
      <c r="Z46" s="477"/>
      <c r="AA46" s="477"/>
      <c r="AB46" s="477"/>
      <c r="AC46" s="477"/>
      <c r="AD46" s="477"/>
      <c r="AE46" s="477"/>
      <c r="AF46" s="477"/>
      <c r="AG46" s="477"/>
      <c r="AH46" s="477"/>
      <c r="AI46" s="479"/>
      <c r="AJ46" s="479"/>
      <c r="AK46" s="479"/>
      <c r="AL46" s="479"/>
      <c r="AM46" s="479"/>
      <c r="AN46" s="479"/>
      <c r="AO46" s="479"/>
      <c r="AP46" s="479"/>
      <c r="AQ46" s="479"/>
      <c r="AR46" s="479"/>
      <c r="AS46" s="479"/>
      <c r="AT46" s="479"/>
      <c r="AU46" s="479"/>
      <c r="AV46" s="479"/>
      <c r="AW46" s="479"/>
      <c r="AX46" s="479"/>
    </row>
    <row r="47" spans="1:50" x14ac:dyDescent="0.2">
      <c r="A47" s="206" t="s">
        <v>24</v>
      </c>
      <c r="B47" s="477">
        <v>3246</v>
      </c>
      <c r="C47" s="476">
        <v>30877</v>
      </c>
      <c r="D47" s="480">
        <v>40063</v>
      </c>
      <c r="E47" s="477">
        <v>48379</v>
      </c>
      <c r="F47" s="477">
        <v>80516</v>
      </c>
      <c r="G47" s="478">
        <v>96175</v>
      </c>
      <c r="H47" s="478">
        <v>140689</v>
      </c>
      <c r="I47" s="477">
        <v>147133</v>
      </c>
      <c r="J47" s="477">
        <v>143078</v>
      </c>
      <c r="K47" s="477"/>
      <c r="L47" s="477"/>
      <c r="M47" s="477"/>
      <c r="N47" s="477"/>
      <c r="O47" s="477"/>
      <c r="P47" s="477"/>
      <c r="Q47" s="477"/>
      <c r="R47" s="477"/>
      <c r="S47" s="477"/>
      <c r="T47" s="477"/>
      <c r="U47" s="477"/>
      <c r="V47" s="477"/>
      <c r="W47" s="477"/>
      <c r="X47" s="477"/>
      <c r="Y47" s="477"/>
      <c r="Z47" s="477"/>
      <c r="AA47" s="477"/>
      <c r="AB47" s="477"/>
      <c r="AC47" s="477"/>
      <c r="AD47" s="477"/>
      <c r="AE47" s="477"/>
      <c r="AF47" s="477"/>
      <c r="AG47" s="477"/>
      <c r="AH47" s="477"/>
      <c r="AI47" s="479"/>
      <c r="AJ47" s="479"/>
      <c r="AK47" s="479"/>
      <c r="AL47" s="479"/>
      <c r="AM47" s="479"/>
      <c r="AN47" s="479"/>
      <c r="AO47" s="479"/>
      <c r="AP47" s="479"/>
      <c r="AQ47" s="479"/>
      <c r="AR47" s="479"/>
      <c r="AS47" s="479"/>
      <c r="AT47" s="479"/>
      <c r="AU47" s="479"/>
      <c r="AV47" s="479"/>
      <c r="AW47" s="479"/>
      <c r="AX47" s="479"/>
    </row>
    <row r="48" spans="1:50" x14ac:dyDescent="0.2">
      <c r="A48" s="206"/>
      <c r="B48" s="477"/>
      <c r="C48" s="477"/>
      <c r="D48" s="477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77"/>
      <c r="P48" s="477"/>
      <c r="Q48" s="477"/>
      <c r="R48" s="477"/>
      <c r="S48" s="477"/>
      <c r="T48" s="477"/>
      <c r="U48" s="477"/>
      <c r="V48" s="477"/>
      <c r="W48" s="477"/>
      <c r="X48" s="477"/>
      <c r="Y48" s="477"/>
      <c r="Z48" s="477"/>
      <c r="AA48" s="477"/>
      <c r="AB48" s="477"/>
      <c r="AC48" s="477"/>
      <c r="AD48" s="477"/>
      <c r="AE48" s="477"/>
      <c r="AF48" s="477"/>
      <c r="AG48" s="477"/>
      <c r="AH48" s="477"/>
      <c r="AI48" s="479"/>
      <c r="AJ48" s="479"/>
      <c r="AK48" s="479"/>
      <c r="AL48" s="479"/>
      <c r="AM48" s="479"/>
      <c r="AN48" s="479"/>
      <c r="AO48" s="479"/>
      <c r="AP48" s="479"/>
      <c r="AQ48" s="479"/>
      <c r="AR48" s="479"/>
      <c r="AS48" s="479"/>
      <c r="AT48" s="479"/>
      <c r="AU48" s="479"/>
      <c r="AV48" s="479"/>
      <c r="AW48" s="479"/>
      <c r="AX48" s="479"/>
    </row>
    <row r="49" spans="1:50" x14ac:dyDescent="0.2">
      <c r="A49" s="206"/>
      <c r="B49" s="477"/>
      <c r="C49" s="477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7"/>
      <c r="AF49" s="477"/>
      <c r="AG49" s="477"/>
      <c r="AH49" s="477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</row>
    <row r="50" spans="1:50" x14ac:dyDescent="0.2">
      <c r="A50" s="206"/>
      <c r="B50" s="477"/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7"/>
      <c r="X50" s="477"/>
      <c r="Y50" s="477"/>
      <c r="Z50" s="477"/>
      <c r="AA50" s="477"/>
      <c r="AB50" s="477"/>
      <c r="AC50" s="477"/>
      <c r="AD50" s="477"/>
      <c r="AE50" s="477"/>
      <c r="AF50" s="477"/>
      <c r="AG50" s="477"/>
      <c r="AH50" s="477"/>
      <c r="AI50" s="479"/>
      <c r="AJ50" s="479"/>
      <c r="AK50" s="479"/>
      <c r="AL50" s="479"/>
      <c r="AM50" s="479"/>
      <c r="AN50" s="479"/>
      <c r="AO50" s="479"/>
      <c r="AP50" s="479"/>
      <c r="AQ50" s="479"/>
      <c r="AR50" s="479"/>
      <c r="AS50" s="479"/>
      <c r="AT50" s="479"/>
      <c r="AU50" s="479"/>
      <c r="AV50" s="479"/>
      <c r="AW50" s="479"/>
      <c r="AX50" s="479"/>
    </row>
    <row r="51" spans="1:50" x14ac:dyDescent="0.2">
      <c r="A51" s="206"/>
      <c r="B51" s="477"/>
      <c r="C51" s="477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7"/>
      <c r="X51" s="477"/>
      <c r="Y51" s="477"/>
      <c r="Z51" s="477"/>
      <c r="AA51" s="477"/>
      <c r="AB51" s="477"/>
      <c r="AC51" s="477"/>
      <c r="AD51" s="477"/>
      <c r="AE51" s="477"/>
      <c r="AF51" s="477"/>
      <c r="AG51" s="477"/>
      <c r="AH51" s="477"/>
      <c r="AI51" s="479"/>
      <c r="AJ51" s="479"/>
      <c r="AK51" s="479"/>
      <c r="AL51" s="479"/>
      <c r="AM51" s="479"/>
      <c r="AN51" s="479"/>
      <c r="AO51" s="479"/>
      <c r="AP51" s="479"/>
      <c r="AQ51" s="479"/>
      <c r="AR51" s="479"/>
      <c r="AS51" s="479"/>
      <c r="AT51" s="479"/>
      <c r="AU51" s="479"/>
      <c r="AV51" s="479"/>
      <c r="AW51" s="479"/>
      <c r="AX51" s="479"/>
    </row>
    <row r="52" spans="1:50" x14ac:dyDescent="0.2">
      <c r="A52" s="206"/>
      <c r="B52" s="477"/>
      <c r="C52" s="477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477"/>
      <c r="S52" s="477"/>
      <c r="T52" s="477"/>
      <c r="U52" s="477"/>
      <c r="V52" s="477"/>
      <c r="W52" s="477"/>
      <c r="X52" s="477"/>
      <c r="Y52" s="477"/>
      <c r="Z52" s="477"/>
      <c r="AA52" s="477"/>
      <c r="AB52" s="477"/>
      <c r="AC52" s="477"/>
      <c r="AD52" s="477"/>
      <c r="AE52" s="477"/>
      <c r="AF52" s="477"/>
      <c r="AG52" s="477"/>
      <c r="AH52" s="477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</row>
    <row r="53" spans="1:50" x14ac:dyDescent="0.2">
      <c r="A53" s="206"/>
      <c r="B53" s="477"/>
      <c r="C53" s="477"/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77"/>
      <c r="P53" s="477"/>
      <c r="Q53" s="477"/>
      <c r="R53" s="477"/>
      <c r="S53" s="477"/>
      <c r="T53" s="477"/>
      <c r="U53" s="477"/>
      <c r="V53" s="477"/>
      <c r="W53" s="477"/>
      <c r="X53" s="477"/>
      <c r="Y53" s="477"/>
      <c r="Z53" s="477"/>
      <c r="AA53" s="477"/>
      <c r="AB53" s="477"/>
      <c r="AC53" s="477"/>
      <c r="AD53" s="477"/>
      <c r="AE53" s="477"/>
      <c r="AF53" s="477"/>
      <c r="AG53" s="477"/>
      <c r="AH53" s="477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</row>
    <row r="54" spans="1:50" x14ac:dyDescent="0.2">
      <c r="A54" s="206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77"/>
      <c r="P54" s="477"/>
      <c r="Q54" s="477"/>
      <c r="R54" s="477"/>
      <c r="S54" s="477"/>
      <c r="T54" s="477"/>
      <c r="U54" s="477"/>
      <c r="V54" s="477"/>
      <c r="W54" s="477"/>
      <c r="X54" s="477"/>
      <c r="Y54" s="477"/>
      <c r="Z54" s="477"/>
      <c r="AA54" s="477"/>
      <c r="AB54" s="477"/>
      <c r="AC54" s="477"/>
      <c r="AD54" s="477"/>
      <c r="AE54" s="477"/>
      <c r="AF54" s="477"/>
      <c r="AG54" s="477"/>
      <c r="AH54" s="477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</row>
    <row r="55" spans="1:50" x14ac:dyDescent="0.2">
      <c r="A55" s="206"/>
      <c r="B55" s="477"/>
      <c r="C55" s="477"/>
      <c r="D55" s="477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77"/>
      <c r="P55" s="477"/>
      <c r="Q55" s="477"/>
      <c r="R55" s="477"/>
      <c r="S55" s="477"/>
      <c r="T55" s="477"/>
      <c r="U55" s="477"/>
      <c r="V55" s="477"/>
      <c r="W55" s="477"/>
      <c r="X55" s="477"/>
      <c r="Y55" s="477"/>
      <c r="Z55" s="477"/>
      <c r="AA55" s="477"/>
      <c r="AB55" s="477"/>
      <c r="AC55" s="477"/>
      <c r="AD55" s="477"/>
      <c r="AE55" s="477"/>
      <c r="AF55" s="477"/>
      <c r="AG55" s="477"/>
      <c r="AH55" s="477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</row>
    <row r="56" spans="1:50" x14ac:dyDescent="0.2">
      <c r="A56" s="206"/>
      <c r="B56" s="477"/>
      <c r="C56" s="477"/>
      <c r="D56" s="477"/>
      <c r="E56" s="477"/>
      <c r="F56" s="477"/>
      <c r="G56" s="477"/>
      <c r="H56" s="477"/>
      <c r="I56" s="477"/>
      <c r="J56" s="477"/>
      <c r="K56" s="477"/>
      <c r="L56" s="477"/>
      <c r="M56" s="477"/>
      <c r="N56" s="477"/>
      <c r="O56" s="477"/>
      <c r="P56" s="477"/>
      <c r="Q56" s="477"/>
      <c r="R56" s="477"/>
      <c r="S56" s="477"/>
      <c r="T56" s="477"/>
      <c r="U56" s="477"/>
      <c r="V56" s="477"/>
      <c r="W56" s="477"/>
      <c r="X56" s="477"/>
      <c r="Y56" s="477"/>
      <c r="Z56" s="477"/>
      <c r="AA56" s="477"/>
      <c r="AB56" s="477"/>
      <c r="AC56" s="477"/>
      <c r="AD56" s="477"/>
      <c r="AE56" s="477"/>
      <c r="AF56" s="477"/>
      <c r="AG56" s="477"/>
      <c r="AH56" s="477"/>
      <c r="AI56" s="479"/>
      <c r="AJ56" s="479"/>
      <c r="AK56" s="479"/>
      <c r="AL56" s="479"/>
      <c r="AM56" s="479"/>
      <c r="AN56" s="479"/>
      <c r="AO56" s="479"/>
      <c r="AP56" s="479"/>
      <c r="AQ56" s="479"/>
      <c r="AR56" s="479"/>
      <c r="AS56" s="479"/>
      <c r="AT56" s="479"/>
      <c r="AU56" s="479"/>
      <c r="AV56" s="479"/>
      <c r="AW56" s="479"/>
      <c r="AX56" s="479"/>
    </row>
    <row r="57" spans="1:50" x14ac:dyDescent="0.2">
      <c r="A57" s="206"/>
      <c r="B57" s="477"/>
      <c r="C57" s="477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477"/>
      <c r="Q57" s="477"/>
      <c r="R57" s="477"/>
      <c r="S57" s="477"/>
      <c r="T57" s="477"/>
      <c r="U57" s="477"/>
      <c r="V57" s="477"/>
      <c r="W57" s="477"/>
      <c r="X57" s="477"/>
      <c r="Y57" s="477"/>
      <c r="Z57" s="477"/>
      <c r="AA57" s="477"/>
      <c r="AB57" s="477"/>
      <c r="AC57" s="477"/>
      <c r="AD57" s="477"/>
      <c r="AE57" s="477"/>
      <c r="AF57" s="477"/>
      <c r="AG57" s="477"/>
      <c r="AH57" s="477"/>
      <c r="AI57" s="479"/>
      <c r="AJ57" s="479"/>
      <c r="AK57" s="479"/>
      <c r="AL57" s="479"/>
      <c r="AM57" s="479"/>
      <c r="AN57" s="479"/>
      <c r="AO57" s="479"/>
      <c r="AP57" s="479"/>
      <c r="AQ57" s="479"/>
      <c r="AR57" s="479"/>
      <c r="AS57" s="479"/>
      <c r="AT57" s="479"/>
      <c r="AU57" s="479"/>
      <c r="AV57" s="479"/>
      <c r="AW57" s="479"/>
      <c r="AX57" s="479"/>
    </row>
    <row r="58" spans="1:50" x14ac:dyDescent="0.2">
      <c r="A58" s="206"/>
      <c r="B58" s="477"/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7"/>
      <c r="X58" s="477"/>
      <c r="Y58" s="477"/>
      <c r="Z58" s="477"/>
      <c r="AA58" s="477"/>
      <c r="AB58" s="477"/>
      <c r="AC58" s="477"/>
      <c r="AD58" s="477"/>
      <c r="AE58" s="477"/>
      <c r="AF58" s="477"/>
      <c r="AG58" s="477"/>
      <c r="AH58" s="477"/>
      <c r="AI58" s="479"/>
      <c r="AJ58" s="479"/>
      <c r="AK58" s="479"/>
      <c r="AL58" s="479"/>
      <c r="AM58" s="479"/>
      <c r="AN58" s="479"/>
      <c r="AO58" s="479"/>
      <c r="AP58" s="479"/>
      <c r="AQ58" s="479"/>
      <c r="AR58" s="479"/>
      <c r="AS58" s="479"/>
      <c r="AT58" s="479"/>
      <c r="AU58" s="479"/>
      <c r="AV58" s="479"/>
      <c r="AW58" s="479"/>
      <c r="AX58" s="479"/>
    </row>
    <row r="59" spans="1:50" x14ac:dyDescent="0.2">
      <c r="A59" s="206"/>
      <c r="B59" s="477"/>
      <c r="C59" s="477"/>
      <c r="D59" s="477"/>
      <c r="E59" s="477"/>
      <c r="F59" s="477"/>
      <c r="G59" s="477"/>
      <c r="H59" s="477"/>
      <c r="I59" s="477"/>
      <c r="J59" s="477"/>
      <c r="K59" s="477"/>
      <c r="L59" s="477"/>
      <c r="M59" s="477"/>
      <c r="N59" s="477"/>
      <c r="O59" s="477"/>
      <c r="P59" s="477"/>
      <c r="Q59" s="477"/>
      <c r="R59" s="477"/>
      <c r="S59" s="477"/>
      <c r="T59" s="477"/>
      <c r="U59" s="477"/>
      <c r="V59" s="477"/>
      <c r="W59" s="477"/>
      <c r="X59" s="477"/>
      <c r="Y59" s="477"/>
      <c r="Z59" s="477"/>
      <c r="AA59" s="477"/>
      <c r="AB59" s="477"/>
      <c r="AC59" s="477"/>
      <c r="AD59" s="477"/>
      <c r="AE59" s="477"/>
      <c r="AF59" s="477"/>
      <c r="AG59" s="477"/>
      <c r="AH59" s="477"/>
      <c r="AI59" s="479"/>
      <c r="AJ59" s="479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479"/>
      <c r="AX59" s="479"/>
    </row>
    <row r="60" spans="1:50" x14ac:dyDescent="0.2">
      <c r="A60" s="206"/>
      <c r="B60" s="477"/>
      <c r="C60" s="477"/>
      <c r="D60" s="477"/>
      <c r="E60" s="477"/>
      <c r="F60" s="477"/>
      <c r="G60" s="477"/>
      <c r="H60" s="477"/>
      <c r="I60" s="477"/>
      <c r="J60" s="477"/>
      <c r="K60" s="477"/>
      <c r="L60" s="477"/>
      <c r="M60" s="477"/>
      <c r="N60" s="477"/>
      <c r="O60" s="477"/>
      <c r="P60" s="477"/>
      <c r="Q60" s="477"/>
      <c r="R60" s="477"/>
      <c r="S60" s="477"/>
      <c r="T60" s="477"/>
      <c r="U60" s="477"/>
      <c r="V60" s="477"/>
      <c r="W60" s="477"/>
      <c r="X60" s="477"/>
      <c r="Y60" s="477"/>
      <c r="Z60" s="477"/>
      <c r="AA60" s="477"/>
      <c r="AB60" s="477"/>
      <c r="AC60" s="477"/>
      <c r="AD60" s="477"/>
      <c r="AE60" s="477"/>
      <c r="AF60" s="477"/>
      <c r="AG60" s="477"/>
      <c r="AH60" s="477"/>
      <c r="AI60" s="479"/>
      <c r="AJ60" s="479"/>
      <c r="AK60" s="479"/>
      <c r="AL60" s="479"/>
      <c r="AM60" s="479"/>
      <c r="AN60" s="479"/>
      <c r="AO60" s="479"/>
      <c r="AP60" s="479"/>
      <c r="AQ60" s="479"/>
      <c r="AR60" s="479"/>
      <c r="AS60" s="479"/>
      <c r="AT60" s="479"/>
      <c r="AU60" s="479"/>
      <c r="AV60" s="479"/>
      <c r="AW60" s="479"/>
      <c r="AX60" s="479"/>
    </row>
    <row r="61" spans="1:50" x14ac:dyDescent="0.2">
      <c r="A61" s="206"/>
      <c r="B61" s="477"/>
      <c r="C61" s="477"/>
      <c r="D61" s="477"/>
      <c r="E61" s="477"/>
      <c r="F61" s="477"/>
      <c r="G61" s="477"/>
      <c r="H61" s="477"/>
      <c r="I61" s="477"/>
      <c r="J61" s="477"/>
      <c r="K61" s="477"/>
      <c r="L61" s="477"/>
      <c r="M61" s="477"/>
      <c r="N61" s="477"/>
      <c r="O61" s="477"/>
      <c r="P61" s="477"/>
      <c r="Q61" s="477"/>
      <c r="R61" s="477"/>
      <c r="S61" s="477"/>
      <c r="T61" s="477"/>
      <c r="U61" s="477"/>
      <c r="V61" s="477"/>
      <c r="W61" s="477"/>
      <c r="X61" s="477"/>
      <c r="Y61" s="477"/>
      <c r="Z61" s="477"/>
      <c r="AA61" s="477"/>
      <c r="AB61" s="477"/>
      <c r="AC61" s="477"/>
      <c r="AD61" s="477"/>
      <c r="AE61" s="477"/>
      <c r="AF61" s="477"/>
      <c r="AG61" s="477"/>
      <c r="AH61" s="477"/>
      <c r="AI61" s="479"/>
      <c r="AJ61" s="479"/>
      <c r="AK61" s="479"/>
      <c r="AL61" s="479"/>
      <c r="AM61" s="479"/>
      <c r="AN61" s="479"/>
      <c r="AO61" s="479"/>
      <c r="AP61" s="479"/>
      <c r="AQ61" s="479"/>
      <c r="AR61" s="479"/>
      <c r="AS61" s="479"/>
      <c r="AT61" s="479"/>
      <c r="AU61" s="479"/>
      <c r="AV61" s="479"/>
      <c r="AW61" s="479"/>
      <c r="AX61" s="479"/>
    </row>
    <row r="62" spans="1:50" x14ac:dyDescent="0.2">
      <c r="A62" s="206"/>
      <c r="B62" s="477"/>
      <c r="C62" s="477"/>
      <c r="D62" s="477"/>
      <c r="E62" s="477"/>
      <c r="F62" s="477"/>
      <c r="G62" s="477"/>
      <c r="H62" s="477"/>
      <c r="I62" s="477"/>
      <c r="J62" s="477"/>
      <c r="K62" s="477"/>
      <c r="L62" s="477"/>
      <c r="M62" s="477"/>
      <c r="N62" s="477"/>
      <c r="O62" s="477"/>
      <c r="P62" s="477"/>
      <c r="Q62" s="477"/>
      <c r="R62" s="477"/>
      <c r="S62" s="477"/>
      <c r="T62" s="477"/>
      <c r="U62" s="477"/>
      <c r="V62" s="477"/>
      <c r="W62" s="477"/>
      <c r="X62" s="477"/>
      <c r="Y62" s="477"/>
      <c r="Z62" s="477"/>
      <c r="AA62" s="477"/>
      <c r="AB62" s="477"/>
      <c r="AC62" s="477"/>
      <c r="AD62" s="477"/>
      <c r="AE62" s="477"/>
      <c r="AF62" s="477"/>
      <c r="AG62" s="477"/>
      <c r="AH62" s="477"/>
      <c r="AI62" s="479"/>
      <c r="AJ62" s="479"/>
      <c r="AK62" s="479"/>
      <c r="AL62" s="479"/>
      <c r="AM62" s="479"/>
      <c r="AN62" s="479"/>
      <c r="AO62" s="479"/>
      <c r="AP62" s="479"/>
      <c r="AQ62" s="479"/>
      <c r="AR62" s="479"/>
      <c r="AS62" s="479"/>
      <c r="AT62" s="479"/>
      <c r="AU62" s="479"/>
      <c r="AV62" s="479"/>
      <c r="AW62" s="479"/>
      <c r="AX62" s="479"/>
    </row>
    <row r="63" spans="1:50" x14ac:dyDescent="0.2">
      <c r="A63" s="206"/>
      <c r="B63" s="477"/>
      <c r="C63" s="477"/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  <c r="U63" s="477"/>
      <c r="V63" s="477"/>
      <c r="W63" s="477"/>
      <c r="X63" s="477"/>
      <c r="Y63" s="477"/>
      <c r="Z63" s="477"/>
      <c r="AA63" s="477"/>
      <c r="AB63" s="477"/>
      <c r="AC63" s="477"/>
      <c r="AD63" s="477"/>
      <c r="AE63" s="477"/>
      <c r="AF63" s="477"/>
      <c r="AG63" s="477"/>
      <c r="AH63" s="477"/>
      <c r="AI63" s="479"/>
      <c r="AJ63" s="479"/>
      <c r="AK63" s="479"/>
      <c r="AL63" s="479"/>
      <c r="AM63" s="479"/>
      <c r="AN63" s="479"/>
      <c r="AO63" s="479"/>
      <c r="AP63" s="479"/>
      <c r="AQ63" s="479"/>
      <c r="AR63" s="479"/>
      <c r="AS63" s="479"/>
      <c r="AT63" s="479"/>
      <c r="AU63" s="479"/>
      <c r="AV63" s="479"/>
      <c r="AW63" s="479"/>
      <c r="AX63" s="479"/>
    </row>
    <row r="64" spans="1:50" x14ac:dyDescent="0.2">
      <c r="A64" s="206"/>
      <c r="B64" s="477"/>
      <c r="C64" s="477"/>
      <c r="D64" s="477"/>
      <c r="E64" s="477"/>
      <c r="F64" s="477"/>
      <c r="G64" s="477"/>
      <c r="H64" s="477"/>
      <c r="I64" s="477"/>
      <c r="J64" s="477"/>
      <c r="K64" s="477"/>
      <c r="L64" s="477"/>
      <c r="M64" s="477"/>
      <c r="N64" s="477"/>
      <c r="O64" s="477"/>
      <c r="P64" s="477"/>
      <c r="Q64" s="477"/>
      <c r="R64" s="477"/>
      <c r="S64" s="477"/>
      <c r="T64" s="477"/>
      <c r="U64" s="477"/>
      <c r="V64" s="477"/>
      <c r="W64" s="477"/>
      <c r="X64" s="477"/>
      <c r="Y64" s="477"/>
      <c r="Z64" s="477"/>
      <c r="AA64" s="477"/>
      <c r="AB64" s="477"/>
      <c r="AC64" s="477"/>
      <c r="AD64" s="477"/>
      <c r="AE64" s="477"/>
      <c r="AF64" s="477"/>
      <c r="AG64" s="477"/>
      <c r="AH64" s="477"/>
      <c r="AI64" s="479"/>
      <c r="AJ64" s="479"/>
      <c r="AK64" s="479"/>
      <c r="AL64" s="479"/>
      <c r="AM64" s="479"/>
      <c r="AN64" s="479"/>
      <c r="AO64" s="479"/>
      <c r="AP64" s="479"/>
      <c r="AQ64" s="479"/>
      <c r="AR64" s="479"/>
      <c r="AS64" s="479"/>
      <c r="AT64" s="479"/>
      <c r="AU64" s="479"/>
      <c r="AV64" s="479"/>
      <c r="AW64" s="479"/>
      <c r="AX64" s="479"/>
    </row>
    <row r="65" spans="1:50" x14ac:dyDescent="0.2">
      <c r="A65" s="206"/>
      <c r="B65" s="477"/>
      <c r="C65" s="477"/>
      <c r="D65" s="477"/>
      <c r="E65" s="477"/>
      <c r="F65" s="477"/>
      <c r="G65" s="477"/>
      <c r="H65" s="477"/>
      <c r="I65" s="477"/>
      <c r="J65" s="477"/>
      <c r="K65" s="477"/>
      <c r="L65" s="477"/>
      <c r="M65" s="477"/>
      <c r="N65" s="477"/>
      <c r="O65" s="477"/>
      <c r="P65" s="477"/>
      <c r="Q65" s="477"/>
      <c r="R65" s="477"/>
      <c r="S65" s="477"/>
      <c r="T65" s="477"/>
      <c r="U65" s="477"/>
      <c r="V65" s="477"/>
      <c r="W65" s="477"/>
      <c r="X65" s="477"/>
      <c r="Y65" s="477"/>
      <c r="Z65" s="477"/>
      <c r="AA65" s="477"/>
      <c r="AB65" s="477"/>
      <c r="AC65" s="477"/>
      <c r="AD65" s="477"/>
      <c r="AE65" s="477"/>
      <c r="AF65" s="477"/>
      <c r="AG65" s="477"/>
      <c r="AH65" s="477"/>
      <c r="AI65" s="479"/>
      <c r="AJ65" s="479"/>
      <c r="AK65" s="479"/>
      <c r="AL65" s="479"/>
      <c r="AM65" s="479"/>
      <c r="AN65" s="479"/>
      <c r="AO65" s="479"/>
      <c r="AP65" s="479"/>
      <c r="AQ65" s="479"/>
      <c r="AR65" s="479"/>
      <c r="AS65" s="479"/>
      <c r="AT65" s="479"/>
      <c r="AU65" s="479"/>
      <c r="AV65" s="479"/>
      <c r="AW65" s="479"/>
      <c r="AX65" s="479"/>
    </row>
    <row r="66" spans="1:50" x14ac:dyDescent="0.2">
      <c r="A66" s="206"/>
      <c r="B66" s="477"/>
      <c r="C66" s="477"/>
      <c r="D66" s="477"/>
      <c r="E66" s="477"/>
      <c r="F66" s="477"/>
      <c r="G66" s="477"/>
      <c r="H66" s="477"/>
      <c r="I66" s="477"/>
      <c r="J66" s="477"/>
      <c r="K66" s="477"/>
      <c r="L66" s="477"/>
      <c r="M66" s="477"/>
      <c r="N66" s="477"/>
      <c r="O66" s="477"/>
      <c r="P66" s="477"/>
      <c r="Q66" s="477"/>
      <c r="R66" s="477"/>
      <c r="S66" s="477"/>
      <c r="T66" s="477"/>
      <c r="U66" s="477"/>
      <c r="V66" s="477"/>
      <c r="W66" s="477"/>
      <c r="X66" s="477"/>
      <c r="Y66" s="477"/>
      <c r="Z66" s="477"/>
      <c r="AA66" s="477"/>
      <c r="AB66" s="477"/>
      <c r="AC66" s="477"/>
      <c r="AD66" s="477"/>
      <c r="AE66" s="477"/>
      <c r="AF66" s="477"/>
      <c r="AG66" s="477"/>
      <c r="AH66" s="477"/>
      <c r="AI66" s="479"/>
      <c r="AJ66" s="479"/>
      <c r="AK66" s="479"/>
      <c r="AL66" s="479"/>
      <c r="AM66" s="479"/>
      <c r="AN66" s="479"/>
      <c r="AO66" s="479"/>
      <c r="AP66" s="479"/>
      <c r="AQ66" s="479"/>
      <c r="AR66" s="479"/>
      <c r="AS66" s="479"/>
      <c r="AT66" s="479"/>
      <c r="AU66" s="479"/>
      <c r="AV66" s="479"/>
      <c r="AW66" s="479"/>
      <c r="AX66" s="479"/>
    </row>
    <row r="67" spans="1:50" x14ac:dyDescent="0.2">
      <c r="A67" s="206"/>
      <c r="B67" s="477"/>
      <c r="C67" s="477"/>
      <c r="D67" s="477"/>
      <c r="E67" s="477"/>
      <c r="F67" s="477"/>
      <c r="G67" s="477"/>
      <c r="H67" s="477"/>
      <c r="I67" s="477"/>
      <c r="J67" s="477"/>
      <c r="K67" s="477"/>
      <c r="L67" s="477"/>
      <c r="M67" s="477"/>
      <c r="N67" s="477"/>
      <c r="O67" s="477"/>
      <c r="P67" s="477"/>
      <c r="Q67" s="477"/>
      <c r="R67" s="477"/>
      <c r="S67" s="477"/>
      <c r="T67" s="477"/>
      <c r="U67" s="477"/>
      <c r="V67" s="477"/>
      <c r="W67" s="477"/>
      <c r="X67" s="477"/>
      <c r="Y67" s="477"/>
      <c r="Z67" s="477"/>
      <c r="AA67" s="477"/>
      <c r="AB67" s="477"/>
      <c r="AC67" s="477"/>
      <c r="AD67" s="477"/>
      <c r="AE67" s="477"/>
      <c r="AF67" s="477"/>
      <c r="AG67" s="477"/>
      <c r="AH67" s="477"/>
      <c r="AI67" s="479"/>
      <c r="AJ67" s="479"/>
      <c r="AK67" s="479"/>
      <c r="AL67" s="479"/>
      <c r="AM67" s="479"/>
      <c r="AN67" s="479"/>
      <c r="AO67" s="479"/>
      <c r="AP67" s="479"/>
      <c r="AQ67" s="479"/>
      <c r="AR67" s="479"/>
      <c r="AS67" s="479"/>
      <c r="AT67" s="479"/>
      <c r="AU67" s="479"/>
      <c r="AV67" s="479"/>
      <c r="AW67" s="479"/>
      <c r="AX67" s="479"/>
    </row>
    <row r="68" spans="1:50" x14ac:dyDescent="0.2">
      <c r="A68" s="206"/>
      <c r="B68" s="477"/>
      <c r="C68" s="477"/>
      <c r="D68" s="477"/>
      <c r="E68" s="477"/>
      <c r="F68" s="477"/>
      <c r="G68" s="477"/>
      <c r="H68" s="477"/>
      <c r="I68" s="477"/>
      <c r="J68" s="477"/>
      <c r="K68" s="477"/>
      <c r="L68" s="477"/>
      <c r="M68" s="477"/>
      <c r="N68" s="477"/>
      <c r="O68" s="477"/>
      <c r="P68" s="477"/>
      <c r="Q68" s="477"/>
      <c r="R68" s="477"/>
      <c r="S68" s="477"/>
      <c r="T68" s="477"/>
      <c r="U68" s="477"/>
      <c r="V68" s="477"/>
      <c r="W68" s="477"/>
      <c r="X68" s="477"/>
      <c r="Y68" s="477"/>
      <c r="Z68" s="477"/>
      <c r="AA68" s="477"/>
      <c r="AB68" s="477"/>
      <c r="AC68" s="477"/>
      <c r="AD68" s="477"/>
      <c r="AE68" s="477"/>
      <c r="AF68" s="477"/>
      <c r="AG68" s="477"/>
      <c r="AH68" s="477"/>
    </row>
    <row r="69" spans="1:50" x14ac:dyDescent="0.2">
      <c r="A69" s="206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477"/>
      <c r="O69" s="477"/>
      <c r="P69" s="477"/>
      <c r="Q69" s="477"/>
      <c r="R69" s="477"/>
      <c r="S69" s="477"/>
      <c r="T69" s="477"/>
      <c r="U69" s="477"/>
      <c r="V69" s="477"/>
      <c r="W69" s="477"/>
      <c r="X69" s="477"/>
      <c r="Y69" s="477"/>
      <c r="Z69" s="477"/>
      <c r="AA69" s="477"/>
      <c r="AB69" s="477"/>
      <c r="AC69" s="477"/>
      <c r="AD69" s="477"/>
      <c r="AE69" s="477"/>
      <c r="AF69" s="477"/>
      <c r="AG69" s="477"/>
      <c r="AH69" s="477"/>
    </row>
    <row r="70" spans="1:50" x14ac:dyDescent="0.2">
      <c r="A70" s="206"/>
      <c r="B70" s="477"/>
      <c r="C70" s="477"/>
      <c r="D70" s="477"/>
      <c r="E70" s="477"/>
      <c r="F70" s="477"/>
      <c r="G70" s="477"/>
      <c r="H70" s="477"/>
      <c r="I70" s="477"/>
      <c r="J70" s="477"/>
      <c r="K70" s="477"/>
      <c r="L70" s="477"/>
      <c r="M70" s="477"/>
      <c r="N70" s="477"/>
      <c r="O70" s="477"/>
      <c r="P70" s="477"/>
      <c r="Q70" s="477"/>
      <c r="R70" s="477"/>
      <c r="S70" s="477"/>
      <c r="T70" s="477"/>
      <c r="U70" s="477"/>
      <c r="V70" s="477"/>
      <c r="W70" s="477"/>
      <c r="X70" s="477"/>
      <c r="Y70" s="477"/>
      <c r="Z70" s="477"/>
      <c r="AA70" s="477"/>
      <c r="AB70" s="477"/>
      <c r="AC70" s="477"/>
      <c r="AD70" s="477"/>
      <c r="AE70" s="477"/>
      <c r="AF70" s="477"/>
      <c r="AG70" s="477"/>
      <c r="AH70" s="477"/>
    </row>
    <row r="71" spans="1:50" x14ac:dyDescent="0.2">
      <c r="A71" s="206"/>
      <c r="B71" s="477"/>
      <c r="C71" s="477"/>
      <c r="D71" s="477"/>
      <c r="E71" s="477"/>
      <c r="F71" s="477"/>
      <c r="G71" s="477"/>
      <c r="H71" s="477"/>
      <c r="I71" s="477"/>
      <c r="J71" s="477"/>
      <c r="K71" s="477"/>
      <c r="L71" s="477"/>
      <c r="M71" s="477"/>
      <c r="N71" s="477"/>
      <c r="O71" s="477"/>
      <c r="P71" s="477"/>
      <c r="Q71" s="477"/>
      <c r="R71" s="477"/>
      <c r="S71" s="477"/>
      <c r="T71" s="477"/>
      <c r="U71" s="477"/>
      <c r="V71" s="477"/>
      <c r="W71" s="477"/>
      <c r="X71" s="477"/>
      <c r="Y71" s="477"/>
      <c r="Z71" s="477"/>
      <c r="AA71" s="477"/>
      <c r="AB71" s="477"/>
      <c r="AC71" s="477"/>
      <c r="AD71" s="477"/>
      <c r="AE71" s="477"/>
      <c r="AF71" s="477"/>
      <c r="AG71" s="477"/>
      <c r="AH71" s="477"/>
    </row>
    <row r="72" spans="1:50" x14ac:dyDescent="0.2">
      <c r="A72" s="473"/>
      <c r="B72" s="477"/>
      <c r="C72" s="477"/>
      <c r="D72" s="477"/>
      <c r="E72" s="477"/>
      <c r="F72" s="477"/>
      <c r="G72" s="477"/>
      <c r="H72" s="477"/>
      <c r="I72" s="477"/>
      <c r="J72" s="477"/>
      <c r="K72" s="477"/>
      <c r="L72" s="477"/>
      <c r="M72" s="477"/>
      <c r="N72" s="477"/>
      <c r="O72" s="477"/>
      <c r="P72" s="477"/>
      <c r="Q72" s="477"/>
      <c r="R72" s="477"/>
      <c r="S72" s="477"/>
      <c r="T72" s="477"/>
      <c r="U72" s="477"/>
      <c r="V72" s="477"/>
      <c r="W72" s="477"/>
      <c r="X72" s="477"/>
      <c r="Y72" s="477"/>
      <c r="Z72" s="477"/>
      <c r="AA72" s="477"/>
      <c r="AB72" s="477"/>
      <c r="AC72" s="477"/>
      <c r="AD72" s="477"/>
      <c r="AE72" s="477"/>
      <c r="AF72" s="477"/>
      <c r="AG72" s="477"/>
      <c r="AH72" s="477"/>
    </row>
    <row r="73" spans="1:50" x14ac:dyDescent="0.2">
      <c r="A73" s="473"/>
      <c r="B73" s="477"/>
      <c r="C73" s="477"/>
      <c r="D73" s="477"/>
      <c r="E73" s="477"/>
      <c r="F73" s="477"/>
      <c r="G73" s="477"/>
      <c r="H73" s="477"/>
      <c r="I73" s="477"/>
      <c r="J73" s="477"/>
      <c r="K73" s="477"/>
      <c r="L73" s="477"/>
      <c r="M73" s="477"/>
      <c r="N73" s="477"/>
      <c r="O73" s="477"/>
      <c r="P73" s="477"/>
      <c r="Q73" s="477"/>
      <c r="R73" s="477"/>
      <c r="S73" s="477"/>
      <c r="T73" s="477"/>
      <c r="U73" s="477"/>
      <c r="V73" s="477"/>
      <c r="W73" s="477"/>
      <c r="X73" s="477"/>
      <c r="Y73" s="477"/>
      <c r="Z73" s="477"/>
      <c r="AA73" s="477"/>
      <c r="AB73" s="477"/>
      <c r="AC73" s="477"/>
      <c r="AD73" s="477"/>
      <c r="AE73" s="477"/>
      <c r="AF73" s="477"/>
      <c r="AG73" s="477"/>
      <c r="AH73" s="477"/>
    </row>
    <row r="74" spans="1:50" x14ac:dyDescent="0.2">
      <c r="A74" s="473"/>
      <c r="B74" s="477"/>
      <c r="C74" s="477"/>
      <c r="D74" s="477"/>
      <c r="E74" s="477"/>
      <c r="F74" s="477"/>
      <c r="G74" s="477"/>
      <c r="H74" s="477"/>
      <c r="I74" s="477"/>
      <c r="J74" s="477"/>
      <c r="K74" s="477"/>
      <c r="L74" s="477"/>
      <c r="M74" s="477"/>
      <c r="N74" s="477"/>
      <c r="O74" s="477"/>
      <c r="P74" s="477"/>
      <c r="Q74" s="477"/>
      <c r="R74" s="477"/>
      <c r="S74" s="477"/>
      <c r="T74" s="477"/>
      <c r="U74" s="477"/>
      <c r="V74" s="477"/>
      <c r="W74" s="477"/>
      <c r="X74" s="477"/>
      <c r="Y74" s="477"/>
      <c r="Z74" s="477"/>
      <c r="AA74" s="477"/>
      <c r="AB74" s="477"/>
      <c r="AC74" s="477"/>
      <c r="AD74" s="477"/>
      <c r="AE74" s="477"/>
      <c r="AF74" s="477"/>
      <c r="AG74" s="477"/>
      <c r="AH74" s="477"/>
    </row>
    <row r="75" spans="1:50" x14ac:dyDescent="0.2">
      <c r="A75" s="473"/>
      <c r="B75" s="477"/>
      <c r="C75" s="477"/>
      <c r="D75" s="477"/>
      <c r="E75" s="477"/>
      <c r="F75" s="477"/>
      <c r="G75" s="477"/>
      <c r="H75" s="477"/>
      <c r="I75" s="477"/>
      <c r="J75" s="477"/>
      <c r="K75" s="477"/>
      <c r="L75" s="477"/>
      <c r="M75" s="477"/>
      <c r="N75" s="477"/>
      <c r="O75" s="477"/>
      <c r="P75" s="477"/>
      <c r="Q75" s="477"/>
      <c r="R75" s="477"/>
      <c r="S75" s="477"/>
      <c r="T75" s="477"/>
      <c r="U75" s="477"/>
      <c r="V75" s="477"/>
      <c r="W75" s="477"/>
      <c r="X75" s="477"/>
      <c r="Y75" s="477"/>
      <c r="Z75" s="477"/>
      <c r="AA75" s="477"/>
      <c r="AB75" s="477"/>
      <c r="AC75" s="477"/>
      <c r="AD75" s="477"/>
      <c r="AE75" s="477"/>
      <c r="AF75" s="477"/>
      <c r="AG75" s="477"/>
      <c r="AH75" s="477"/>
    </row>
    <row r="76" spans="1:50" x14ac:dyDescent="0.2">
      <c r="A76" s="473"/>
      <c r="B76" s="477"/>
      <c r="C76" s="477"/>
      <c r="D76" s="477"/>
      <c r="E76" s="477"/>
      <c r="F76" s="477"/>
      <c r="G76" s="477"/>
      <c r="H76" s="477"/>
      <c r="I76" s="477"/>
      <c r="J76" s="477"/>
      <c r="K76" s="477"/>
      <c r="L76" s="477"/>
      <c r="M76" s="477"/>
      <c r="N76" s="477"/>
      <c r="O76" s="477"/>
      <c r="P76" s="477"/>
      <c r="Q76" s="477"/>
      <c r="R76" s="477"/>
      <c r="S76" s="477"/>
      <c r="T76" s="477"/>
      <c r="U76" s="477"/>
      <c r="V76" s="477"/>
      <c r="W76" s="477"/>
      <c r="X76" s="477"/>
      <c r="Y76" s="477"/>
      <c r="Z76" s="477"/>
      <c r="AA76" s="477"/>
      <c r="AB76" s="477"/>
      <c r="AC76" s="477"/>
      <c r="AD76" s="477"/>
      <c r="AE76" s="477"/>
      <c r="AF76" s="477"/>
      <c r="AG76" s="477"/>
      <c r="AH76" s="477"/>
    </row>
    <row r="77" spans="1:50" x14ac:dyDescent="0.2">
      <c r="A77" s="473"/>
      <c r="B77" s="477"/>
      <c r="C77" s="477"/>
      <c r="D77" s="477"/>
      <c r="E77" s="477"/>
      <c r="F77" s="477"/>
      <c r="G77" s="477"/>
      <c r="H77" s="477"/>
      <c r="I77" s="477"/>
      <c r="J77" s="477"/>
      <c r="K77" s="477"/>
      <c r="L77" s="477"/>
      <c r="M77" s="477"/>
      <c r="N77" s="477"/>
      <c r="O77" s="477"/>
      <c r="P77" s="477"/>
      <c r="Q77" s="477"/>
      <c r="R77" s="477"/>
      <c r="S77" s="477"/>
      <c r="T77" s="477"/>
      <c r="U77" s="477"/>
      <c r="V77" s="477"/>
      <c r="W77" s="477"/>
      <c r="X77" s="477"/>
      <c r="Y77" s="477"/>
      <c r="Z77" s="477"/>
      <c r="AA77" s="477"/>
      <c r="AB77" s="477"/>
      <c r="AC77" s="477"/>
      <c r="AD77" s="477"/>
      <c r="AE77" s="477"/>
      <c r="AF77" s="477"/>
      <c r="AG77" s="477"/>
      <c r="AH77" s="477"/>
    </row>
    <row r="78" spans="1:50" x14ac:dyDescent="0.2">
      <c r="A78" s="473"/>
      <c r="B78" s="477"/>
      <c r="C78" s="477"/>
      <c r="D78" s="477"/>
      <c r="E78" s="477"/>
      <c r="F78" s="477"/>
      <c r="G78" s="477"/>
      <c r="H78" s="477"/>
      <c r="I78" s="477"/>
      <c r="J78" s="477"/>
      <c r="K78" s="477"/>
      <c r="L78" s="477"/>
      <c r="M78" s="477"/>
      <c r="N78" s="477"/>
      <c r="O78" s="477"/>
      <c r="P78" s="477"/>
      <c r="Q78" s="477"/>
      <c r="R78" s="477"/>
      <c r="S78" s="477"/>
      <c r="T78" s="477"/>
      <c r="U78" s="477"/>
      <c r="V78" s="477"/>
      <c r="W78" s="477"/>
      <c r="X78" s="477"/>
      <c r="Y78" s="477"/>
      <c r="Z78" s="477"/>
      <c r="AA78" s="477"/>
      <c r="AB78" s="477"/>
      <c r="AC78" s="477"/>
      <c r="AD78" s="477"/>
      <c r="AE78" s="477"/>
      <c r="AF78" s="477"/>
      <c r="AG78" s="477"/>
      <c r="AH78" s="477"/>
    </row>
    <row r="79" spans="1:50" x14ac:dyDescent="0.2">
      <c r="A79" s="473"/>
      <c r="B79" s="477"/>
      <c r="C79" s="477"/>
      <c r="D79" s="477"/>
      <c r="E79" s="477"/>
      <c r="F79" s="477"/>
      <c r="G79" s="477"/>
      <c r="H79" s="477"/>
      <c r="I79" s="477"/>
      <c r="J79" s="477"/>
      <c r="K79" s="477"/>
      <c r="L79" s="477"/>
      <c r="M79" s="477"/>
      <c r="N79" s="477"/>
      <c r="O79" s="477"/>
      <c r="P79" s="477"/>
      <c r="Q79" s="477"/>
      <c r="R79" s="477"/>
      <c r="S79" s="477"/>
      <c r="T79" s="477"/>
      <c r="U79" s="477"/>
      <c r="V79" s="477"/>
      <c r="W79" s="477"/>
      <c r="X79" s="477"/>
      <c r="Y79" s="477"/>
      <c r="Z79" s="477"/>
      <c r="AA79" s="477"/>
      <c r="AB79" s="477"/>
      <c r="AC79" s="477"/>
      <c r="AD79" s="477"/>
      <c r="AE79" s="477"/>
      <c r="AF79" s="477"/>
      <c r="AG79" s="477"/>
      <c r="AH79" s="477"/>
    </row>
    <row r="80" spans="1:50" x14ac:dyDescent="0.2">
      <c r="A80" s="473"/>
      <c r="B80" s="477"/>
      <c r="C80" s="477"/>
      <c r="D80" s="477"/>
      <c r="E80" s="477"/>
      <c r="F80" s="477"/>
      <c r="G80" s="477"/>
      <c r="H80" s="477"/>
      <c r="I80" s="477"/>
      <c r="J80" s="477"/>
      <c r="K80" s="477"/>
      <c r="L80" s="477"/>
      <c r="M80" s="477"/>
      <c r="N80" s="477"/>
      <c r="O80" s="477"/>
      <c r="P80" s="477"/>
      <c r="Q80" s="477"/>
      <c r="R80" s="477"/>
      <c r="S80" s="477"/>
      <c r="T80" s="477"/>
      <c r="U80" s="477"/>
      <c r="V80" s="477"/>
      <c r="W80" s="477"/>
      <c r="X80" s="477"/>
      <c r="Y80" s="477"/>
      <c r="Z80" s="477"/>
      <c r="AA80" s="477"/>
      <c r="AB80" s="477"/>
      <c r="AC80" s="477"/>
      <c r="AD80" s="477"/>
      <c r="AE80" s="477"/>
      <c r="AF80" s="477"/>
      <c r="AG80" s="477"/>
      <c r="AH80" s="477"/>
    </row>
    <row r="81" spans="1:34" x14ac:dyDescent="0.2">
      <c r="A81" s="473"/>
      <c r="B81" s="477"/>
      <c r="C81" s="477"/>
      <c r="D81" s="477"/>
      <c r="E81" s="477"/>
      <c r="F81" s="477"/>
      <c r="G81" s="477"/>
      <c r="H81" s="477"/>
      <c r="I81" s="477"/>
      <c r="J81" s="477"/>
      <c r="K81" s="477"/>
      <c r="L81" s="477"/>
      <c r="M81" s="477"/>
      <c r="N81" s="477"/>
      <c r="O81" s="477"/>
      <c r="P81" s="477"/>
      <c r="Q81" s="477"/>
      <c r="R81" s="477"/>
      <c r="S81" s="477"/>
      <c r="T81" s="477"/>
      <c r="U81" s="477"/>
      <c r="V81" s="477"/>
      <c r="W81" s="477"/>
      <c r="X81" s="477"/>
      <c r="Y81" s="477"/>
      <c r="Z81" s="477"/>
      <c r="AA81" s="477"/>
      <c r="AB81" s="477"/>
      <c r="AC81" s="477"/>
      <c r="AD81" s="477"/>
      <c r="AE81" s="477"/>
      <c r="AF81" s="477"/>
      <c r="AG81" s="477"/>
      <c r="AH81" s="477"/>
    </row>
    <row r="82" spans="1:34" x14ac:dyDescent="0.2">
      <c r="A82" s="473"/>
      <c r="B82" s="477"/>
      <c r="C82" s="477"/>
      <c r="D82" s="477"/>
      <c r="E82" s="477"/>
      <c r="F82" s="477"/>
      <c r="G82" s="477"/>
      <c r="H82" s="477"/>
      <c r="I82" s="477"/>
      <c r="J82" s="477"/>
      <c r="K82" s="477"/>
      <c r="L82" s="477"/>
      <c r="M82" s="477"/>
      <c r="N82" s="477"/>
      <c r="O82" s="477"/>
      <c r="P82" s="477"/>
      <c r="Q82" s="477"/>
      <c r="R82" s="477"/>
      <c r="S82" s="477"/>
      <c r="T82" s="477"/>
      <c r="U82" s="477"/>
      <c r="V82" s="477"/>
      <c r="W82" s="477"/>
      <c r="X82" s="477"/>
      <c r="Y82" s="477"/>
      <c r="Z82" s="477"/>
      <c r="AA82" s="477"/>
      <c r="AB82" s="477"/>
      <c r="AC82" s="477"/>
      <c r="AD82" s="477"/>
      <c r="AE82" s="477"/>
      <c r="AF82" s="477"/>
      <c r="AG82" s="477"/>
      <c r="AH82" s="477"/>
    </row>
    <row r="83" spans="1:34" x14ac:dyDescent="0.2">
      <c r="A83" s="473"/>
      <c r="B83" s="477"/>
      <c r="C83" s="477"/>
      <c r="D83" s="477"/>
      <c r="E83" s="477"/>
      <c r="F83" s="477"/>
      <c r="G83" s="477"/>
      <c r="H83" s="477"/>
      <c r="I83" s="477"/>
      <c r="J83" s="477"/>
      <c r="K83" s="477"/>
      <c r="L83" s="477"/>
      <c r="M83" s="477"/>
      <c r="N83" s="477"/>
      <c r="O83" s="477"/>
      <c r="P83" s="477"/>
      <c r="Q83" s="477"/>
      <c r="R83" s="477"/>
      <c r="S83" s="477"/>
      <c r="T83" s="477"/>
      <c r="U83" s="477"/>
      <c r="V83" s="477"/>
      <c r="W83" s="477"/>
      <c r="X83" s="477"/>
      <c r="Y83" s="477"/>
      <c r="Z83" s="477"/>
      <c r="AA83" s="477"/>
      <c r="AB83" s="477"/>
      <c r="AC83" s="477"/>
      <c r="AD83" s="477"/>
      <c r="AE83" s="477"/>
      <c r="AF83" s="477"/>
      <c r="AG83" s="477"/>
      <c r="AH83" s="477"/>
    </row>
    <row r="84" spans="1:34" x14ac:dyDescent="0.2">
      <c r="A84" s="473"/>
      <c r="B84" s="477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7"/>
      <c r="W84" s="477"/>
      <c r="X84" s="477"/>
      <c r="Y84" s="477"/>
      <c r="Z84" s="477"/>
      <c r="AA84" s="477"/>
      <c r="AB84" s="477"/>
      <c r="AC84" s="477"/>
      <c r="AD84" s="477"/>
      <c r="AE84" s="477"/>
      <c r="AF84" s="477"/>
      <c r="AG84" s="477"/>
      <c r="AH84" s="477"/>
    </row>
    <row r="85" spans="1:34" x14ac:dyDescent="0.2">
      <c r="A85" s="473"/>
      <c r="B85" s="477"/>
      <c r="C85" s="477"/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/>
      <c r="U85" s="477"/>
      <c r="V85" s="477"/>
      <c r="W85" s="477"/>
      <c r="X85" s="477"/>
      <c r="Y85" s="477"/>
      <c r="Z85" s="477"/>
      <c r="AA85" s="477"/>
      <c r="AB85" s="477"/>
      <c r="AC85" s="477"/>
      <c r="AD85" s="477"/>
      <c r="AE85" s="477"/>
      <c r="AF85" s="477"/>
      <c r="AG85" s="477"/>
      <c r="AH85" s="477"/>
    </row>
    <row r="86" spans="1:34" x14ac:dyDescent="0.2">
      <c r="A86" s="473"/>
      <c r="B86" s="477"/>
      <c r="C86" s="477"/>
      <c r="D86" s="477"/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7"/>
      <c r="P86" s="477"/>
      <c r="Q86" s="477"/>
      <c r="R86" s="477"/>
      <c r="S86" s="477"/>
      <c r="T86" s="477"/>
      <c r="U86" s="477"/>
      <c r="V86" s="477"/>
      <c r="W86" s="477"/>
      <c r="X86" s="477"/>
      <c r="Y86" s="477"/>
      <c r="Z86" s="477"/>
      <c r="AA86" s="477"/>
      <c r="AB86" s="477"/>
      <c r="AC86" s="477"/>
      <c r="AD86" s="477"/>
      <c r="AE86" s="477"/>
      <c r="AF86" s="477"/>
      <c r="AG86" s="477"/>
      <c r="AH86" s="477"/>
    </row>
    <row r="87" spans="1:34" x14ac:dyDescent="0.2">
      <c r="A87" s="473"/>
      <c r="B87" s="477"/>
      <c r="C87" s="477"/>
      <c r="D87" s="477"/>
      <c r="E87" s="477"/>
      <c r="F87" s="477"/>
      <c r="G87" s="477"/>
      <c r="H87" s="477"/>
      <c r="I87" s="477"/>
      <c r="J87" s="477"/>
      <c r="K87" s="477"/>
      <c r="L87" s="47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  <c r="AA87" s="477"/>
      <c r="AB87" s="477"/>
      <c r="AC87" s="477"/>
      <c r="AD87" s="477"/>
      <c r="AE87" s="477"/>
      <c r="AF87" s="477"/>
      <c r="AG87" s="477"/>
      <c r="AH87" s="477"/>
    </row>
    <row r="88" spans="1:34" x14ac:dyDescent="0.2">
      <c r="A88" s="473"/>
      <c r="B88" s="477"/>
      <c r="C88" s="477"/>
      <c r="D88" s="477"/>
      <c r="E88" s="477"/>
      <c r="F88" s="477"/>
      <c r="G88" s="477"/>
      <c r="H88" s="477"/>
      <c r="I88" s="477"/>
      <c r="J88" s="477"/>
      <c r="K88" s="477"/>
      <c r="L88" s="477"/>
      <c r="M88" s="477"/>
      <c r="N88" s="477"/>
      <c r="O88" s="477"/>
      <c r="P88" s="477"/>
      <c r="Q88" s="477"/>
      <c r="R88" s="477"/>
      <c r="S88" s="477"/>
      <c r="T88" s="477"/>
      <c r="U88" s="477"/>
      <c r="V88" s="477"/>
      <c r="W88" s="477"/>
      <c r="X88" s="477"/>
      <c r="Y88" s="477"/>
      <c r="Z88" s="477"/>
      <c r="AA88" s="477"/>
      <c r="AB88" s="477"/>
      <c r="AC88" s="477"/>
      <c r="AD88" s="477"/>
      <c r="AE88" s="477"/>
      <c r="AF88" s="477"/>
      <c r="AG88" s="477"/>
      <c r="AH88" s="477"/>
    </row>
    <row r="89" spans="1:34" x14ac:dyDescent="0.2">
      <c r="A89" s="473"/>
      <c r="B89" s="477"/>
      <c r="C89" s="477"/>
      <c r="D89" s="477"/>
      <c r="E89" s="477"/>
      <c r="F89" s="477"/>
      <c r="G89" s="477"/>
      <c r="H89" s="477"/>
      <c r="I89" s="477"/>
      <c r="J89" s="477"/>
      <c r="K89" s="477"/>
      <c r="L89" s="477"/>
      <c r="M89" s="477"/>
      <c r="N89" s="477"/>
      <c r="O89" s="477"/>
      <c r="P89" s="477"/>
      <c r="Q89" s="477"/>
      <c r="R89" s="477"/>
      <c r="S89" s="477"/>
      <c r="T89" s="477"/>
      <c r="U89" s="477"/>
      <c r="V89" s="477"/>
      <c r="W89" s="477"/>
      <c r="X89" s="477"/>
      <c r="Y89" s="477"/>
      <c r="Z89" s="477"/>
      <c r="AA89" s="477"/>
      <c r="AB89" s="477"/>
      <c r="AC89" s="477"/>
      <c r="AD89" s="477"/>
      <c r="AE89" s="477"/>
      <c r="AF89" s="477"/>
      <c r="AG89" s="477"/>
      <c r="AH89" s="477"/>
    </row>
    <row r="90" spans="1:34" x14ac:dyDescent="0.2">
      <c r="A90" s="473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3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3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3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3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3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3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3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3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3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3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3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3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3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3"/>
      <c r="B104" s="474"/>
      <c r="C104" s="465"/>
    </row>
    <row r="105" spans="1:32" x14ac:dyDescent="0.2">
      <c r="A105" s="473"/>
      <c r="B105" s="474"/>
      <c r="C105" s="465"/>
    </row>
    <row r="106" spans="1:32" x14ac:dyDescent="0.2">
      <c r="A106" s="473"/>
      <c r="B106" s="474"/>
      <c r="C106" s="465"/>
    </row>
    <row r="107" spans="1:32" x14ac:dyDescent="0.2">
      <c r="A107" s="473"/>
      <c r="B107" s="474"/>
      <c r="C107" s="465"/>
    </row>
    <row r="108" spans="1:32" x14ac:dyDescent="0.2">
      <c r="A108" s="473"/>
      <c r="B108" s="474"/>
      <c r="C108" s="465"/>
    </row>
    <row r="109" spans="1:32" x14ac:dyDescent="0.2">
      <c r="A109" s="473"/>
      <c r="B109" s="474"/>
      <c r="C109" s="465"/>
    </row>
    <row r="110" spans="1:32" x14ac:dyDescent="0.2">
      <c r="A110" s="473"/>
      <c r="B110" s="474"/>
      <c r="C110" s="465"/>
    </row>
    <row r="111" spans="1:32" x14ac:dyDescent="0.2">
      <c r="A111" s="473"/>
      <c r="B111" s="474"/>
      <c r="C111" s="465"/>
    </row>
    <row r="112" spans="1:32" x14ac:dyDescent="0.2">
      <c r="A112" s="473"/>
      <c r="B112" s="474"/>
      <c r="C112" s="465"/>
    </row>
    <row r="113" spans="1:3" x14ac:dyDescent="0.2">
      <c r="A113" s="473"/>
      <c r="B113" s="474"/>
      <c r="C113" s="465"/>
    </row>
    <row r="114" spans="1:3" x14ac:dyDescent="0.2">
      <c r="A114" s="473"/>
      <c r="B114" s="474"/>
      <c r="C114" s="465"/>
    </row>
    <row r="115" spans="1:3" x14ac:dyDescent="0.2">
      <c r="A115" s="473"/>
      <c r="B115" s="474"/>
      <c r="C115" s="465"/>
    </row>
    <row r="116" spans="1:3" x14ac:dyDescent="0.2">
      <c r="A116" s="473"/>
      <c r="B116" s="474"/>
      <c r="C116" s="465"/>
    </row>
    <row r="117" spans="1:3" x14ac:dyDescent="0.2">
      <c r="A117" s="473"/>
      <c r="B117" s="474"/>
      <c r="C117" s="465"/>
    </row>
    <row r="118" spans="1:3" x14ac:dyDescent="0.2">
      <c r="A118" s="473"/>
      <c r="B118" s="474"/>
      <c r="C118" s="465"/>
    </row>
    <row r="119" spans="1:3" x14ac:dyDescent="0.2">
      <c r="A119" s="473"/>
      <c r="B119" s="474"/>
      <c r="C119" s="465"/>
    </row>
    <row r="120" spans="1:3" x14ac:dyDescent="0.2">
      <c r="A120" s="473"/>
      <c r="B120" s="474"/>
      <c r="C120" s="465"/>
    </row>
    <row r="121" spans="1:3" x14ac:dyDescent="0.2">
      <c r="A121" s="473"/>
      <c r="B121" s="474"/>
      <c r="C121" s="465"/>
    </row>
    <row r="122" spans="1:3" x14ac:dyDescent="0.2">
      <c r="A122" s="473"/>
      <c r="B122" s="474"/>
      <c r="C122" s="465"/>
    </row>
    <row r="123" spans="1:3" x14ac:dyDescent="0.2">
      <c r="A123" s="473"/>
      <c r="B123" s="474"/>
      <c r="C123" s="465"/>
    </row>
    <row r="124" spans="1:3" x14ac:dyDescent="0.2">
      <c r="A124" s="473"/>
      <c r="B124" s="474"/>
      <c r="C124" s="465"/>
    </row>
    <row r="125" spans="1:3" x14ac:dyDescent="0.2">
      <c r="A125" s="473"/>
      <c r="B125" s="474"/>
      <c r="C125" s="465"/>
    </row>
    <row r="126" spans="1:3" x14ac:dyDescent="0.2">
      <c r="A126" s="473"/>
      <c r="B126" s="474"/>
      <c r="C126" s="465"/>
    </row>
    <row r="127" spans="1:3" x14ac:dyDescent="0.2">
      <c r="A127" s="473"/>
      <c r="B127" s="474"/>
      <c r="C127" s="465"/>
    </row>
    <row r="128" spans="1:3" x14ac:dyDescent="0.2">
      <c r="A128" s="473"/>
      <c r="B128" s="474"/>
      <c r="C128" s="465"/>
    </row>
    <row r="129" spans="1:3" x14ac:dyDescent="0.2">
      <c r="A129" s="473"/>
      <c r="B129" s="474"/>
      <c r="C129" s="465"/>
    </row>
    <row r="130" spans="1:3" x14ac:dyDescent="0.2">
      <c r="A130" s="473"/>
      <c r="B130" s="474"/>
      <c r="C130" s="465"/>
    </row>
    <row r="131" spans="1:3" x14ac:dyDescent="0.2">
      <c r="A131" s="473"/>
      <c r="B131" s="474"/>
      <c r="C131" s="465"/>
    </row>
    <row r="132" spans="1:3" x14ac:dyDescent="0.2">
      <c r="A132" s="473"/>
      <c r="B132" s="474"/>
      <c r="C132" s="465"/>
    </row>
    <row r="133" spans="1:3" x14ac:dyDescent="0.2">
      <c r="A133" s="473"/>
      <c r="B133" s="474"/>
      <c r="C133" s="465"/>
    </row>
    <row r="134" spans="1:3" x14ac:dyDescent="0.2">
      <c r="A134" s="473"/>
      <c r="B134" s="474"/>
      <c r="C134" s="465"/>
    </row>
    <row r="135" spans="1:3" x14ac:dyDescent="0.2">
      <c r="A135" s="473"/>
      <c r="B135" s="474"/>
      <c r="C135" s="465"/>
    </row>
    <row r="136" spans="1:3" x14ac:dyDescent="0.2">
      <c r="A136" s="473"/>
      <c r="B136" s="474"/>
      <c r="C136" s="465"/>
    </row>
    <row r="137" spans="1:3" x14ac:dyDescent="0.2">
      <c r="A137" s="473"/>
      <c r="B137" s="474"/>
      <c r="C137" s="465"/>
    </row>
    <row r="138" spans="1:3" x14ac:dyDescent="0.2">
      <c r="A138" s="473"/>
      <c r="B138" s="474"/>
      <c r="C138" s="465"/>
    </row>
    <row r="139" spans="1:3" x14ac:dyDescent="0.2">
      <c r="A139" s="473"/>
      <c r="B139" s="474"/>
      <c r="C139" s="465"/>
    </row>
    <row r="140" spans="1:3" x14ac:dyDescent="0.2">
      <c r="A140" s="473"/>
      <c r="B140" s="474"/>
      <c r="C140" s="465"/>
    </row>
    <row r="141" spans="1:3" x14ac:dyDescent="0.2">
      <c r="A141" s="473"/>
      <c r="B141" s="474"/>
      <c r="C141" s="465"/>
    </row>
    <row r="142" spans="1:3" x14ac:dyDescent="0.2">
      <c r="A142" s="473"/>
      <c r="B142" s="474"/>
      <c r="C142" s="465"/>
    </row>
    <row r="143" spans="1:3" x14ac:dyDescent="0.2">
      <c r="A143" s="473"/>
      <c r="B143" s="474"/>
      <c r="C143" s="465"/>
    </row>
    <row r="144" spans="1:3" x14ac:dyDescent="0.2">
      <c r="A144" s="473"/>
      <c r="B144" s="474"/>
      <c r="C144" s="465"/>
    </row>
    <row r="145" spans="1:3" x14ac:dyDescent="0.2">
      <c r="A145" s="473"/>
      <c r="B145" s="474"/>
      <c r="C145" s="465"/>
    </row>
    <row r="146" spans="1:3" x14ac:dyDescent="0.2">
      <c r="A146" s="473"/>
      <c r="B146" s="474"/>
      <c r="C146" s="465"/>
    </row>
    <row r="147" spans="1:3" x14ac:dyDescent="0.2">
      <c r="A147" s="473"/>
      <c r="B147" s="474"/>
      <c r="C147" s="465"/>
    </row>
    <row r="148" spans="1:3" x14ac:dyDescent="0.2">
      <c r="A148" s="473"/>
      <c r="B148" s="474"/>
      <c r="C148" s="465"/>
    </row>
    <row r="149" spans="1:3" x14ac:dyDescent="0.2">
      <c r="A149" s="473"/>
      <c r="B149" s="474"/>
      <c r="C149" s="465"/>
    </row>
    <row r="150" spans="1:3" x14ac:dyDescent="0.2">
      <c r="A150" s="473"/>
      <c r="B150" s="474"/>
      <c r="C150" s="465"/>
    </row>
    <row r="151" spans="1:3" x14ac:dyDescent="0.2">
      <c r="A151" s="473"/>
      <c r="B151" s="474"/>
      <c r="C151" s="465"/>
    </row>
    <row r="152" spans="1:3" x14ac:dyDescent="0.2">
      <c r="A152" s="473"/>
      <c r="B152" s="474"/>
      <c r="C152" s="465"/>
    </row>
    <row r="153" spans="1:3" x14ac:dyDescent="0.2">
      <c r="A153" s="473"/>
      <c r="B153" s="474"/>
      <c r="C153" s="465"/>
    </row>
    <row r="154" spans="1:3" x14ac:dyDescent="0.2">
      <c r="A154" s="473"/>
      <c r="B154" s="474"/>
      <c r="C154" s="465"/>
    </row>
    <row r="155" spans="1:3" x14ac:dyDescent="0.2">
      <c r="A155" s="473"/>
      <c r="B155" s="474"/>
      <c r="C155" s="465"/>
    </row>
    <row r="156" spans="1:3" x14ac:dyDescent="0.2">
      <c r="A156" s="473"/>
      <c r="B156" s="474"/>
      <c r="C156" s="465"/>
    </row>
    <row r="157" spans="1:3" x14ac:dyDescent="0.2">
      <c r="A157" s="473"/>
      <c r="B157" s="474"/>
      <c r="C157" s="465"/>
    </row>
    <row r="158" spans="1:3" x14ac:dyDescent="0.2">
      <c r="A158" s="473"/>
      <c r="B158" s="474"/>
      <c r="C158" s="465"/>
    </row>
    <row r="159" spans="1:3" x14ac:dyDescent="0.2">
      <c r="A159" s="473"/>
      <c r="B159" s="474"/>
      <c r="C159" s="465"/>
    </row>
    <row r="160" spans="1:3" x14ac:dyDescent="0.2">
      <c r="A160" s="473"/>
      <c r="B160" s="474"/>
      <c r="C160" s="465"/>
    </row>
    <row r="161" spans="1:3" x14ac:dyDescent="0.2">
      <c r="A161" s="473"/>
      <c r="B161" s="474"/>
      <c r="C161" s="465"/>
    </row>
    <row r="162" spans="1:3" x14ac:dyDescent="0.2">
      <c r="A162" s="473"/>
      <c r="B162" s="474"/>
      <c r="C162" s="465"/>
    </row>
    <row r="163" spans="1:3" x14ac:dyDescent="0.2">
      <c r="A163" s="473"/>
      <c r="B163" s="474"/>
      <c r="C163" s="465"/>
    </row>
    <row r="164" spans="1:3" x14ac:dyDescent="0.2">
      <c r="A164" s="473"/>
      <c r="B164" s="474"/>
      <c r="C164" s="465"/>
    </row>
    <row r="165" spans="1:3" x14ac:dyDescent="0.2">
      <c r="A165" s="473"/>
      <c r="B165" s="474"/>
      <c r="C165" s="465"/>
    </row>
    <row r="166" spans="1:3" x14ac:dyDescent="0.2">
      <c r="A166" s="473"/>
      <c r="B166" s="474"/>
      <c r="C166" s="465"/>
    </row>
    <row r="167" spans="1:3" x14ac:dyDescent="0.2">
      <c r="A167" s="473"/>
      <c r="B167" s="474"/>
      <c r="C167" s="465"/>
    </row>
    <row r="168" spans="1:3" x14ac:dyDescent="0.2">
      <c r="A168" s="473"/>
      <c r="B168" s="474"/>
      <c r="C168" s="465"/>
    </row>
    <row r="169" spans="1:3" x14ac:dyDescent="0.2">
      <c r="A169" s="473"/>
      <c r="B169" s="474"/>
      <c r="C169" s="465"/>
    </row>
    <row r="170" spans="1:3" x14ac:dyDescent="0.2">
      <c r="A170" s="473"/>
      <c r="B170" s="474"/>
      <c r="C170" s="465"/>
    </row>
    <row r="171" spans="1:3" x14ac:dyDescent="0.2">
      <c r="A171" s="473"/>
      <c r="B171" s="474"/>
      <c r="C171" s="465"/>
    </row>
    <row r="172" spans="1:3" x14ac:dyDescent="0.2">
      <c r="A172" s="473"/>
      <c r="B172" s="474"/>
      <c r="C172" s="465"/>
    </row>
    <row r="173" spans="1:3" x14ac:dyDescent="0.2">
      <c r="A173" s="473"/>
      <c r="B173" s="474"/>
      <c r="C173" s="465"/>
    </row>
    <row r="174" spans="1:3" x14ac:dyDescent="0.2">
      <c r="A174" s="473"/>
      <c r="B174" s="474"/>
      <c r="C174" s="465"/>
    </row>
    <row r="175" spans="1:3" x14ac:dyDescent="0.2">
      <c r="A175" s="473"/>
      <c r="B175" s="474"/>
      <c r="C175" s="465"/>
    </row>
    <row r="176" spans="1:3" x14ac:dyDescent="0.2">
      <c r="A176" s="473"/>
      <c r="B176" s="474"/>
      <c r="C176" s="465"/>
    </row>
    <row r="177" spans="1:3" x14ac:dyDescent="0.2">
      <c r="A177" s="473"/>
      <c r="B177" s="474"/>
      <c r="C177" s="465"/>
    </row>
    <row r="178" spans="1:3" x14ac:dyDescent="0.2">
      <c r="A178" s="473"/>
      <c r="B178" s="474"/>
      <c r="C178" s="465"/>
    </row>
    <row r="179" spans="1:3" x14ac:dyDescent="0.2">
      <c r="A179" s="473"/>
      <c r="B179" s="474"/>
      <c r="C179" s="465"/>
    </row>
    <row r="180" spans="1:3" x14ac:dyDescent="0.2">
      <c r="A180" s="473"/>
      <c r="B180" s="474"/>
      <c r="C180" s="465"/>
    </row>
    <row r="181" spans="1:3" x14ac:dyDescent="0.2">
      <c r="A181" s="473"/>
      <c r="B181" s="474"/>
      <c r="C181" s="465"/>
    </row>
    <row r="182" spans="1:3" x14ac:dyDescent="0.2">
      <c r="A182" s="473"/>
      <c r="B182" s="474"/>
      <c r="C182" s="465"/>
    </row>
    <row r="183" spans="1:3" x14ac:dyDescent="0.2">
      <c r="A183" s="473"/>
      <c r="B183" s="474"/>
      <c r="C183" s="465"/>
    </row>
    <row r="184" spans="1:3" x14ac:dyDescent="0.2">
      <c r="A184" s="473"/>
      <c r="B184" s="474"/>
      <c r="C184" s="465"/>
    </row>
    <row r="185" spans="1:3" x14ac:dyDescent="0.2">
      <c r="A185" s="473"/>
      <c r="B185" s="474"/>
      <c r="C185" s="465"/>
    </row>
    <row r="186" spans="1:3" x14ac:dyDescent="0.2">
      <c r="A186" s="473"/>
      <c r="B186" s="474"/>
      <c r="C186" s="465"/>
    </row>
    <row r="187" spans="1:3" x14ac:dyDescent="0.2">
      <c r="A187" s="473"/>
      <c r="B187" s="474"/>
      <c r="C187" s="465"/>
    </row>
    <row r="188" spans="1:3" x14ac:dyDescent="0.2">
      <c r="A188" s="473"/>
      <c r="B188" s="474"/>
      <c r="C188" s="465"/>
    </row>
    <row r="189" spans="1:3" x14ac:dyDescent="0.2">
      <c r="A189" s="473"/>
      <c r="B189" s="474"/>
      <c r="C189" s="465"/>
    </row>
    <row r="190" spans="1:3" x14ac:dyDescent="0.2">
      <c r="A190" s="473"/>
      <c r="B190" s="474"/>
      <c r="C190" s="465"/>
    </row>
    <row r="191" spans="1:3" x14ac:dyDescent="0.2">
      <c r="A191" s="473"/>
      <c r="B191" s="474"/>
      <c r="C191" s="465"/>
    </row>
    <row r="192" spans="1:3" x14ac:dyDescent="0.2">
      <c r="A192" s="473"/>
      <c r="B192" s="474"/>
      <c r="C192" s="465"/>
    </row>
    <row r="193" spans="1:3" x14ac:dyDescent="0.2">
      <c r="A193" s="473"/>
      <c r="B193" s="474"/>
      <c r="C193" s="465"/>
    </row>
    <row r="194" spans="1:3" x14ac:dyDescent="0.2">
      <c r="A194" s="473"/>
      <c r="B194" s="474"/>
      <c r="C194" s="465"/>
    </row>
    <row r="195" spans="1:3" x14ac:dyDescent="0.2">
      <c r="A195" s="473"/>
      <c r="B195" s="474"/>
      <c r="C195" s="465"/>
    </row>
    <row r="196" spans="1:3" x14ac:dyDescent="0.2">
      <c r="A196" s="473"/>
      <c r="B196" s="474"/>
      <c r="C196" s="465"/>
    </row>
    <row r="197" spans="1:3" x14ac:dyDescent="0.2">
      <c r="A197" s="473"/>
      <c r="B197" s="474"/>
      <c r="C197" s="465"/>
    </row>
    <row r="198" spans="1:3" x14ac:dyDescent="0.2">
      <c r="A198" s="473"/>
      <c r="B198" s="474"/>
      <c r="C198" s="465"/>
    </row>
    <row r="199" spans="1:3" x14ac:dyDescent="0.2">
      <c r="A199" s="473"/>
      <c r="B199" s="474"/>
      <c r="C199" s="465"/>
    </row>
    <row r="200" spans="1:3" x14ac:dyDescent="0.2">
      <c r="A200" s="473"/>
      <c r="B200" s="474"/>
      <c r="C200" s="465"/>
    </row>
    <row r="201" spans="1:3" x14ac:dyDescent="0.2">
      <c r="A201" s="473"/>
      <c r="B201" s="474"/>
      <c r="C201" s="465"/>
    </row>
    <row r="202" spans="1:3" x14ac:dyDescent="0.2">
      <c r="A202" s="473"/>
      <c r="B202" s="474"/>
      <c r="C202" s="465"/>
    </row>
    <row r="203" spans="1:3" x14ac:dyDescent="0.2">
      <c r="A203" s="473"/>
      <c r="B203" s="474"/>
      <c r="C203" s="465"/>
    </row>
    <row r="204" spans="1:3" x14ac:dyDescent="0.2">
      <c r="A204" s="473"/>
      <c r="B204" s="474"/>
      <c r="C204" s="465"/>
    </row>
    <row r="205" spans="1:3" x14ac:dyDescent="0.2">
      <c r="A205" s="473"/>
      <c r="B205" s="474"/>
      <c r="C205" s="465"/>
    </row>
    <row r="206" spans="1:3" x14ac:dyDescent="0.2">
      <c r="A206" s="473"/>
      <c r="B206" s="474"/>
      <c r="C206" s="465"/>
    </row>
    <row r="207" spans="1:3" x14ac:dyDescent="0.2">
      <c r="A207" s="473"/>
      <c r="B207" s="474"/>
      <c r="C207" s="465"/>
    </row>
    <row r="208" spans="1:3" x14ac:dyDescent="0.2">
      <c r="A208" s="473"/>
      <c r="B208" s="474"/>
      <c r="C208" s="465"/>
    </row>
    <row r="209" spans="1:3" x14ac:dyDescent="0.2">
      <c r="A209" s="473"/>
      <c r="B209" s="474"/>
      <c r="C209" s="465"/>
    </row>
    <row r="210" spans="1:3" x14ac:dyDescent="0.2">
      <c r="A210" s="473"/>
      <c r="B210" s="474"/>
      <c r="C210" s="465"/>
    </row>
    <row r="211" spans="1:3" x14ac:dyDescent="0.2">
      <c r="A211" s="473"/>
      <c r="B211" s="474"/>
      <c r="C211" s="465"/>
    </row>
    <row r="212" spans="1:3" x14ac:dyDescent="0.2">
      <c r="A212" s="473"/>
      <c r="B212" s="474"/>
      <c r="C212" s="465"/>
    </row>
    <row r="213" spans="1:3" x14ac:dyDescent="0.2">
      <c r="A213" s="473"/>
      <c r="B213" s="474"/>
      <c r="C213" s="465"/>
    </row>
    <row r="214" spans="1:3" x14ac:dyDescent="0.2">
      <c r="A214" s="473"/>
      <c r="B214" s="474"/>
      <c r="C214" s="465"/>
    </row>
    <row r="215" spans="1:3" x14ac:dyDescent="0.2">
      <c r="A215" s="473"/>
      <c r="B215" s="474"/>
      <c r="C215" s="465"/>
    </row>
    <row r="216" spans="1:3" x14ac:dyDescent="0.2">
      <c r="A216" s="473"/>
      <c r="B216" s="474"/>
      <c r="C216" s="465"/>
    </row>
    <row r="217" spans="1:3" x14ac:dyDescent="0.2">
      <c r="A217" s="473"/>
      <c r="B217" s="474"/>
      <c r="C217" s="465"/>
    </row>
    <row r="218" spans="1:3" x14ac:dyDescent="0.2">
      <c r="A218" s="473"/>
      <c r="B218" s="474"/>
      <c r="C218" s="465"/>
    </row>
    <row r="219" spans="1:3" x14ac:dyDescent="0.2">
      <c r="A219" s="473"/>
      <c r="B219" s="474"/>
      <c r="C219" s="465"/>
    </row>
    <row r="220" spans="1:3" x14ac:dyDescent="0.2">
      <c r="A220" s="473"/>
      <c r="B220" s="474"/>
      <c r="C220" s="465"/>
    </row>
    <row r="221" spans="1:3" x14ac:dyDescent="0.2">
      <c r="A221" s="473"/>
      <c r="B221" s="474"/>
      <c r="C221" s="465"/>
    </row>
    <row r="222" spans="1:3" x14ac:dyDescent="0.2">
      <c r="A222" s="473"/>
      <c r="B222" s="474"/>
      <c r="C222" s="465"/>
    </row>
    <row r="223" spans="1:3" x14ac:dyDescent="0.2">
      <c r="A223" s="473"/>
      <c r="B223" s="474"/>
      <c r="C223" s="465"/>
    </row>
    <row r="224" spans="1:3" x14ac:dyDescent="0.2">
      <c r="A224" s="473"/>
      <c r="B224" s="474"/>
      <c r="C224" s="465"/>
    </row>
    <row r="225" spans="1:3" x14ac:dyDescent="0.2">
      <c r="A225" s="473"/>
      <c r="B225" s="474"/>
      <c r="C225" s="46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45" sqref="D45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308498</v>
      </c>
      <c r="C37" s="11">
        <f>SUM(C6:C36)</f>
        <v>312282</v>
      </c>
      <c r="D37" s="25">
        <f>SUM(D6:D36)</f>
        <v>3784</v>
      </c>
    </row>
    <row r="38" spans="1:4" x14ac:dyDescent="0.2">
      <c r="A38" s="26"/>
      <c r="B38" s="31"/>
      <c r="C38" s="14"/>
      <c r="D38" s="339">
        <f>+summary!H5</f>
        <v>2.04</v>
      </c>
    </row>
    <row r="39" spans="1:4" x14ac:dyDescent="0.2">
      <c r="D39" s="138">
        <f>+D38*D37</f>
        <v>7719.3600000000006</v>
      </c>
    </row>
    <row r="40" spans="1:4" x14ac:dyDescent="0.2">
      <c r="A40" s="57">
        <v>37225</v>
      </c>
      <c r="C40" s="15"/>
      <c r="D40" s="572">
        <v>57061.55</v>
      </c>
    </row>
    <row r="41" spans="1:4" x14ac:dyDescent="0.2">
      <c r="A41" s="57">
        <v>37235</v>
      </c>
      <c r="C41" s="48"/>
      <c r="D41" s="138">
        <f>+D40+D39</f>
        <v>64780.91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62">
        <v>42218</v>
      </c>
    </row>
    <row r="46" spans="1:4" x14ac:dyDescent="0.2">
      <c r="A46" s="49">
        <f>+A41</f>
        <v>37235</v>
      </c>
      <c r="B46" s="32"/>
      <c r="C46" s="32"/>
      <c r="D46" s="365">
        <f>+D37</f>
        <v>3784</v>
      </c>
    </row>
    <row r="47" spans="1:4" x14ac:dyDescent="0.2">
      <c r="A47" s="32"/>
      <c r="B47" s="32"/>
      <c r="C47" s="32"/>
      <c r="D47" s="14">
        <f>+D46+D45</f>
        <v>46002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567945</v>
      </c>
      <c r="C37" s="11">
        <f>SUM(C6:C36)</f>
        <v>577585</v>
      </c>
      <c r="D37" s="25">
        <f>SUM(D6:D36)</f>
        <v>9640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19665.599999999999</v>
      </c>
    </row>
    <row r="40" spans="1:4" x14ac:dyDescent="0.2">
      <c r="A40" s="57">
        <v>37225</v>
      </c>
      <c r="C40" s="15"/>
      <c r="D40" s="571">
        <v>35912.71</v>
      </c>
    </row>
    <row r="41" spans="1:4" x14ac:dyDescent="0.2">
      <c r="A41" s="57">
        <v>37236</v>
      </c>
      <c r="C41" s="48"/>
      <c r="D41" s="138">
        <f>+D40+D39</f>
        <v>55578.31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17122</v>
      </c>
    </row>
    <row r="47" spans="1:4" x14ac:dyDescent="0.2">
      <c r="A47" s="49">
        <f>+A41</f>
        <v>37236</v>
      </c>
      <c r="B47" s="32"/>
      <c r="C47" s="32"/>
      <c r="D47" s="365">
        <f>+D37</f>
        <v>9640</v>
      </c>
    </row>
    <row r="48" spans="1:4" x14ac:dyDescent="0.2">
      <c r="A48" s="32"/>
      <c r="B48" s="32"/>
      <c r="C48" s="32"/>
      <c r="D48" s="14">
        <f>+D47+D46</f>
        <v>26762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D48" sqref="D4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31" t="s">
        <v>181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32" t="s">
        <v>20</v>
      </c>
      <c r="J14" s="432" t="s">
        <v>21</v>
      </c>
      <c r="K14" s="433" t="s">
        <v>50</v>
      </c>
      <c r="L14" s="431" t="s">
        <v>16</v>
      </c>
      <c r="M14" s="189" t="s">
        <v>28</v>
      </c>
    </row>
    <row r="15" spans="1:13" x14ac:dyDescent="0.2">
      <c r="A15" s="10">
        <v>10</v>
      </c>
      <c r="B15" s="11">
        <v>-1961</v>
      </c>
      <c r="C15" s="11">
        <v>-1588</v>
      </c>
      <c r="D15" s="25">
        <f t="shared" si="0"/>
        <v>373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1">
        <v>8.2100000000000009</v>
      </c>
      <c r="M16" s="43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1">
        <v>5.62</v>
      </c>
      <c r="M17" s="43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1">
        <v>4.9800000000000004</v>
      </c>
      <c r="M18" s="43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1">
        <v>4.87</v>
      </c>
      <c r="M19" s="436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1">
        <v>3.82</v>
      </c>
      <c r="M20" s="43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1">
        <v>3.2</v>
      </c>
      <c r="M21" s="43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1">
        <v>2.77</v>
      </c>
      <c r="M22" s="43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4"/>
      <c r="M23" s="435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-15113</v>
      </c>
      <c r="C37" s="11">
        <f>SUM(C6:C36)</f>
        <v>-15880</v>
      </c>
      <c r="D37" s="25">
        <f>SUM(D6:D36)</f>
        <v>-767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-1549.34</v>
      </c>
    </row>
    <row r="40" spans="1:4" x14ac:dyDescent="0.2">
      <c r="A40" s="57">
        <v>37225</v>
      </c>
      <c r="C40" s="15"/>
      <c r="D40" s="572">
        <v>-345354</v>
      </c>
    </row>
    <row r="41" spans="1:4" x14ac:dyDescent="0.2">
      <c r="A41" s="57">
        <v>37235</v>
      </c>
      <c r="C41" s="48"/>
      <c r="D41" s="138">
        <f>+D40+D39</f>
        <v>-346903.34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62">
        <v>-39976</v>
      </c>
    </row>
    <row r="49" spans="1:4" x14ac:dyDescent="0.2">
      <c r="A49" s="49">
        <f>+A41</f>
        <v>37235</v>
      </c>
      <c r="B49" s="32"/>
      <c r="C49" s="32"/>
      <c r="D49" s="365">
        <f>+D37</f>
        <v>-767</v>
      </c>
    </row>
    <row r="50" spans="1:4" x14ac:dyDescent="0.2">
      <c r="A50" s="32"/>
      <c r="B50" s="32"/>
      <c r="C50" s="32"/>
      <c r="D50" s="14">
        <f>+D49+D48</f>
        <v>-40743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sqref="A1:IV6553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15145.960000000001</v>
      </c>
    </row>
    <row r="40" spans="1:4" x14ac:dyDescent="0.2">
      <c r="A40" s="57">
        <v>37225</v>
      </c>
      <c r="C40" s="15"/>
      <c r="D40" s="572">
        <v>51396</v>
      </c>
    </row>
    <row r="41" spans="1:4" x14ac:dyDescent="0.2">
      <c r="A41" s="57">
        <v>37235</v>
      </c>
      <c r="C41" s="48"/>
      <c r="D41" s="138">
        <f>+D40+D39</f>
        <v>66541.960000000006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28886</v>
      </c>
    </row>
    <row r="47" spans="1:4" x14ac:dyDescent="0.2">
      <c r="A47" s="49">
        <f>+A41</f>
        <v>37235</v>
      </c>
      <c r="B47" s="32"/>
      <c r="C47" s="32"/>
      <c r="D47" s="365">
        <f>+D37</f>
        <v>7498</v>
      </c>
    </row>
    <row r="48" spans="1:4" x14ac:dyDescent="0.2">
      <c r="A48" s="32"/>
      <c r="B48" s="32"/>
      <c r="C48" s="32"/>
      <c r="D48" s="14">
        <f>+D47+D46</f>
        <v>36384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-1260</v>
      </c>
      <c r="D5" s="90">
        <f>+C5-B5</f>
        <v>-1260</v>
      </c>
      <c r="E5" s="282"/>
      <c r="F5" s="280"/>
    </row>
    <row r="6" spans="1:13" x14ac:dyDescent="0.2">
      <c r="A6" s="87">
        <v>500046</v>
      </c>
      <c r="B6" s="90">
        <v>-2873</v>
      </c>
      <c r="C6" s="90">
        <v>-1631</v>
      </c>
      <c r="D6" s="90">
        <f t="shared" ref="D6:D11" si="0">+C6-B6</f>
        <v>1242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-9498</v>
      </c>
      <c r="C8" s="90">
        <v>-14725</v>
      </c>
      <c r="D8" s="90">
        <f t="shared" si="0"/>
        <v>-5227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-5245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2.02</v>
      </c>
      <c r="E13" s="284"/>
      <c r="F13" s="280"/>
    </row>
    <row r="14" spans="1:13" x14ac:dyDescent="0.2">
      <c r="A14" s="87"/>
      <c r="B14" s="88"/>
      <c r="C14" s="88"/>
      <c r="D14" s="96">
        <f>+D13*D12</f>
        <v>-10594.9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69">
        <v>-510924.54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37235</v>
      </c>
      <c r="B18" s="88"/>
      <c r="C18" s="88"/>
      <c r="D18" s="330">
        <f>+D16+D14</f>
        <v>-521519.44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62">
        <v>-24926</v>
      </c>
    </row>
    <row r="23" spans="1:7" x14ac:dyDescent="0.2">
      <c r="A23" s="49">
        <f>+A18</f>
        <v>37235</v>
      </c>
      <c r="B23" s="32"/>
      <c r="C23" s="32"/>
      <c r="D23" s="365">
        <f>+D12</f>
        <v>-5245</v>
      </c>
    </row>
    <row r="24" spans="1:7" x14ac:dyDescent="0.2">
      <c r="A24" s="32"/>
      <c r="B24" s="32"/>
      <c r="C24" s="32"/>
      <c r="D24" s="14">
        <f>+D23+D22</f>
        <v>-30171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D40" sqref="D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-93027</v>
      </c>
      <c r="C37" s="11">
        <f>SUM(C6:C36)</f>
        <v>-108382</v>
      </c>
      <c r="D37" s="25">
        <f>SUM(D6:D36)</f>
        <v>-15355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08">
        <f>-23051+9445</f>
        <v>-13606</v>
      </c>
    </row>
    <row r="41" spans="1:6" x14ac:dyDescent="0.2">
      <c r="A41" s="57">
        <v>37235</v>
      </c>
      <c r="C41" s="48"/>
      <c r="D41" s="25">
        <f>+D40+D37</f>
        <v>-28961</v>
      </c>
      <c r="E41">
        <v>2.12</v>
      </c>
      <c r="F41">
        <f>+E41*D41</f>
        <v>-61397.32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18">
        <v>159102</v>
      </c>
    </row>
    <row r="46" spans="1:6" x14ac:dyDescent="0.2">
      <c r="A46" s="49">
        <f>+A41</f>
        <v>37235</v>
      </c>
      <c r="B46" s="32"/>
      <c r="C46" s="32"/>
      <c r="D46" s="392">
        <f>+D37*'by type_area'!J4</f>
        <v>-31017.1</v>
      </c>
    </row>
    <row r="47" spans="1:6" x14ac:dyDescent="0.2">
      <c r="A47" s="32"/>
      <c r="B47" s="32"/>
      <c r="C47" s="32"/>
      <c r="D47" s="202">
        <f>+D46+D45</f>
        <v>128084.9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72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-47898</v>
      </c>
    </row>
    <row r="47" spans="1:4" x14ac:dyDescent="0.2">
      <c r="A47" s="49">
        <f>+A41</f>
        <v>37225</v>
      </c>
      <c r="B47" s="32"/>
      <c r="C47" s="32"/>
      <c r="D47" s="514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H1" workbookViewId="0">
      <selection activeCell="R11" sqref="R11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16" t="s">
        <v>254</v>
      </c>
      <c r="J2" s="516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500390</v>
      </c>
      <c r="T3" s="1">
        <v>500612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 t="shared" ref="V6:V36" si="0">+U6+S6+Q6+O6+M6+K6+I6+G6+E6+C6-T6-R6-P6-N6-L6-J6-H6-F6-B6</f>
        <v>-268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si="0"/>
        <v>-373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-564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-625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-459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-394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-194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65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-2812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2.02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-5680.24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4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37233</v>
      </c>
      <c r="V43" s="332">
        <f>+V41+V39</f>
        <v>-16238.24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15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37233</v>
      </c>
      <c r="B49" s="32"/>
      <c r="C49" s="32"/>
      <c r="D49" s="365">
        <f>+V37</f>
        <v>-2812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2505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974</v>
      </c>
      <c r="C37" s="11">
        <f>SUM(C6:C36)</f>
        <v>2400</v>
      </c>
      <c r="D37" s="25">
        <f>SUM(D6:D36)</f>
        <v>1426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2909.04</v>
      </c>
    </row>
    <row r="40" spans="1:4" x14ac:dyDescent="0.2">
      <c r="A40" s="57">
        <v>37225</v>
      </c>
      <c r="C40" s="15"/>
      <c r="D40" s="572">
        <v>173805.23</v>
      </c>
    </row>
    <row r="41" spans="1:4" x14ac:dyDescent="0.2">
      <c r="A41" s="57">
        <v>37235</v>
      </c>
      <c r="C41" s="48"/>
      <c r="D41" s="138">
        <f>+D40+D39</f>
        <v>176714.27000000002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76238</v>
      </c>
    </row>
    <row r="47" spans="1:4" x14ac:dyDescent="0.2">
      <c r="A47" s="49">
        <f>+A41</f>
        <v>37235</v>
      </c>
      <c r="B47" s="32"/>
      <c r="C47" s="32"/>
      <c r="D47" s="365">
        <f>+D37</f>
        <v>1426</v>
      </c>
    </row>
    <row r="48" spans="1:4" x14ac:dyDescent="0.2">
      <c r="A48" s="32"/>
      <c r="B48" s="32"/>
      <c r="C48" s="32"/>
      <c r="D48" s="14">
        <f>+D47+D46</f>
        <v>77664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711</v>
      </c>
      <c r="C15" s="11">
        <v>589</v>
      </c>
      <c r="D15" s="25">
        <f t="shared" si="0"/>
        <v>-122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6384</v>
      </c>
      <c r="C37" s="11">
        <f>SUM(C6:C36)</f>
        <v>5890</v>
      </c>
      <c r="D37" s="25">
        <f>SUM(D6:D36)</f>
        <v>-494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-1007.76</v>
      </c>
    </row>
    <row r="40" spans="1:4" x14ac:dyDescent="0.2">
      <c r="A40" s="57">
        <v>37225</v>
      </c>
      <c r="C40" s="15"/>
      <c r="D40" s="572">
        <v>148916.73000000001</v>
      </c>
    </row>
    <row r="41" spans="1:4" x14ac:dyDescent="0.2">
      <c r="A41" s="57">
        <v>37235</v>
      </c>
      <c r="C41" s="48"/>
      <c r="D41" s="138">
        <f>+D40+D39</f>
        <v>147908.97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28495</v>
      </c>
    </row>
    <row r="47" spans="1:4" x14ac:dyDescent="0.2">
      <c r="A47" s="49">
        <f>+A41</f>
        <v>37235</v>
      </c>
      <c r="B47" s="32"/>
      <c r="C47" s="32"/>
      <c r="D47" s="365">
        <f>+D37</f>
        <v>-494</v>
      </c>
    </row>
    <row r="48" spans="1:4" x14ac:dyDescent="0.2">
      <c r="A48" s="32"/>
      <c r="B48" s="32"/>
      <c r="C48" s="32"/>
      <c r="D48" s="14">
        <f>+D47+D46</f>
        <v>28001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F37" sqref="F3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6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5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5" t="s">
        <v>40</v>
      </c>
      <c r="N4" s="4" t="s">
        <v>20</v>
      </c>
      <c r="O4" s="4" t="s">
        <v>21</v>
      </c>
      <c r="P4" s="423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269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5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5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5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5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5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5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4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25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14565</v>
      </c>
      <c r="G14" s="11">
        <v>15132</v>
      </c>
      <c r="H14" s="11">
        <v>107589</v>
      </c>
      <c r="I14" s="11">
        <v>106030</v>
      </c>
      <c r="J14" s="11">
        <f t="shared" si="0"/>
        <v>-4809</v>
      </c>
      <c r="M14" s="425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5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5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5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6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5">
        <v>37229</v>
      </c>
      <c r="N18" s="24"/>
      <c r="O18" s="14"/>
      <c r="P18" s="14">
        <f>+O18-N18</f>
        <v>0</v>
      </c>
      <c r="Q18" s="376">
        <f>+'[2]1001'!$K$39</f>
        <v>1.99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5"/>
      <c r="N21" s="24"/>
      <c r="O21" s="14"/>
      <c r="P21" s="14">
        <f>SUM(P5:P20)</f>
        <v>135708</v>
      </c>
      <c r="Q21" s="376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5"/>
      <c r="N22" s="24"/>
      <c r="O22" s="14"/>
      <c r="P22" s="203">
        <v>1.98</v>
      </c>
      <c r="Q22" s="37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5"/>
      <c r="N23" s="14">
        <v>1378106</v>
      </c>
      <c r="O23" s="14">
        <v>1316146</v>
      </c>
      <c r="P23" s="203">
        <f>+P22*P21</f>
        <v>268701.84000000003</v>
      </c>
      <c r="Q23" s="37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5"/>
      <c r="N24" s="14">
        <v>9216070</v>
      </c>
      <c r="O24" s="14">
        <v>9272400</v>
      </c>
      <c r="P24" s="15"/>
      <c r="Q24" s="37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5"/>
      <c r="N25" s="24">
        <v>3546065</v>
      </c>
      <c r="O25" s="24">
        <v>3512740</v>
      </c>
      <c r="P25" s="110"/>
      <c r="Q25" s="42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3399999</v>
      </c>
      <c r="C35" s="11">
        <f t="shared" ref="C35:I35" si="3">SUM(C4:C34)</f>
        <v>3440862</v>
      </c>
      <c r="D35" s="11">
        <f t="shared" si="3"/>
        <v>581720</v>
      </c>
      <c r="E35" s="11">
        <f t="shared" si="3"/>
        <v>573826</v>
      </c>
      <c r="F35" s="11">
        <f t="shared" si="3"/>
        <v>239792</v>
      </c>
      <c r="G35" s="11">
        <f t="shared" si="3"/>
        <v>242296</v>
      </c>
      <c r="H35" s="11">
        <f t="shared" si="3"/>
        <v>1088470</v>
      </c>
      <c r="I35" s="11">
        <f t="shared" si="3"/>
        <v>1033733</v>
      </c>
      <c r="J35" s="11">
        <f>SUM(J4:J34)</f>
        <v>-19264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60">
        <v>135710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37236</v>
      </c>
      <c r="J40" s="51">
        <f>+J38+J35</f>
        <v>116446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55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37236</v>
      </c>
      <c r="B47" s="32"/>
      <c r="C47" s="32"/>
      <c r="D47" s="392">
        <f>+J35*'by type_area'!J3</f>
        <v>-38335.360000000001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980381.93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7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7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7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2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3"/>
      <c r="Q255" s="143"/>
      <c r="R255" s="42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4"/>
      <c r="Q256" s="429"/>
      <c r="R256" s="42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28"/>
      <c r="S295" s="1"/>
    </row>
    <row r="296" spans="9:21" x14ac:dyDescent="0.2">
      <c r="K296" s="2"/>
      <c r="M296" s="30"/>
      <c r="N296" s="4"/>
      <c r="O296" s="4"/>
      <c r="P296" s="423"/>
      <c r="Q296" s="143"/>
      <c r="R296" s="42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4"/>
      <c r="Q297" s="429"/>
      <c r="R297" s="42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28"/>
      <c r="S337" s="1"/>
    </row>
    <row r="338" spans="11:21" x14ac:dyDescent="0.2">
      <c r="K338" s="2"/>
      <c r="M338" s="30"/>
      <c r="N338" s="4"/>
      <c r="O338" s="4"/>
      <c r="P338" s="423"/>
      <c r="Q338" s="143"/>
      <c r="R338" s="42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4"/>
      <c r="Q339" s="429"/>
      <c r="R339" s="42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28"/>
      <c r="S379" s="1"/>
    </row>
    <row r="380" spans="11:21" x14ac:dyDescent="0.2">
      <c r="K380" s="2"/>
      <c r="M380" s="30"/>
      <c r="N380" s="4"/>
      <c r="O380" s="4"/>
      <c r="P380" s="423"/>
      <c r="Q380" s="143"/>
      <c r="R380" s="42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4"/>
      <c r="Q381" s="429"/>
      <c r="R381" s="42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28"/>
      <c r="S423" s="1"/>
    </row>
    <row r="424" spans="11:21" x14ac:dyDescent="0.2">
      <c r="K424" s="2"/>
      <c r="M424" s="30"/>
      <c r="N424" s="4"/>
      <c r="O424" s="4"/>
      <c r="P424" s="423"/>
      <c r="Q424" s="143"/>
      <c r="R424" s="42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4"/>
      <c r="Q425" s="429"/>
      <c r="R425" s="42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2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3"/>
      <c r="Q466" s="143"/>
      <c r="R466" s="42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4"/>
      <c r="Q467" s="429"/>
      <c r="R467" s="42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5" t="s">
        <v>226</v>
      </c>
      <c r="C3" s="210"/>
      <c r="D3" s="495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-19749</v>
      </c>
      <c r="C37" s="24">
        <f>SUM(C6:C36)</f>
        <v>-16130</v>
      </c>
      <c r="D37" s="24">
        <f>SUM(D6:D36)</f>
        <v>-19988</v>
      </c>
      <c r="E37" s="24">
        <f>SUM(E6:E36)</f>
        <v>-20000</v>
      </c>
      <c r="F37" s="24">
        <f>SUM(F6:F36)</f>
        <v>3607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7286.14</v>
      </c>
      <c r="G39" s="46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0">
        <v>37225</v>
      </c>
      <c r="C40" s="332"/>
      <c r="D40" s="267"/>
      <c r="E40" s="267"/>
      <c r="F40" s="570">
        <f>-7085.01-120842.49</f>
        <v>-127927.5</v>
      </c>
      <c r="G40" s="46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0">
        <v>37235</v>
      </c>
      <c r="C41" s="332"/>
      <c r="D41" s="267"/>
      <c r="E41" s="267"/>
      <c r="F41" s="104">
        <f>+F40+F39</f>
        <v>-120641.36</v>
      </c>
      <c r="G41" s="46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62">
        <f>-658-37833</f>
        <v>-38491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37235</v>
      </c>
      <c r="B47" s="32"/>
      <c r="C47" s="32"/>
      <c r="D47" s="365">
        <f>+F37</f>
        <v>3607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-34884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9" sqref="A9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5" t="s">
        <v>234</v>
      </c>
      <c r="C3" s="210"/>
      <c r="D3" s="495" t="s">
        <v>236</v>
      </c>
      <c r="E3" s="209"/>
      <c r="F3" s="495" t="s">
        <v>238</v>
      </c>
      <c r="G3" s="209"/>
      <c r="H3" s="495" t="s">
        <v>240</v>
      </c>
      <c r="I3" s="209"/>
      <c r="J3" s="495" t="s">
        <v>242</v>
      </c>
      <c r="K3" s="209"/>
      <c r="L3" s="495" t="s">
        <v>244</v>
      </c>
      <c r="M3" s="209"/>
      <c r="N3" s="495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-2128</v>
      </c>
      <c r="C15" s="24">
        <v>-2104</v>
      </c>
      <c r="D15" s="24"/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-1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-21572</v>
      </c>
      <c r="C37" s="24">
        <f t="shared" si="1"/>
        <v>-16628</v>
      </c>
      <c r="D37" s="24">
        <f t="shared" si="1"/>
        <v>-3</v>
      </c>
      <c r="E37" s="24">
        <f t="shared" si="1"/>
        <v>-250</v>
      </c>
      <c r="F37" s="24">
        <f t="shared" si="1"/>
        <v>0</v>
      </c>
      <c r="G37" s="24">
        <f t="shared" si="1"/>
        <v>-300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4697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2.02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2"/>
      <c r="P39" s="104">
        <f>+P38*P37</f>
        <v>9487.94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0">
        <v>37225</v>
      </c>
      <c r="E40" s="14"/>
      <c r="O40" s="462"/>
      <c r="P40" s="570">
        <v>102894.9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0">
        <v>37235</v>
      </c>
      <c r="E41" s="14"/>
      <c r="O41" s="462"/>
      <c r="P41" s="104">
        <f>+P40+P39</f>
        <v>112382.84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62">
        <v>43028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37235</v>
      </c>
      <c r="B47" s="32"/>
      <c r="C47" s="32"/>
      <c r="D47" s="365">
        <f>+P37</f>
        <v>4697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47725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319</v>
      </c>
      <c r="C3" s="87"/>
      <c r="D3" s="87"/>
    </row>
    <row r="4" spans="1:4" x14ac:dyDescent="0.2">
      <c r="A4" s="3"/>
      <c r="B4" s="341" t="s">
        <v>318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-139628</v>
      </c>
      <c r="C37" s="11">
        <f>SUM(C6:C36)</f>
        <v>-139899</v>
      </c>
      <c r="D37" s="25">
        <f>SUM(D6:D36)</f>
        <v>-271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-547.41999999999996</v>
      </c>
    </row>
    <row r="40" spans="1:4" x14ac:dyDescent="0.2">
      <c r="A40" s="57">
        <v>37225</v>
      </c>
      <c r="C40" s="15"/>
      <c r="D40" s="572">
        <v>-482.28</v>
      </c>
    </row>
    <row r="41" spans="1:4" x14ac:dyDescent="0.2">
      <c r="A41" s="57">
        <v>37235</v>
      </c>
      <c r="C41" s="48"/>
      <c r="D41" s="138">
        <f>+D40+D39</f>
        <v>-1029.6999999999998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12777</v>
      </c>
    </row>
    <row r="47" spans="1:4" x14ac:dyDescent="0.2">
      <c r="A47" s="49">
        <f>+A41</f>
        <v>37235</v>
      </c>
      <c r="B47" s="32"/>
      <c r="C47" s="32"/>
      <c r="D47" s="365">
        <f>+D37</f>
        <v>-271</v>
      </c>
    </row>
    <row r="48" spans="1:4" x14ac:dyDescent="0.2">
      <c r="A48" s="32"/>
      <c r="B48" s="32"/>
      <c r="C48" s="32"/>
      <c r="D48" s="14">
        <f>+D47+D46</f>
        <v>12506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D41" sqref="D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1724046</v>
      </c>
      <c r="C38" s="11">
        <f>SUM(C7:C37)</f>
        <v>1738153</v>
      </c>
      <c r="D38" s="11">
        <f>SUM(D7:D37)</f>
        <v>14107</v>
      </c>
    </row>
    <row r="39" spans="1:8" x14ac:dyDescent="0.2">
      <c r="A39" s="26"/>
      <c r="C39" s="14"/>
      <c r="D39" s="106">
        <f>+summary!H3</f>
        <v>1.99</v>
      </c>
    </row>
    <row r="40" spans="1:8" x14ac:dyDescent="0.2">
      <c r="D40" s="138">
        <f>+D39*D38</f>
        <v>28072.93</v>
      </c>
      <c r="H40">
        <v>20</v>
      </c>
    </row>
    <row r="41" spans="1:8" x14ac:dyDescent="0.2">
      <c r="A41" s="57">
        <v>37225</v>
      </c>
      <c r="C41" s="15"/>
      <c r="D41" s="517">
        <v>-23010</v>
      </c>
      <c r="H41">
        <v>530</v>
      </c>
    </row>
    <row r="42" spans="1:8" x14ac:dyDescent="0.2">
      <c r="A42" s="57">
        <v>37235</v>
      </c>
      <c r="D42" s="332">
        <f>+D41+D40</f>
        <v>5062.93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15">
        <v>-10969</v>
      </c>
    </row>
    <row r="48" spans="1:8" x14ac:dyDescent="0.2">
      <c r="A48" s="49">
        <f>+A42</f>
        <v>37235</v>
      </c>
      <c r="B48" s="32"/>
      <c r="C48" s="32"/>
      <c r="D48" s="365">
        <f>+D38</f>
        <v>14107</v>
      </c>
    </row>
    <row r="49" spans="1:4" x14ac:dyDescent="0.2">
      <c r="A49" s="32"/>
      <c r="B49" s="32"/>
      <c r="C49" s="32"/>
      <c r="D49" s="14">
        <f>+D48+D47</f>
        <v>3138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7" sqref="F4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-54602</v>
      </c>
      <c r="F36" s="11">
        <f>SUM(F5:F35)</f>
        <v>-9446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11000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2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3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4"/>
      <c r="I41" s="208"/>
      <c r="J41" s="505"/>
      <c r="K41" s="505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37235</v>
      </c>
      <c r="C42" s="14"/>
      <c r="D42" s="50"/>
      <c r="E42" s="50"/>
      <c r="F42" s="51">
        <f>+F41+F36</f>
        <v>802</v>
      </c>
      <c r="G42" s="32"/>
      <c r="H42" s="504"/>
      <c r="I42" s="208"/>
      <c r="J42" s="505"/>
      <c r="K42" s="505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06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34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37235</v>
      </c>
      <c r="B48" s="32"/>
      <c r="C48" s="32"/>
      <c r="D48" s="392">
        <f>+F36*'by type_area'!J4</f>
        <v>-19080.920000000002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-80816.92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-2442408</v>
      </c>
      <c r="C35" s="11">
        <f>SUM(C4:C34)</f>
        <v>-2434583</v>
      </c>
      <c r="D35" s="11">
        <f>SUM(D4:D34)</f>
        <v>7825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84">
        <v>74202</v>
      </c>
    </row>
    <row r="39" spans="1:30" x14ac:dyDescent="0.2">
      <c r="A39" s="12"/>
      <c r="D39" s="51"/>
    </row>
    <row r="40" spans="1:30" x14ac:dyDescent="0.2">
      <c r="A40" s="247">
        <v>37236</v>
      </c>
      <c r="D40" s="51">
        <f>+D38+D35</f>
        <v>82027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35"/>
      <c r="K44"/>
    </row>
    <row r="45" spans="1:30" x14ac:dyDescent="0.2">
      <c r="A45" s="49">
        <f>+A38</f>
        <v>37225</v>
      </c>
      <c r="B45" s="32"/>
      <c r="C45" s="32"/>
      <c r="D45" s="555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37236</v>
      </c>
      <c r="B46" s="32"/>
      <c r="C46" s="32"/>
      <c r="D46" s="392">
        <f>+D35*'by type_area'!J4</f>
        <v>15806.5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62304.5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-8053505</v>
      </c>
      <c r="C35" s="11">
        <f>SUM(C4:C34)</f>
        <v>-8066176</v>
      </c>
      <c r="D35" s="11">
        <f>SUM(D4:D34)</f>
        <v>0</v>
      </c>
      <c r="E35" s="11">
        <f>SUM(E4:E34)</f>
        <v>0</v>
      </c>
      <c r="F35" s="11">
        <f>SUM(F4:F34)</f>
        <v>-12671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54">
        <v>170123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37236</v>
      </c>
      <c r="D40" s="248"/>
      <c r="E40" s="248"/>
      <c r="F40" s="51">
        <f>+F38+F35</f>
        <v>157452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35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55">
        <v>479748.49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37236</v>
      </c>
      <c r="B46" s="32"/>
      <c r="C46" s="32"/>
      <c r="D46" s="536">
        <f>+F35*'by type_area'!J4</f>
        <v>-25595.420000000002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34">
        <f>+D46+D45</f>
        <v>454153.07</v>
      </c>
      <c r="E47" s="248"/>
      <c r="F47" s="537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34" sqref="B3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0"/>
      <c r="L4" s="430"/>
      <c r="M4" s="430"/>
      <c r="N4" s="430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1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2" t="s">
        <v>20</v>
      </c>
      <c r="M6" s="432" t="s">
        <v>21</v>
      </c>
      <c r="N6" s="433" t="s">
        <v>50</v>
      </c>
      <c r="O6" s="431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1">
        <v>8.2100000000000009</v>
      </c>
      <c r="P9" s="436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1">
        <v>5.62</v>
      </c>
      <c r="P10" s="436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1">
        <v>4.9800000000000004</v>
      </c>
      <c r="P11" s="436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1">
        <v>4.87</v>
      </c>
      <c r="P12" s="436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1">
        <v>3.82</v>
      </c>
      <c r="P13" s="436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1">
        <v>3.2</v>
      </c>
      <c r="P14" s="436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1">
        <v>2.77</v>
      </c>
      <c r="P15" s="437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4"/>
      <c r="P16" s="435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-100544</v>
      </c>
      <c r="C35" s="44">
        <f t="shared" si="3"/>
        <v>-12273</v>
      </c>
      <c r="D35" s="11">
        <f t="shared" si="3"/>
        <v>0</v>
      </c>
      <c r="E35" s="44">
        <f t="shared" si="3"/>
        <v>-80514</v>
      </c>
      <c r="F35" s="11">
        <f t="shared" si="3"/>
        <v>0</v>
      </c>
      <c r="G35" s="11">
        <f t="shared" si="3"/>
        <v>0</v>
      </c>
      <c r="H35" s="11">
        <f t="shared" si="3"/>
        <v>7757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15669.14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38">
        <v>37225</v>
      </c>
      <c r="F38" s="535"/>
      <c r="G38" s="270"/>
      <c r="H38" s="539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37235</v>
      </c>
      <c r="F39" s="535"/>
      <c r="G39" s="535"/>
      <c r="H39" s="332">
        <f>+H38+H37</f>
        <v>-105467.86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40"/>
      <c r="F40" s="268"/>
      <c r="G40" s="540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40"/>
      <c r="F41" s="268"/>
      <c r="G41" s="540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37235</v>
      </c>
      <c r="E47" s="514">
        <f>+H35</f>
        <v>7757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123621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41"/>
      <c r="F49" s="129"/>
      <c r="G49" s="129"/>
      <c r="H49" s="129"/>
      <c r="I49" s="542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-2067359</v>
      </c>
      <c r="E36" s="11">
        <f t="shared" si="15"/>
        <v>-2044581</v>
      </c>
      <c r="F36" s="11">
        <f t="shared" si="15"/>
        <v>0</v>
      </c>
      <c r="G36" s="11">
        <f t="shared" si="15"/>
        <v>0</v>
      </c>
      <c r="H36" s="11">
        <f t="shared" si="15"/>
        <v>22675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22778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56">
        <v>64269</v>
      </c>
      <c r="D38" s="333"/>
      <c r="E38" s="559">
        <v>-53414</v>
      </c>
      <c r="F38" s="24"/>
      <c r="G38" s="24"/>
      <c r="H38" s="238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37235</v>
      </c>
      <c r="B39" s="2" t="s">
        <v>46</v>
      </c>
      <c r="C39" s="131">
        <f>+C38+C37</f>
        <v>64166</v>
      </c>
      <c r="D39" s="257"/>
      <c r="E39" s="131">
        <f>+E38+E37</f>
        <v>-30636</v>
      </c>
      <c r="F39" s="257"/>
      <c r="G39" s="131"/>
      <c r="H39" s="131">
        <f>+H38+H36</f>
        <v>33530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57">
        <v>-1582961.01</v>
      </c>
      <c r="D44" s="207"/>
      <c r="E44" s="558">
        <v>969783.3</v>
      </c>
      <c r="F44" s="47">
        <f>+E44+C44</f>
        <v>-613177.71</v>
      </c>
      <c r="G44" s="250"/>
      <c r="H44" s="39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37235</v>
      </c>
      <c r="B45" s="32"/>
      <c r="C45" s="47">
        <f>+C37*summary!H4</f>
        <v>-208.06</v>
      </c>
      <c r="D45" s="207"/>
      <c r="E45" s="394">
        <f>+E37*summary!H3</f>
        <v>45328.22</v>
      </c>
      <c r="F45" s="47">
        <f>+E45+C45</f>
        <v>45120.160000000003</v>
      </c>
      <c r="G45" s="250"/>
      <c r="H45" s="39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-1583169.07</v>
      </c>
      <c r="D46" s="207"/>
      <c r="E46" s="394">
        <v>925707</v>
      </c>
      <c r="F46" s="47">
        <f>+E46+C46</f>
        <v>-657462.07000000007</v>
      </c>
      <c r="G46" s="250"/>
      <c r="H46" s="39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4"/>
      <c r="D47" s="394"/>
      <c r="E47" s="394"/>
      <c r="F47" s="47"/>
      <c r="G47" s="250"/>
      <c r="H47" s="39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28</vt:i4>
      </vt:variant>
    </vt:vector>
  </HeadingPairs>
  <TitlesOfParts>
    <vt:vector size="71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2001-12-12T16:04:31Z</cp:lastPrinted>
  <dcterms:created xsi:type="dcterms:W3CDTF">2000-03-28T16:52:23Z</dcterms:created>
  <dcterms:modified xsi:type="dcterms:W3CDTF">2014-09-05T10:01:28Z</dcterms:modified>
</cp:coreProperties>
</file>