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/>
  <c r="B6" i="8"/>
  <c r="D6" i="8" s="1"/>
  <c r="B7" i="8"/>
  <c r="D7" i="8"/>
  <c r="B8" i="8"/>
  <c r="D8" i="8"/>
  <c r="B9" i="8"/>
  <c r="D9" i="8"/>
  <c r="B10" i="8"/>
  <c r="D10" i="8" s="1"/>
  <c r="D11" i="8"/>
  <c r="D12" i="8"/>
  <c r="B13" i="8"/>
  <c r="D13" i="8"/>
  <c r="B14" i="8"/>
  <c r="D14" i="8"/>
  <c r="D15" i="8"/>
  <c r="D16" i="8"/>
  <c r="B17" i="8"/>
  <c r="D17" i="8"/>
  <c r="B18" i="8"/>
  <c r="D18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D47" i="88" s="1"/>
  <c r="D48" i="88" s="1"/>
  <c r="D43" i="80" s="1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H3" i="80"/>
  <c r="I5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D38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8" i="74"/>
  <c r="J8" i="74"/>
  <c r="L8" i="74"/>
  <c r="D9" i="74"/>
  <c r="J9" i="74"/>
  <c r="J17" i="74" s="1"/>
  <c r="L9" i="74"/>
  <c r="M9" i="74" s="1"/>
  <c r="M10" i="74" s="1"/>
  <c r="M11" i="74" s="1"/>
  <c r="M12" i="74" s="1"/>
  <c r="M13" i="74" s="1"/>
  <c r="M14" i="74" s="1"/>
  <c r="D10" i="74"/>
  <c r="J10" i="74"/>
  <c r="L10" i="74" s="1"/>
  <c r="D11" i="74"/>
  <c r="H11" i="74"/>
  <c r="J11" i="74"/>
  <c r="L11" i="74"/>
  <c r="D12" i="74"/>
  <c r="H12" i="74"/>
  <c r="J12" i="74"/>
  <c r="L12" i="74"/>
  <c r="D13" i="74"/>
  <c r="J13" i="74"/>
  <c r="L13" i="74"/>
  <c r="D14" i="74"/>
  <c r="J14" i="74"/>
  <c r="L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J24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B6" i="78"/>
  <c r="D6" i="78" s="1"/>
  <c r="D7" i="78"/>
  <c r="B8" i="78"/>
  <c r="D8" i="78"/>
  <c r="D9" i="78"/>
  <c r="D10" i="78"/>
  <c r="D12" i="78" s="1"/>
  <c r="D23" i="78" s="1"/>
  <c r="D11" i="78"/>
  <c r="A22" i="78"/>
  <c r="A24" i="78"/>
  <c r="D24" i="78"/>
  <c r="D16" i="80" s="1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 s="1"/>
  <c r="N5" i="13"/>
  <c r="F6" i="13"/>
  <c r="I6" i="13"/>
  <c r="J6" i="13"/>
  <c r="K6" i="13"/>
  <c r="M6" i="13" s="1"/>
  <c r="N6" i="13"/>
  <c r="F7" i="13"/>
  <c r="I7" i="13"/>
  <c r="J7" i="13"/>
  <c r="K7" i="13"/>
  <c r="M7" i="13"/>
  <c r="N7" i="13"/>
  <c r="F8" i="13"/>
  <c r="I8" i="13"/>
  <c r="K8" i="13" s="1"/>
  <c r="M8" i="13" s="1"/>
  <c r="J8" i="13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F35" i="13" s="1"/>
  <c r="D47" i="13" s="1"/>
  <c r="D48" i="13" s="1"/>
  <c r="D27" i="80" s="1"/>
  <c r="C35" i="13"/>
  <c r="D35" i="13"/>
  <c r="E35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D49" i="71" s="1"/>
  <c r="D50" i="71" s="1"/>
  <c r="D46" i="80" s="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E36" i="73" s="1"/>
  <c r="H35" i="73"/>
  <c r="I35" i="73"/>
  <c r="I36" i="73" s="1"/>
  <c r="C36" i="73"/>
  <c r="F39" i="73"/>
  <c r="H41" i="73"/>
  <c r="F46" i="73"/>
  <c r="K46" i="73"/>
  <c r="B71" i="73" s="1"/>
  <c r="B68" i="73"/>
  <c r="C68" i="73"/>
  <c r="B69" i="73"/>
  <c r="C69" i="73"/>
  <c r="B70" i="73"/>
  <c r="C70" i="73"/>
  <c r="C71" i="73"/>
  <c r="B72" i="73"/>
  <c r="C72" i="73"/>
  <c r="B75" i="73"/>
  <c r="C75" i="73"/>
  <c r="B76" i="73"/>
  <c r="C76" i="73"/>
  <c r="B78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47" i="86" s="1"/>
  <c r="D48" i="86" s="1"/>
  <c r="D41" i="80" s="1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47" i="85" s="1"/>
  <c r="D48" i="85" s="1"/>
  <c r="A46" i="85"/>
  <c r="A47" i="85"/>
  <c r="B8" i="20"/>
  <c r="B10" i="20"/>
  <c r="J11" i="20"/>
  <c r="B13" i="20"/>
  <c r="B14" i="20"/>
  <c r="B15" i="20"/>
  <c r="J15" i="20"/>
  <c r="B17" i="20"/>
  <c r="B18" i="20" s="1"/>
  <c r="F39" i="20" s="1"/>
  <c r="F40" i="20" s="1"/>
  <c r="B31" i="20"/>
  <c r="G39" i="20" s="1"/>
  <c r="G40" i="20" s="1"/>
  <c r="E38" i="20"/>
  <c r="E39" i="20"/>
  <c r="H39" i="20"/>
  <c r="H40" i="20"/>
  <c r="B77" i="73" s="1"/>
  <c r="B46" i="20"/>
  <c r="C74" i="20"/>
  <c r="B75" i="20"/>
  <c r="C75" i="20"/>
  <c r="B76" i="20"/>
  <c r="C76" i="20"/>
  <c r="B79" i="20"/>
  <c r="C79" i="20"/>
  <c r="B80" i="20"/>
  <c r="C80" i="20"/>
  <c r="B81" i="20"/>
  <c r="C81" i="20"/>
  <c r="B82" i="20"/>
  <c r="C82" i="20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7" i="11" s="1"/>
  <c r="E36" i="11"/>
  <c r="F36" i="11"/>
  <c r="G36" i="11"/>
  <c r="AC36" i="11"/>
  <c r="AE36" i="11"/>
  <c r="AP36" i="11" s="1"/>
  <c r="AF36" i="11"/>
  <c r="AI36" i="11"/>
  <c r="AL36" i="11"/>
  <c r="AM36" i="11"/>
  <c r="AN36" i="11"/>
  <c r="AO36" i="11"/>
  <c r="AA37" i="11"/>
  <c r="AF37" i="11"/>
  <c r="AI37" i="11"/>
  <c r="AL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37" i="75" s="1"/>
  <c r="D46" i="75" s="1"/>
  <c r="D47" i="75" s="1"/>
  <c r="D47" i="80" s="1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O11" i="5"/>
  <c r="P11" i="5" s="1"/>
  <c r="P12" i="5" s="1"/>
  <c r="P13" i="5" s="1"/>
  <c r="P14" i="5" s="1"/>
  <c r="P15" i="5" s="1"/>
  <c r="P16" i="5" s="1"/>
  <c r="P17" i="5" s="1"/>
  <c r="P18" i="5" s="1"/>
  <c r="P19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P20" i="5"/>
  <c r="P21" i="5" s="1"/>
  <c r="P22" i="5" s="1"/>
  <c r="P23" i="5" s="1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A48" i="5"/>
  <c r="A49" i="5"/>
  <c r="J8" i="17"/>
  <c r="J9" i="17"/>
  <c r="J10" i="17"/>
  <c r="J11" i="17"/>
  <c r="J12" i="17"/>
  <c r="J13" i="17"/>
  <c r="J14" i="17"/>
  <c r="J39" i="17" s="1"/>
  <c r="D48" i="17" s="1"/>
  <c r="D49" i="17" s="1"/>
  <c r="D31" i="80" s="1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H3" i="67"/>
  <c r="H4" i="67"/>
  <c r="H5" i="67"/>
  <c r="H6" i="67"/>
  <c r="H7" i="67"/>
  <c r="H8" i="67"/>
  <c r="H9" i="67"/>
  <c r="H10" i="67"/>
  <c r="N10" i="67"/>
  <c r="U10" i="67"/>
  <c r="W10" i="67" s="1"/>
  <c r="H11" i="67"/>
  <c r="L11" i="67"/>
  <c r="N11" i="67"/>
  <c r="P11" i="67" s="1"/>
  <c r="U11" i="67"/>
  <c r="W11" i="67" s="1"/>
  <c r="W16" i="67" s="1"/>
  <c r="H12" i="67"/>
  <c r="L12" i="67"/>
  <c r="N12" i="67"/>
  <c r="P12" i="67" s="1"/>
  <c r="U12" i="67"/>
  <c r="W12" i="67"/>
  <c r="H13" i="67"/>
  <c r="L13" i="67"/>
  <c r="N13" i="67"/>
  <c r="P13" i="67" s="1"/>
  <c r="U13" i="67"/>
  <c r="W13" i="67" s="1"/>
  <c r="H14" i="67"/>
  <c r="N14" i="67"/>
  <c r="P14" i="67" s="1"/>
  <c r="U14" i="67"/>
  <c r="H15" i="67"/>
  <c r="U15" i="67"/>
  <c r="H16" i="67"/>
  <c r="U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T34" i="67"/>
  <c r="A43" i="67"/>
  <c r="A44" i="67"/>
  <c r="F44" i="67"/>
  <c r="F45" i="67" s="1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 s="1"/>
  <c r="D17" i="77"/>
  <c r="K17" i="77"/>
  <c r="M17" i="77" s="1"/>
  <c r="D18" i="77"/>
  <c r="K18" i="77"/>
  <c r="M18" i="77"/>
  <c r="D19" i="77"/>
  <c r="K19" i="77"/>
  <c r="M19" i="77" s="1"/>
  <c r="D20" i="77"/>
  <c r="K20" i="77"/>
  <c r="M20" i="77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 s="1"/>
  <c r="AF6" i="7"/>
  <c r="F7" i="7"/>
  <c r="Z7" i="7"/>
  <c r="AD7" i="7"/>
  <c r="AF7" i="7" s="1"/>
  <c r="F8" i="7"/>
  <c r="Z8" i="7"/>
  <c r="AD8" i="7"/>
  <c r="AF8" i="7"/>
  <c r="F9" i="7"/>
  <c r="Z9" i="7"/>
  <c r="AD9" i="7"/>
  <c r="AF9" i="7" s="1"/>
  <c r="F10" i="7"/>
  <c r="F36" i="7" s="1"/>
  <c r="Z10" i="7"/>
  <c r="AD10" i="7" s="1"/>
  <c r="AF10" i="7" s="1"/>
  <c r="F11" i="7"/>
  <c r="Z11" i="7"/>
  <c r="AD11" i="7"/>
  <c r="AF11" i="7" s="1"/>
  <c r="F12" i="7"/>
  <c r="Z12" i="7"/>
  <c r="AD12" i="7" s="1"/>
  <c r="AF12" i="7" s="1"/>
  <c r="F13" i="7"/>
  <c r="Z13" i="7"/>
  <c r="AD13" i="7"/>
  <c r="AF13" i="7" s="1"/>
  <c r="F14" i="7"/>
  <c r="Z14" i="7"/>
  <c r="AD14" i="7" s="1"/>
  <c r="AF14" i="7"/>
  <c r="F15" i="7"/>
  <c r="Z15" i="7"/>
  <c r="AD15" i="7" s="1"/>
  <c r="AF15" i="7" s="1"/>
  <c r="F16" i="7"/>
  <c r="Z16" i="7"/>
  <c r="AD16" i="7" s="1"/>
  <c r="AF16" i="7" s="1"/>
  <c r="F17" i="7"/>
  <c r="Z17" i="7"/>
  <c r="AD17" i="7"/>
  <c r="AF17" i="7"/>
  <c r="F18" i="7"/>
  <c r="AI18" i="7"/>
  <c r="F19" i="7"/>
  <c r="Z19" i="7"/>
  <c r="AD19" i="7" s="1"/>
  <c r="F20" i="7"/>
  <c r="Z20" i="7"/>
  <c r="AD20" i="7"/>
  <c r="AF20" i="7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6" i="16" s="1"/>
  <c r="D47" i="16" s="1"/>
  <c r="D35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35" i="28" s="1"/>
  <c r="D40" i="28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H5" i="9"/>
  <c r="H35" i="9" s="1"/>
  <c r="E47" i="9" s="1"/>
  <c r="E48" i="9" s="1"/>
  <c r="D32" i="80" s="1"/>
  <c r="P5" i="9"/>
  <c r="R5" i="9"/>
  <c r="H6" i="9"/>
  <c r="P6" i="9"/>
  <c r="R6" i="9" s="1"/>
  <c r="H7" i="9"/>
  <c r="N7" i="9"/>
  <c r="P7" i="9" s="1"/>
  <c r="R7" i="9" s="1"/>
  <c r="H8" i="9"/>
  <c r="P8" i="9"/>
  <c r="R8" i="9"/>
  <c r="H9" i="9"/>
  <c r="N9" i="9"/>
  <c r="P9" i="9" s="1"/>
  <c r="R9" i="9" s="1"/>
  <c r="H10" i="9"/>
  <c r="P10" i="9"/>
  <c r="R10" i="9" s="1"/>
  <c r="H11" i="9"/>
  <c r="P11" i="9"/>
  <c r="R11" i="9"/>
  <c r="H12" i="9"/>
  <c r="P12" i="9"/>
  <c r="R12" i="9" s="1"/>
  <c r="H13" i="9"/>
  <c r="P13" i="9"/>
  <c r="R13" i="9" s="1"/>
  <c r="H14" i="9"/>
  <c r="P14" i="9"/>
  <c r="R14" i="9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37" i="93" s="1"/>
  <c r="D49" i="93" s="1"/>
  <c r="D50" i="93" s="1"/>
  <c r="D45" i="80" s="1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B5" i="64"/>
  <c r="D5" i="64"/>
  <c r="D17" i="64" s="1"/>
  <c r="D29" i="64" s="1"/>
  <c r="D30" i="64" s="1"/>
  <c r="D33" i="80" s="1"/>
  <c r="B6" i="64"/>
  <c r="D6" i="64" s="1"/>
  <c r="B7" i="64"/>
  <c r="D7" i="64" s="1"/>
  <c r="D8" i="64"/>
  <c r="B9" i="64"/>
  <c r="D9" i="64"/>
  <c r="D10" i="64"/>
  <c r="B11" i="64"/>
  <c r="D11" i="64" s="1"/>
  <c r="D12" i="64"/>
  <c r="D13" i="64"/>
  <c r="A28" i="64"/>
  <c r="A29" i="64"/>
  <c r="F8" i="15"/>
  <c r="AF8" i="15"/>
  <c r="AJ8" i="15"/>
  <c r="AN8" i="15"/>
  <c r="AN39" i="15" s="1"/>
  <c r="B102" i="15" s="1"/>
  <c r="AR8" i="15"/>
  <c r="AV8" i="15"/>
  <c r="F9" i="15"/>
  <c r="M9" i="15"/>
  <c r="O9" i="15" s="1"/>
  <c r="AF9" i="15"/>
  <c r="AJ9" i="15"/>
  <c r="AN9" i="15"/>
  <c r="AR9" i="15"/>
  <c r="AV9" i="15"/>
  <c r="F10" i="15"/>
  <c r="M10" i="15"/>
  <c r="O10" i="15" s="1"/>
  <c r="AF10" i="15"/>
  <c r="AJ10" i="15"/>
  <c r="AN10" i="15"/>
  <c r="AR10" i="15"/>
  <c r="AV10" i="15"/>
  <c r="F11" i="15"/>
  <c r="M11" i="15"/>
  <c r="O11" i="15" s="1"/>
  <c r="AF11" i="15"/>
  <c r="AJ11" i="15"/>
  <c r="AN11" i="15"/>
  <c r="AR11" i="15"/>
  <c r="AV11" i="15"/>
  <c r="F12" i="15"/>
  <c r="M12" i="15"/>
  <c r="O12" i="15" s="1"/>
  <c r="AF12" i="15"/>
  <c r="AJ12" i="15"/>
  <c r="AN12" i="15"/>
  <c r="AR12" i="15"/>
  <c r="AV12" i="15"/>
  <c r="F13" i="15"/>
  <c r="M13" i="15"/>
  <c r="O13" i="15" s="1"/>
  <c r="AF13" i="15"/>
  <c r="AJ13" i="15"/>
  <c r="AN13" i="15"/>
  <c r="AR13" i="15"/>
  <c r="AV13" i="15"/>
  <c r="F14" i="15"/>
  <c r="M14" i="15"/>
  <c r="O14" i="15" s="1"/>
  <c r="AF14" i="15"/>
  <c r="AJ14" i="15"/>
  <c r="AN14" i="15"/>
  <c r="AR14" i="15"/>
  <c r="AV14" i="15"/>
  <c r="F15" i="15"/>
  <c r="M15" i="15"/>
  <c r="O15" i="15" s="1"/>
  <c r="AF15" i="15"/>
  <c r="AJ15" i="15"/>
  <c r="AN15" i="15"/>
  <c r="AR15" i="15"/>
  <c r="AV15" i="15"/>
  <c r="F16" i="15"/>
  <c r="M16" i="15"/>
  <c r="O16" i="15" s="1"/>
  <c r="AF16" i="15"/>
  <c r="AJ16" i="15"/>
  <c r="AN16" i="15"/>
  <c r="AQ16" i="15"/>
  <c r="AR16" i="15"/>
  <c r="AU16" i="15"/>
  <c r="AV16" i="15" s="1"/>
  <c r="F17" i="15"/>
  <c r="M17" i="15"/>
  <c r="O17" i="15"/>
  <c r="AF17" i="15"/>
  <c r="AF39" i="15" s="1"/>
  <c r="AF45" i="15" s="1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/>
  <c r="AF22" i="15"/>
  <c r="AJ22" i="15"/>
  <c r="AN22" i="15"/>
  <c r="AQ22" i="15"/>
  <c r="AR22" i="15" s="1"/>
  <c r="AV22" i="15"/>
  <c r="F23" i="15"/>
  <c r="H23" i="15"/>
  <c r="J23" i="15"/>
  <c r="N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R39" i="15" s="1"/>
  <c r="AR45" i="15" s="1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K23" i="15" s="1"/>
  <c r="E39" i="15"/>
  <c r="L23" i="15" s="1"/>
  <c r="AD39" i="15"/>
  <c r="AE39" i="15"/>
  <c r="AH39" i="15"/>
  <c r="AI39" i="15"/>
  <c r="AL39" i="15"/>
  <c r="AM39" i="15"/>
  <c r="AP39" i="15"/>
  <c r="AT39" i="15"/>
  <c r="AU39" i="15"/>
  <c r="A50" i="15"/>
  <c r="A51" i="15"/>
  <c r="AH52" i="15"/>
  <c r="AH54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I114" i="15" s="1"/>
  <c r="K113" i="15"/>
  <c r="F126" i="15"/>
  <c r="F127" i="15"/>
  <c r="F128" i="15"/>
  <c r="F133" i="15" s="1"/>
  <c r="F129" i="15"/>
  <c r="F130" i="15"/>
  <c r="F131" i="15"/>
  <c r="B132" i="15"/>
  <c r="F132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B168" i="15"/>
  <c r="B174" i="15" s="1"/>
  <c r="B176" i="15" s="1"/>
  <c r="F169" i="15"/>
  <c r="F170" i="15"/>
  <c r="F171" i="15"/>
  <c r="F172" i="15"/>
  <c r="F173" i="15"/>
  <c r="C174" i="15"/>
  <c r="C176" i="15" s="1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37" i="92" s="1"/>
  <c r="D47" i="92" s="1"/>
  <c r="D48" i="92" s="1"/>
  <c r="D44" i="80" s="1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A46" i="92"/>
  <c r="A47" i="92"/>
  <c r="G3" i="63"/>
  <c r="J3" i="63"/>
  <c r="G4" i="63"/>
  <c r="J36" i="70" s="1"/>
  <c r="G5" i="63"/>
  <c r="G5" i="8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36" i="63"/>
  <c r="D37" i="63"/>
  <c r="D38" i="63"/>
  <c r="D42" i="63"/>
  <c r="D43" i="63"/>
  <c r="D44" i="63"/>
  <c r="D45" i="63"/>
  <c r="D46" i="63"/>
  <c r="D47" i="63"/>
  <c r="D48" i="63"/>
  <c r="D49" i="63"/>
  <c r="D50" i="63"/>
  <c r="D51" i="63"/>
  <c r="D52" i="63"/>
  <c r="B84" i="63"/>
  <c r="B85" i="63"/>
  <c r="B95" i="63" s="1"/>
  <c r="D6" i="90"/>
  <c r="D7" i="90"/>
  <c r="D8" i="90"/>
  <c r="D37" i="90" s="1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47" i="90"/>
  <c r="D48" i="90" s="1"/>
  <c r="D14" i="80" s="1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A48" i="19"/>
  <c r="A49" i="19"/>
  <c r="J4" i="2"/>
  <c r="J5" i="2"/>
  <c r="J6" i="2"/>
  <c r="P6" i="2"/>
  <c r="R6" i="2"/>
  <c r="J7" i="2"/>
  <c r="P7" i="2"/>
  <c r="R7" i="2"/>
  <c r="J8" i="2"/>
  <c r="P8" i="2"/>
  <c r="R8" i="2" s="1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P14" i="2"/>
  <c r="R14" i="2" s="1"/>
  <c r="J15" i="2"/>
  <c r="P15" i="2"/>
  <c r="R15" i="2"/>
  <c r="J16" i="2"/>
  <c r="P16" i="2"/>
  <c r="R16" i="2"/>
  <c r="J17" i="2"/>
  <c r="N17" i="2"/>
  <c r="P17" i="2" s="1"/>
  <c r="R17" i="2" s="1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AR48" i="15" l="1"/>
  <c r="AR51" i="15"/>
  <c r="F102" i="15"/>
  <c r="M13" i="13"/>
  <c r="K114" i="15"/>
  <c r="P19" i="9"/>
  <c r="M23" i="77"/>
  <c r="D38" i="85"/>
  <c r="D39" i="85" s="1"/>
  <c r="D41" i="85" s="1"/>
  <c r="B19" i="20"/>
  <c r="C19" i="20" s="1"/>
  <c r="C20" i="20" s="1"/>
  <c r="F39" i="5"/>
  <c r="F40" i="5" s="1"/>
  <c r="D20" i="8"/>
  <c r="B47" i="20"/>
  <c r="C47" i="20" s="1"/>
  <c r="C48" i="20" s="1"/>
  <c r="D38" i="89"/>
  <c r="D38" i="86"/>
  <c r="D39" i="86" s="1"/>
  <c r="D41" i="86" s="1"/>
  <c r="D38" i="76"/>
  <c r="D39" i="76" s="1"/>
  <c r="D41" i="76" s="1"/>
  <c r="C37" i="73"/>
  <c r="D38" i="92"/>
  <c r="D39" i="92" s="1"/>
  <c r="D41" i="92" s="1"/>
  <c r="G59" i="80"/>
  <c r="D38" i="75"/>
  <c r="D39" i="75" s="1"/>
  <c r="D41" i="75" s="1"/>
  <c r="C34" i="63"/>
  <c r="B34" i="63" s="1"/>
  <c r="B69" i="80"/>
  <c r="C39" i="11"/>
  <c r="C45" i="11"/>
  <c r="C46" i="11" s="1"/>
  <c r="D38" i="74"/>
  <c r="D13" i="78"/>
  <c r="D14" i="78" s="1"/>
  <c r="D18" i="78" s="1"/>
  <c r="J40" i="17"/>
  <c r="J41" i="17" s="1"/>
  <c r="J43" i="17" s="1"/>
  <c r="F40" i="18"/>
  <c r="D38" i="79"/>
  <c r="D39" i="79" s="1"/>
  <c r="D41" i="79" s="1"/>
  <c r="F38" i="87"/>
  <c r="F38" i="22"/>
  <c r="F37" i="13"/>
  <c r="F38" i="13" s="1"/>
  <c r="F41" i="13" s="1"/>
  <c r="B32" i="20"/>
  <c r="C32" i="20" s="1"/>
  <c r="C33" i="20" s="1"/>
  <c r="D19" i="65"/>
  <c r="D38" i="77"/>
  <c r="P38" i="88"/>
  <c r="P39" i="88" s="1"/>
  <c r="P41" i="88" s="1"/>
  <c r="H36" i="9"/>
  <c r="H37" i="9" s="1"/>
  <c r="H39" i="9" s="1"/>
  <c r="D38" i="90"/>
  <c r="D39" i="90" s="1"/>
  <c r="D41" i="90" s="1"/>
  <c r="D40" i="19"/>
  <c r="N38" i="91"/>
  <c r="N39" i="91" s="1"/>
  <c r="N43" i="91" s="1"/>
  <c r="G58" i="80"/>
  <c r="D18" i="64"/>
  <c r="D19" i="64" s="1"/>
  <c r="D23" i="64" s="1"/>
  <c r="G4" i="80"/>
  <c r="F92" i="15"/>
  <c r="B101" i="15"/>
  <c r="B103" i="15" s="1"/>
  <c r="B105" i="15" s="1"/>
  <c r="F105" i="15" s="1"/>
  <c r="AJ39" i="15"/>
  <c r="AJ45" i="15" s="1"/>
  <c r="F41" i="7"/>
  <c r="E48" i="7"/>
  <c r="E49" i="7" s="1"/>
  <c r="D76" i="80" s="1"/>
  <c r="J35" i="70"/>
  <c r="D47" i="70" s="1"/>
  <c r="D48" i="70" s="1"/>
  <c r="D34" i="80" s="1"/>
  <c r="D39" i="19"/>
  <c r="D49" i="19" s="1"/>
  <c r="D50" i="19" s="1"/>
  <c r="D20" i="80" s="1"/>
  <c r="D37" i="76"/>
  <c r="D47" i="76" s="1"/>
  <c r="D48" i="76" s="1"/>
  <c r="D36" i="80" s="1"/>
  <c r="AN45" i="15"/>
  <c r="I23" i="15"/>
  <c r="M23" i="15" s="1"/>
  <c r="F39" i="15"/>
  <c r="D37" i="81"/>
  <c r="S12" i="2"/>
  <c r="P21" i="2"/>
  <c r="P23" i="2" s="1"/>
  <c r="F43" i="5"/>
  <c r="D49" i="5"/>
  <c r="D50" i="5" s="1"/>
  <c r="D83" i="80" s="1"/>
  <c r="J35" i="2"/>
  <c r="F35" i="6"/>
  <c r="AG19" i="7"/>
  <c r="AG20" i="7" s="1"/>
  <c r="AG21" i="7" s="1"/>
  <c r="AF19" i="7"/>
  <c r="AH19" i="7" s="1"/>
  <c r="F40" i="71"/>
  <c r="F41" i="71" s="1"/>
  <c r="F43" i="71" s="1"/>
  <c r="J37" i="83"/>
  <c r="D49" i="83" s="1"/>
  <c r="D50" i="83" s="1"/>
  <c r="D39" i="80" s="1"/>
  <c r="B79" i="73"/>
  <c r="C72" i="20"/>
  <c r="N37" i="91"/>
  <c r="D49" i="91" s="1"/>
  <c r="D50" i="91" s="1"/>
  <c r="D40" i="80" s="1"/>
  <c r="F101" i="15"/>
  <c r="C101" i="15" s="1"/>
  <c r="AV39" i="15"/>
  <c r="N38" i="93"/>
  <c r="N39" i="93" s="1"/>
  <c r="N43" i="93" s="1"/>
  <c r="D46" i="28"/>
  <c r="D47" i="28" s="1"/>
  <c r="D69" i="80" s="1"/>
  <c r="D37" i="77"/>
  <c r="D49" i="77" s="1"/>
  <c r="D50" i="77" s="1"/>
  <c r="D15" i="80" s="1"/>
  <c r="AN8" i="11"/>
  <c r="AC8" i="11"/>
  <c r="D39" i="72"/>
  <c r="J39" i="83"/>
  <c r="J43" i="83" s="1"/>
  <c r="F176" i="15"/>
  <c r="D37" i="16"/>
  <c r="D38" i="16" s="1"/>
  <c r="D40" i="16" s="1"/>
  <c r="AM16" i="11"/>
  <c r="AC16" i="11"/>
  <c r="H36" i="11"/>
  <c r="M5" i="13"/>
  <c r="N11" i="13" s="1"/>
  <c r="K13" i="13"/>
  <c r="D37" i="74"/>
  <c r="D46" i="74" s="1"/>
  <c r="D47" i="74" s="1"/>
  <c r="D12" i="80" s="1"/>
  <c r="R21" i="2"/>
  <c r="AH56" i="15"/>
  <c r="AH57" i="15"/>
  <c r="AQ39" i="15"/>
  <c r="E39" i="11"/>
  <c r="B75" i="80" s="1"/>
  <c r="C75" i="80" s="1"/>
  <c r="E45" i="11"/>
  <c r="AL48" i="11"/>
  <c r="C73" i="20"/>
  <c r="I40" i="20"/>
  <c r="I57" i="20" s="1"/>
  <c r="B73" i="73"/>
  <c r="C77" i="20"/>
  <c r="D30" i="80"/>
  <c r="F35" i="73"/>
  <c r="B133" i="15"/>
  <c r="B136" i="15" s="1"/>
  <c r="AI5" i="7"/>
  <c r="D18" i="65"/>
  <c r="D33" i="65" s="1"/>
  <c r="D34" i="65" s="1"/>
  <c r="D26" i="80" s="1"/>
  <c r="D49" i="80" s="1"/>
  <c r="AC37" i="11"/>
  <c r="AM37" i="11"/>
  <c r="D37" i="12"/>
  <c r="D75" i="2"/>
  <c r="D39" i="69"/>
  <c r="D40" i="69" s="1"/>
  <c r="D42" i="69" s="1"/>
  <c r="G3" i="80"/>
  <c r="G57" i="80"/>
  <c r="H39" i="11"/>
  <c r="C18" i="63" s="1"/>
  <c r="J35" i="73"/>
  <c r="J36" i="73" s="1"/>
  <c r="F36" i="73"/>
  <c r="AH6" i="7"/>
  <c r="F37" i="87"/>
  <c r="D47" i="87" s="1"/>
  <c r="D48" i="87" s="1"/>
  <c r="D42" i="80" s="1"/>
  <c r="D37" i="79"/>
  <c r="D47" i="79" s="1"/>
  <c r="D48" i="79" s="1"/>
  <c r="D13" i="80" s="1"/>
  <c r="D38" i="69"/>
  <c r="D48" i="69" s="1"/>
  <c r="D49" i="69" s="1"/>
  <c r="D22" i="80" s="1"/>
  <c r="R4" i="9"/>
  <c r="R19" i="9" s="1"/>
  <c r="R22" i="9" s="1"/>
  <c r="P10" i="67"/>
  <c r="P16" i="67" s="1"/>
  <c r="N16" i="67"/>
  <c r="H34" i="67"/>
  <c r="L17" i="74"/>
  <c r="F37" i="22"/>
  <c r="D47" i="22" s="1"/>
  <c r="D48" i="22" s="1"/>
  <c r="D29" i="80" s="1"/>
  <c r="N10" i="13"/>
  <c r="F39" i="18"/>
  <c r="D48" i="18" s="1"/>
  <c r="D49" i="18" s="1"/>
  <c r="D28" i="80" s="1"/>
  <c r="D19" i="8"/>
  <c r="D30" i="8" s="1"/>
  <c r="D31" i="8" s="1"/>
  <c r="D48" i="80" s="1"/>
  <c r="D35" i="68"/>
  <c r="D37" i="89"/>
  <c r="D47" i="89" s="1"/>
  <c r="D48" i="89" s="1"/>
  <c r="D37" i="80" s="1"/>
  <c r="O23" i="15" l="1"/>
  <c r="O24" i="15" s="1"/>
  <c r="M24" i="15"/>
  <c r="D46" i="6"/>
  <c r="D47" i="6" s="1"/>
  <c r="D67" i="80" s="1"/>
  <c r="F40" i="6"/>
  <c r="B24" i="63"/>
  <c r="C24" i="63" s="1"/>
  <c r="B13" i="80"/>
  <c r="C13" i="80" s="1"/>
  <c r="E13" i="80" s="1"/>
  <c r="C57" i="20"/>
  <c r="F51" i="73" s="1"/>
  <c r="B74" i="20"/>
  <c r="C77" i="73"/>
  <c r="D42" i="72"/>
  <c r="D48" i="72"/>
  <c r="D49" i="72" s="1"/>
  <c r="D82" i="80" s="1"/>
  <c r="D47" i="2"/>
  <c r="D48" i="2" s="1"/>
  <c r="J40" i="2"/>
  <c r="B43" i="80"/>
  <c r="C43" i="80" s="1"/>
  <c r="E43" i="80" s="1"/>
  <c r="D52" i="88"/>
  <c r="B15" i="63"/>
  <c r="C15" i="63" s="1"/>
  <c r="F41" i="18"/>
  <c r="F43" i="18" s="1"/>
  <c r="B47" i="80"/>
  <c r="C47" i="80" s="1"/>
  <c r="E47" i="80" s="1"/>
  <c r="B17" i="63"/>
  <c r="C17" i="63" s="1"/>
  <c r="D21" i="8"/>
  <c r="D25" i="8" s="1"/>
  <c r="F45" i="11"/>
  <c r="D39" i="77"/>
  <c r="D41" i="77" s="1"/>
  <c r="B31" i="80"/>
  <c r="C31" i="80" s="1"/>
  <c r="E31" i="80" s="1"/>
  <c r="B11" i="63"/>
  <c r="C11" i="63" s="1"/>
  <c r="C133" i="15"/>
  <c r="D17" i="80"/>
  <c r="B22" i="80"/>
  <c r="C22" i="80" s="1"/>
  <c r="E22" i="80" s="1"/>
  <c r="B50" i="63"/>
  <c r="C50" i="63" s="1"/>
  <c r="B42" i="63"/>
  <c r="B16" i="80"/>
  <c r="C16" i="80" s="1"/>
  <c r="E16" i="80" s="1"/>
  <c r="D31" i="78"/>
  <c r="F103" i="15"/>
  <c r="C103" i="15" s="1"/>
  <c r="B73" i="20"/>
  <c r="C78" i="73"/>
  <c r="D39" i="74"/>
  <c r="D41" i="74" s="1"/>
  <c r="K19" i="74"/>
  <c r="L19" i="74" s="1"/>
  <c r="L24" i="74" s="1"/>
  <c r="L26" i="74" s="1"/>
  <c r="E37" i="73"/>
  <c r="E38" i="73" s="1"/>
  <c r="C38" i="73"/>
  <c r="C40" i="73" s="1"/>
  <c r="B38" i="80"/>
  <c r="C38" i="80" s="1"/>
  <c r="E38" i="80" s="1"/>
  <c r="B13" i="63"/>
  <c r="C13" i="63" s="1"/>
  <c r="D20" i="65"/>
  <c r="D24" i="65" s="1"/>
  <c r="B36" i="80"/>
  <c r="C36" i="80" s="1"/>
  <c r="E36" i="80" s="1"/>
  <c r="B30" i="63"/>
  <c r="C30" i="63" s="1"/>
  <c r="B44" i="80"/>
  <c r="C44" i="80" s="1"/>
  <c r="E44" i="80" s="1"/>
  <c r="D51" i="92"/>
  <c r="B20" i="63"/>
  <c r="C20" i="63" s="1"/>
  <c r="AI6" i="7"/>
  <c r="AH7" i="7"/>
  <c r="B40" i="80"/>
  <c r="C40" i="80" s="1"/>
  <c r="E40" i="80" s="1"/>
  <c r="B33" i="63"/>
  <c r="C33" i="63" s="1"/>
  <c r="B39" i="80"/>
  <c r="C39" i="80" s="1"/>
  <c r="E39" i="80" s="1"/>
  <c r="B49" i="63"/>
  <c r="C49" i="63" s="1"/>
  <c r="B32" i="80"/>
  <c r="C32" i="80" s="1"/>
  <c r="E32" i="80" s="1"/>
  <c r="B26" i="63"/>
  <c r="C26" i="63" s="1"/>
  <c r="C19" i="63"/>
  <c r="B19" i="63" s="1"/>
  <c r="B83" i="80"/>
  <c r="C83" i="80" s="1"/>
  <c r="E83" i="80" s="1"/>
  <c r="B33" i="80"/>
  <c r="C33" i="80" s="1"/>
  <c r="E33" i="80" s="1"/>
  <c r="B8" i="63"/>
  <c r="D33" i="64"/>
  <c r="C79" i="73"/>
  <c r="B72" i="20"/>
  <c r="D40" i="12"/>
  <c r="D46" i="12"/>
  <c r="D47" i="12" s="1"/>
  <c r="D74" i="80" s="1"/>
  <c r="B46" i="80"/>
  <c r="C46" i="80" s="1"/>
  <c r="E46" i="80" s="1"/>
  <c r="B22" i="63"/>
  <c r="C22" i="63" s="1"/>
  <c r="B27" i="80"/>
  <c r="C27" i="80" s="1"/>
  <c r="E27" i="80" s="1"/>
  <c r="B9" i="63"/>
  <c r="C9" i="63" s="1"/>
  <c r="F46" i="11"/>
  <c r="D75" i="80" s="1"/>
  <c r="E75" i="80" s="1"/>
  <c r="D68" i="80"/>
  <c r="H38" i="67"/>
  <c r="D44" i="67"/>
  <c r="D45" i="67" s="1"/>
  <c r="D80" i="80" s="1"/>
  <c r="D84" i="80" s="1"/>
  <c r="B35" i="80"/>
  <c r="C35" i="80" s="1"/>
  <c r="E35" i="80" s="1"/>
  <c r="B31" i="63"/>
  <c r="C31" i="63" s="1"/>
  <c r="B45" i="80"/>
  <c r="C45" i="80" s="1"/>
  <c r="E45" i="80" s="1"/>
  <c r="B21" i="63"/>
  <c r="C21" i="63" s="1"/>
  <c r="AH20" i="7"/>
  <c r="AI19" i="7"/>
  <c r="D41" i="81"/>
  <c r="D46" i="81"/>
  <c r="D47" i="81" s="1"/>
  <c r="D81" i="80" s="1"/>
  <c r="C47" i="63"/>
  <c r="B47" i="63" s="1"/>
  <c r="B76" i="80"/>
  <c r="C76" i="80" s="1"/>
  <c r="E76" i="80" s="1"/>
  <c r="D41" i="19"/>
  <c r="D43" i="19" s="1"/>
  <c r="F39" i="22"/>
  <c r="F41" i="22" s="1"/>
  <c r="B68" i="80"/>
  <c r="C68" i="80" s="1"/>
  <c r="E68" i="80" s="1"/>
  <c r="B18" i="63"/>
  <c r="B41" i="80"/>
  <c r="C41" i="80" s="1"/>
  <c r="E41" i="80" s="1"/>
  <c r="B35" i="63"/>
  <c r="C35" i="63" s="1"/>
  <c r="D40" i="68"/>
  <c r="D46" i="68"/>
  <c r="D47" i="68" s="1"/>
  <c r="D66" i="80" s="1"/>
  <c r="C78" i="20"/>
  <c r="C83" i="20" s="1"/>
  <c r="K36" i="73"/>
  <c r="K49" i="73" s="1"/>
  <c r="I62" i="20" s="1"/>
  <c r="B74" i="73"/>
  <c r="B81" i="73" s="1"/>
  <c r="M51" i="73"/>
  <c r="F45" i="15"/>
  <c r="D51" i="15"/>
  <c r="D52" i="15" s="1"/>
  <c r="B14" i="80"/>
  <c r="C14" i="80" s="1"/>
  <c r="E14" i="80" s="1"/>
  <c r="B51" i="63"/>
  <c r="C51" i="63" s="1"/>
  <c r="F39" i="87"/>
  <c r="F41" i="87" s="1"/>
  <c r="C69" i="80"/>
  <c r="E69" i="80" s="1"/>
  <c r="D39" i="89"/>
  <c r="D41" i="89" s="1"/>
  <c r="J37" i="70"/>
  <c r="J41" i="70" s="1"/>
  <c r="B42" i="80" l="1"/>
  <c r="C42" i="80" s="1"/>
  <c r="E42" i="80" s="1"/>
  <c r="B45" i="63"/>
  <c r="C45" i="63" s="1"/>
  <c r="B32" i="63"/>
  <c r="C32" i="63" s="1"/>
  <c r="B20" i="80"/>
  <c r="F38" i="73"/>
  <c r="E40" i="73"/>
  <c r="C42" i="63"/>
  <c r="N13" i="63"/>
  <c r="B15" i="80"/>
  <c r="C15" i="80" s="1"/>
  <c r="E15" i="80" s="1"/>
  <c r="B43" i="63"/>
  <c r="C43" i="63" s="1"/>
  <c r="D70" i="80"/>
  <c r="C8" i="63"/>
  <c r="B12" i="80"/>
  <c r="B52" i="63"/>
  <c r="C52" i="63" s="1"/>
  <c r="C21" i="80"/>
  <c r="C29" i="63"/>
  <c r="B29" i="63" s="1"/>
  <c r="B73" i="80"/>
  <c r="C16" i="63"/>
  <c r="B16" i="63" s="1"/>
  <c r="F37" i="73"/>
  <c r="AI7" i="7"/>
  <c r="AH8" i="7"/>
  <c r="B26" i="80"/>
  <c r="B27" i="63"/>
  <c r="C27" i="63" s="1"/>
  <c r="D36" i="8"/>
  <c r="B14" i="63"/>
  <c r="C14" i="63" s="1"/>
  <c r="B48" i="80"/>
  <c r="C48" i="80" s="1"/>
  <c r="E48" i="80" s="1"/>
  <c r="C48" i="63"/>
  <c r="B48" i="63" s="1"/>
  <c r="B67" i="80"/>
  <c r="C67" i="80" s="1"/>
  <c r="E67" i="80" s="1"/>
  <c r="B29" i="80"/>
  <c r="C29" i="80" s="1"/>
  <c r="E29" i="80" s="1"/>
  <c r="B10" i="63"/>
  <c r="C10" i="63" s="1"/>
  <c r="B77" i="20"/>
  <c r="C73" i="73"/>
  <c r="D73" i="80"/>
  <c r="D77" i="80" s="1"/>
  <c r="F53" i="15"/>
  <c r="B34" i="80"/>
  <c r="C34" i="80" s="1"/>
  <c r="E34" i="80" s="1"/>
  <c r="B37" i="63"/>
  <c r="C37" i="63" s="1"/>
  <c r="B81" i="80"/>
  <c r="C81" i="80" s="1"/>
  <c r="E81" i="80" s="1"/>
  <c r="C23" i="63"/>
  <c r="B23" i="63" s="1"/>
  <c r="B66" i="80"/>
  <c r="C38" i="63"/>
  <c r="B38" i="63" s="1"/>
  <c r="M53" i="73"/>
  <c r="B37" i="80"/>
  <c r="C37" i="80" s="1"/>
  <c r="E37" i="80" s="1"/>
  <c r="B44" i="63"/>
  <c r="C44" i="63" s="1"/>
  <c r="B80" i="80"/>
  <c r="C25" i="63"/>
  <c r="B25" i="63" s="1"/>
  <c r="B74" i="80"/>
  <c r="C74" i="80" s="1"/>
  <c r="E74" i="80" s="1"/>
  <c r="C36" i="63"/>
  <c r="B36" i="63" s="1"/>
  <c r="B82" i="80"/>
  <c r="C82" i="80" s="1"/>
  <c r="E82" i="80" s="1"/>
  <c r="C28" i="63"/>
  <c r="B28" i="63" s="1"/>
  <c r="B39" i="63" s="1"/>
  <c r="AI20" i="7"/>
  <c r="AH21" i="7"/>
  <c r="AI21" i="7" s="1"/>
  <c r="B28" i="80"/>
  <c r="C28" i="80" s="1"/>
  <c r="E28" i="80" s="1"/>
  <c r="B12" i="63"/>
  <c r="C12" i="63" s="1"/>
  <c r="C80" i="80" l="1"/>
  <c r="B84" i="80"/>
  <c r="C39" i="63"/>
  <c r="F40" i="73"/>
  <c r="F49" i="73" s="1"/>
  <c r="C74" i="73"/>
  <c r="B78" i="20"/>
  <c r="B83" i="20" s="1"/>
  <c r="B46" i="63" s="1"/>
  <c r="C73" i="80"/>
  <c r="B77" i="80"/>
  <c r="D86" i="80"/>
  <c r="C81" i="73"/>
  <c r="C82" i="73" s="1"/>
  <c r="B23" i="80"/>
  <c r="C20" i="80"/>
  <c r="C66" i="80"/>
  <c r="B70" i="80"/>
  <c r="B86" i="80" s="1"/>
  <c r="B21" i="80"/>
  <c r="D21" i="80"/>
  <c r="E21" i="80"/>
  <c r="C26" i="80"/>
  <c r="AH9" i="7"/>
  <c r="AI8" i="7"/>
  <c r="C12" i="80"/>
  <c r="B17" i="80"/>
  <c r="E73" i="80" l="1"/>
  <c r="E77" i="80" s="1"/>
  <c r="C77" i="80"/>
  <c r="E66" i="80"/>
  <c r="C70" i="80"/>
  <c r="C86" i="80" s="1"/>
  <c r="E20" i="80"/>
  <c r="E23" i="80" s="1"/>
  <c r="C23" i="80"/>
  <c r="C61" i="20"/>
  <c r="C62" i="20" s="1"/>
  <c r="F53" i="73"/>
  <c r="E26" i="80"/>
  <c r="B30" i="80"/>
  <c r="C46" i="63"/>
  <c r="C53" i="63" s="1"/>
  <c r="C55" i="63" s="1"/>
  <c r="B53" i="63"/>
  <c r="B55" i="63" s="1"/>
  <c r="AH10" i="7"/>
  <c r="AI9" i="7"/>
  <c r="D23" i="80"/>
  <c r="D51" i="80" s="1"/>
  <c r="C17" i="80"/>
  <c r="E12" i="80"/>
  <c r="E80" i="80"/>
  <c r="E84" i="80" s="1"/>
  <c r="C84" i="80"/>
  <c r="B89" i="80" l="1"/>
  <c r="E17" i="80"/>
  <c r="AI10" i="7"/>
  <c r="AH11" i="7"/>
  <c r="C30" i="80"/>
  <c r="B49" i="80"/>
  <c r="B51" i="80"/>
  <c r="E70" i="80"/>
  <c r="E86" i="80" s="1"/>
  <c r="E30" i="80" l="1"/>
  <c r="C49" i="80"/>
  <c r="AI11" i="7"/>
  <c r="AH12" i="7"/>
  <c r="C51" i="80"/>
  <c r="B90" i="80" s="1"/>
  <c r="AH13" i="7" l="1"/>
  <c r="AI12" i="7"/>
  <c r="E51" i="80"/>
  <c r="E49" i="80"/>
  <c r="AH14" i="7" l="1"/>
  <c r="AI13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<sst xmlns="http://schemas.openxmlformats.org/spreadsheetml/2006/main" count="1016" uniqueCount="325">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</sst>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2.39</v>
          </cell>
          <cell r="K39">
            <v>2.36</v>
          </cell>
          <cell r="M39">
            <v>2.38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3" workbookViewId="0">
      <selection activeCell="B31" sqref="B31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2.36</v>
      </c>
      <c r="H3" s="401">
        <f ca="1">NOW()</f>
        <v>41887.501036574075</v>
      </c>
    </row>
    <row r="4" spans="1:32" ht="12.95" customHeight="1" x14ac:dyDescent="0.2">
      <c r="A4" s="34" t="s">
        <v>144</v>
      </c>
      <c r="C4" s="34" t="s">
        <v>5</v>
      </c>
      <c r="D4" s="7"/>
      <c r="F4" s="384" t="s">
        <v>30</v>
      </c>
      <c r="G4" s="386">
        <f>+summary!G4</f>
        <v>2.38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2.39</v>
      </c>
      <c r="H5" s="209" t="s">
        <v>314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9" t="s">
        <v>162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154</v>
      </c>
    </row>
    <row r="12" spans="1:32" ht="13.5" customHeight="1" outlineLevel="1" x14ac:dyDescent="0.2">
      <c r="A12" s="499" t="s">
        <v>127</v>
      </c>
      <c r="B12" s="605">
        <f>+Calpine!D41</f>
        <v>-7539.3</v>
      </c>
      <c r="C12" s="368">
        <f>+B12/$G$4</f>
        <v>-3167.7731092436975</v>
      </c>
      <c r="D12" s="14">
        <f>+Calpine!D47</f>
        <v>92184</v>
      </c>
      <c r="E12" s="70">
        <f>+C12-D12</f>
        <v>-95351.773109243702</v>
      </c>
      <c r="F12" s="363">
        <f>+Calpine!A41</f>
        <v>37321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605">
        <f>+'Citizens-Griffith'!D41</f>
        <v>50304.28</v>
      </c>
      <c r="C13" s="367">
        <f>+B13/$G$4</f>
        <v>21136.252100840338</v>
      </c>
      <c r="D13" s="14">
        <f>+'Citizens-Griffith'!D48</f>
        <v>28211</v>
      </c>
      <c r="E13" s="70">
        <f>+C13-D13</f>
        <v>-7074.7478991596618</v>
      </c>
      <c r="F13" s="363">
        <f>+'Citizens-Griffith'!A41</f>
        <v>37321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611">
        <f>+SWGasTrans!D41</f>
        <v>-8827.56</v>
      </c>
      <c r="C14" s="367">
        <f>+B14/G4</f>
        <v>-3709.0588235294117</v>
      </c>
      <c r="D14" s="14">
        <f>+SWGasTrans!$D$48</f>
        <v>8527</v>
      </c>
      <c r="E14" s="70">
        <f>+C14-D14</f>
        <v>-12236.058823529413</v>
      </c>
      <c r="F14" s="363">
        <f>+SWGasTrans!A41</f>
        <v>37321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-251172.06</v>
      </c>
      <c r="C15" s="367">
        <f>+B15/$G$4</f>
        <v>-105534.47899159664</v>
      </c>
      <c r="D15" s="14">
        <f>+'NS Steel'!D50</f>
        <v>5237</v>
      </c>
      <c r="E15" s="70">
        <f>+C15-D15</f>
        <v>-110771.47899159664</v>
      </c>
      <c r="F15" s="364">
        <f>+'NS Steel'!A41</f>
        <v>37322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9" t="s">
        <v>135</v>
      </c>
      <c r="B16" s="348">
        <f>+Citizens!D18</f>
        <v>-580667.57999999996</v>
      </c>
      <c r="C16" s="369">
        <f>+B16/$G$4</f>
        <v>-243977.97478991596</v>
      </c>
      <c r="D16" s="349">
        <f>+Citizens!D24</f>
        <v>-57154</v>
      </c>
      <c r="E16" s="72">
        <f>+C16-D16</f>
        <v>-186823.97478991596</v>
      </c>
      <c r="F16" s="363">
        <f>+Citizens!A18</f>
        <v>37321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7">
        <f>SUBTOTAL(9,B12:B16)</f>
        <v>-797902.22</v>
      </c>
      <c r="C17" s="392">
        <f>SUBTOTAL(9,C12:C16)</f>
        <v>-335253.03361344535</v>
      </c>
      <c r="D17" s="393">
        <f>SUBTOTAL(9,D12:D16)</f>
        <v>77005</v>
      </c>
      <c r="E17" s="394">
        <f>SUBTOTAL(9,E12:E16)</f>
        <v>-412258.03361344535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610">
        <f>+transcol!$D$43</f>
        <v>20279.22</v>
      </c>
      <c r="C20" s="367">
        <f>+B20/$G$4</f>
        <v>8520.6806722689089</v>
      </c>
      <c r="D20" s="14">
        <f>+transcol!D50</f>
        <v>-46071</v>
      </c>
      <c r="E20" s="70">
        <f>+C20-D20</f>
        <v>54591.680672268907</v>
      </c>
      <c r="F20" s="364">
        <f>+transcol!A43</f>
        <v>37320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9" t="s">
        <v>288</v>
      </c>
      <c r="B21" s="610">
        <f>+C21*G3</f>
        <v>27090.44</v>
      </c>
      <c r="C21" s="367">
        <f>+williams!J40</f>
        <v>11479</v>
      </c>
      <c r="D21" s="14">
        <f>+C21</f>
        <v>11479</v>
      </c>
      <c r="E21" s="70">
        <f>+C21-D21</f>
        <v>0</v>
      </c>
      <c r="F21" s="364">
        <f>+williams!A40</f>
        <v>37321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9" t="s">
        <v>95</v>
      </c>
      <c r="B22" s="612">
        <f>+burlington!D42</f>
        <v>-16942.2</v>
      </c>
      <c r="C22" s="371">
        <f>+B22/$G$3</f>
        <v>-7178.8983050847464</v>
      </c>
      <c r="D22" s="349">
        <f>+burlington!D49</f>
        <v>-8300</v>
      </c>
      <c r="E22" s="72">
        <f>+C22-D22</f>
        <v>1121.1016949152536</v>
      </c>
      <c r="F22" s="363">
        <f>+burlington!A42</f>
        <v>37322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7">
        <f>SUBTOTAL(9,B20:B22)</f>
        <v>30427.460000000003</v>
      </c>
      <c r="C23" s="388">
        <f>SUBTOTAL(9,C20:C22)</f>
        <v>12820.782367184162</v>
      </c>
      <c r="D23" s="393">
        <f>SUBTOTAL(9,D20:D22)</f>
        <v>-42892</v>
      </c>
      <c r="E23" s="394">
        <f>SUBTOTAL(9,E20:E22)</f>
        <v>55712.782367184162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499" t="s">
        <v>87</v>
      </c>
      <c r="B26" s="614">
        <f>+NNG!$D$24</f>
        <v>45184.38</v>
      </c>
      <c r="C26" s="367">
        <f>+B26/$G$4</f>
        <v>18985.033613445379</v>
      </c>
      <c r="D26" s="14">
        <f>+NNG!D34</f>
        <v>20159</v>
      </c>
      <c r="E26" s="70">
        <f t="shared" ref="E26:E48" si="0">+C26-D26</f>
        <v>-1173.9663865546208</v>
      </c>
      <c r="F26" s="363">
        <f>+NNG!A24</f>
        <v>37320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614">
        <f>+Conoco!$F$41</f>
        <v>442904.39</v>
      </c>
      <c r="C27" s="367">
        <f>+B27/$G$4</f>
        <v>186094.28151260506</v>
      </c>
      <c r="D27" s="14">
        <f>+Conoco!D48</f>
        <v>12358</v>
      </c>
      <c r="E27" s="70">
        <f t="shared" si="0"/>
        <v>173736.28151260506</v>
      </c>
      <c r="F27" s="363">
        <f>+Conoco!A41</f>
        <v>37322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614">
        <f>+'Amoco Abo'!$F$43</f>
        <v>224623.63</v>
      </c>
      <c r="C28" s="367">
        <f>+B28/$G$4</f>
        <v>94379.676470588238</v>
      </c>
      <c r="D28" s="14">
        <f>+'Amoco Abo'!D49</f>
        <v>-336539</v>
      </c>
      <c r="E28" s="70">
        <f t="shared" si="0"/>
        <v>430918.67647058825</v>
      </c>
      <c r="F28" s="364">
        <f>+'Amoco Abo'!A43</f>
        <v>37321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614">
        <f>+KN_Westar!F41</f>
        <v>328750.86</v>
      </c>
      <c r="C29" s="367">
        <f>+B29/$G$4</f>
        <v>138130.61344537814</v>
      </c>
      <c r="D29" s="14">
        <f>+KN_Westar!D48</f>
        <v>-38076</v>
      </c>
      <c r="E29" s="70">
        <f t="shared" si="0"/>
        <v>176206.61344537814</v>
      </c>
      <c r="F29" s="364">
        <f>+KN_Westar!A41</f>
        <v>37317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9" t="s">
        <v>246</v>
      </c>
      <c r="B30" s="605">
        <f>+summary!$B$46</f>
        <v>-85558.260000000009</v>
      </c>
      <c r="C30" s="368">
        <f>+B30/$G$5</f>
        <v>-35798.435146443517</v>
      </c>
      <c r="D30" s="14">
        <f>+DEFS!$I$36+DEFS!$J$36+DEFS!$K$45+DEFS!$K$46+DEFS!$K$47+DEFS!$K$48+Duke!I53+Duke!I54+Duke!F40+Duke!G40+Duke!H40</f>
        <v>286033</v>
      </c>
      <c r="E30" s="70">
        <f t="shared" si="0"/>
        <v>-321831.43514644355</v>
      </c>
      <c r="F30" s="364">
        <f>+DEFS!A40</f>
        <v>37321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605">
        <f>+mewborne!$J$43</f>
        <v>319338.12</v>
      </c>
      <c r="C31" s="367">
        <f>+B31/$G$4</f>
        <v>134175.68067226891</v>
      </c>
      <c r="D31" s="14">
        <f>+mewborne!D49</f>
        <v>124954</v>
      </c>
      <c r="E31" s="70">
        <f t="shared" si="0"/>
        <v>9221.6806722689071</v>
      </c>
      <c r="F31" s="364">
        <f>+mewborne!A43</f>
        <v>37321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8">
        <f>+PGETX!$H$39</f>
        <v>47856.06</v>
      </c>
      <c r="C32" s="367">
        <f>+B32/$G$4</f>
        <v>20107.588235294119</v>
      </c>
      <c r="D32" s="14">
        <f>+PGETX!E48</f>
        <v>49823</v>
      </c>
      <c r="E32" s="70">
        <f t="shared" si="0"/>
        <v>-29715.411764705881</v>
      </c>
      <c r="F32" s="364">
        <f>+PGETX!E39</f>
        <v>37321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605">
        <f>+PNM!$D$23</f>
        <v>791886.01</v>
      </c>
      <c r="C33" s="367">
        <f>+B33/$G$4</f>
        <v>332725.21428571432</v>
      </c>
      <c r="D33" s="14">
        <f>+PNM!D30</f>
        <v>321658</v>
      </c>
      <c r="E33" s="70">
        <f t="shared" si="0"/>
        <v>11067.214285714319</v>
      </c>
      <c r="F33" s="364">
        <f>+PNM!A23</f>
        <v>37321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614">
        <f>+EOG!J41</f>
        <v>2147.0800000000017</v>
      </c>
      <c r="C34" s="367">
        <f>+B34/$G$4</f>
        <v>902.13445378151334</v>
      </c>
      <c r="D34" s="14">
        <f>+EOG!D48</f>
        <v>-124943</v>
      </c>
      <c r="E34" s="70">
        <f t="shared" si="0"/>
        <v>125845.13445378152</v>
      </c>
      <c r="F34" s="363">
        <f>+EOG!A41</f>
        <v>37320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614">
        <f>+Oasis!D40</f>
        <v>20752.86</v>
      </c>
      <c r="C35" s="367">
        <f>+B35/G5</f>
        <v>8683.2050209205026</v>
      </c>
      <c r="D35" s="14">
        <f>+Oasis!D47</f>
        <v>7673</v>
      </c>
      <c r="E35" s="70">
        <f>+C35-D35</f>
        <v>1010.2050209205026</v>
      </c>
      <c r="F35" s="363">
        <f>+Oasis!A40</f>
        <v>37321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614">
        <f>+SidR!D41</f>
        <v>23161.360000000001</v>
      </c>
      <c r="C36" s="367">
        <f>+B36/$G$5</f>
        <v>9690.9456066945604</v>
      </c>
      <c r="D36" s="14">
        <f>+SidR!D48</f>
        <v>10000</v>
      </c>
      <c r="E36" s="70">
        <f t="shared" si="0"/>
        <v>-309.05439330543959</v>
      </c>
      <c r="F36" s="364">
        <f>+SidR!A41</f>
        <v>37321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9" t="s">
        <v>256</v>
      </c>
      <c r="B37" s="611">
        <f>+MiVida_Rich!D41</f>
        <v>-191635</v>
      </c>
      <c r="C37" s="367">
        <f>+B37/$G$5</f>
        <v>-80182.008368200826</v>
      </c>
      <c r="D37" s="14">
        <f>+MiVida_Rich!D48</f>
        <v>-45642</v>
      </c>
      <c r="E37" s="70">
        <f>+C37-D37</f>
        <v>-34540.008368200826</v>
      </c>
      <c r="F37" s="364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605">
        <f>+Dominion!D41</f>
        <v>171110.45</v>
      </c>
      <c r="C38" s="367">
        <f>+B38/$G$5</f>
        <v>71594.330543933058</v>
      </c>
      <c r="D38" s="14">
        <f>+Dominion!D48</f>
        <v>74791</v>
      </c>
      <c r="E38" s="70">
        <f t="shared" si="0"/>
        <v>-3196.6694560669421</v>
      </c>
      <c r="F38" s="364">
        <f>+Dominion!A41</f>
        <v>37321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611">
        <f>+WTGmktg!J43</f>
        <v>-19693.54</v>
      </c>
      <c r="C39" s="367">
        <f>+B39/$G$4</f>
        <v>-8274.5966386554628</v>
      </c>
      <c r="D39" s="14">
        <f>+WTGmktg!D50</f>
        <v>3615</v>
      </c>
      <c r="E39" s="70">
        <f t="shared" si="0"/>
        <v>-11889.596638655463</v>
      </c>
      <c r="F39" s="364">
        <f>+WTGmktg!A43</f>
        <v>37320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5">
        <f>+'WTG inc'!N43</f>
        <v>19485.84</v>
      </c>
      <c r="C40" s="367">
        <f>+B40/G4</f>
        <v>8187.3277310924377</v>
      </c>
      <c r="D40" s="14">
        <f>+'WTG inc'!D50</f>
        <v>5934</v>
      </c>
      <c r="E40" s="70">
        <f>+C40-D40</f>
        <v>2253.3277310924377</v>
      </c>
      <c r="F40" s="364">
        <f>+'WTG inc'!A43</f>
        <v>37320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611">
        <f>+Devon!D41</f>
        <v>6517.05</v>
      </c>
      <c r="C41" s="367">
        <f>+B41/$G$5</f>
        <v>2726.7991631799164</v>
      </c>
      <c r="D41" s="14">
        <f>+Devon!D48</f>
        <v>2782</v>
      </c>
      <c r="E41" s="70">
        <f t="shared" si="0"/>
        <v>-55.200836820083623</v>
      </c>
      <c r="F41" s="364">
        <f>+Devon!A41</f>
        <v>37321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5">
        <f>+crosstex!F41</f>
        <v>-122402.58</v>
      </c>
      <c r="C42" s="367">
        <f>+B42/$G$4</f>
        <v>-51429.655462184877</v>
      </c>
      <c r="D42" s="14">
        <f>+crosstex!D48</f>
        <v>-35558</v>
      </c>
      <c r="E42" s="70">
        <f t="shared" si="0"/>
        <v>-15871.655462184877</v>
      </c>
      <c r="F42" s="364">
        <f>+crosstex!A41</f>
        <v>37321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605">
        <f>+Amarillo!P41</f>
        <v>151725.76000000001</v>
      </c>
      <c r="C43" s="367">
        <f>+B43/$G$4</f>
        <v>63750.3193277311</v>
      </c>
      <c r="D43" s="14">
        <f>+Amarillo!D48</f>
        <v>65867</v>
      </c>
      <c r="E43" s="70">
        <f t="shared" si="0"/>
        <v>-2116.6806722688998</v>
      </c>
      <c r="F43" s="364">
        <f>+Amarillo!A41</f>
        <v>37321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605">
        <f>+Stratland!$D$41</f>
        <v>69866</v>
      </c>
      <c r="C44" s="368">
        <f>+B44/$G$4</f>
        <v>29355.462184873952</v>
      </c>
      <c r="D44" s="14">
        <f>+Stratland!D48</f>
        <v>27486</v>
      </c>
      <c r="E44" s="70">
        <f>+C44-D44</f>
        <v>1869.4621848739516</v>
      </c>
      <c r="F44" s="363">
        <f>+Stratland!A41</f>
        <v>37315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605">
        <f>+Plains!$N$43</f>
        <v>68162</v>
      </c>
      <c r="C45" s="608">
        <f>+B45/$G$4</f>
        <v>28639.495798319331</v>
      </c>
      <c r="D45" s="14">
        <f>+Plains!D50</f>
        <v>24616</v>
      </c>
      <c r="E45" s="70">
        <f>+C45-D45</f>
        <v>4023.4957983193308</v>
      </c>
      <c r="F45" s="363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605">
        <f>+Continental!F43</f>
        <v>51607.56</v>
      </c>
      <c r="C46" s="368">
        <f>+B46/$G$4</f>
        <v>21683.848739495799</v>
      </c>
      <c r="D46" s="14">
        <f>+Continental!D50</f>
        <v>8656</v>
      </c>
      <c r="E46" s="70">
        <f t="shared" si="0"/>
        <v>13027.848739495799</v>
      </c>
      <c r="F46" s="364">
        <f>+Continental!A43</f>
        <v>37322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605">
        <f>+EPFS!D41</f>
        <v>78316.160000000003</v>
      </c>
      <c r="C47" s="368">
        <f>+B47/$G$5</f>
        <v>32768.267782426781</v>
      </c>
      <c r="D47" s="14">
        <f>+EPFS!D47</f>
        <v>83919</v>
      </c>
      <c r="E47" s="70">
        <f t="shared" si="0"/>
        <v>-51150.732217573219</v>
      </c>
      <c r="F47" s="363">
        <f>+EPFS!A41</f>
        <v>37321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9" t="s">
        <v>79</v>
      </c>
      <c r="B48" s="607">
        <f>+Agave!$D$25</f>
        <v>164493.89000000001</v>
      </c>
      <c r="C48" s="369">
        <f>+B48/$G$4</f>
        <v>69115.079831932788</v>
      </c>
      <c r="D48" s="349">
        <f>+Agave!D31</f>
        <v>86948</v>
      </c>
      <c r="E48" s="72">
        <f t="shared" si="0"/>
        <v>-17832.920168067212</v>
      </c>
      <c r="F48" s="363">
        <f>+Agave!A25</f>
        <v>37321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7">
        <f>SUBTOTAL(9,B26:B48)</f>
        <v>2608600.08</v>
      </c>
      <c r="C49" s="392">
        <f>SUBTOTAL(9,C26:C48)</f>
        <v>1096010.6088041915</v>
      </c>
      <c r="D49" s="393">
        <f>SUBTOTAL(9,D26:D48)</f>
        <v>636514</v>
      </c>
      <c r="E49" s="394">
        <f>SUBTOTAL(9,E26:E48)</f>
        <v>459496.60880419123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7">
        <f>SUBTOTAL(9,B12:B48)</f>
        <v>1841125.3200000003</v>
      </c>
      <c r="C51" s="392">
        <f>SUBTOTAL(9,C12:C48)</f>
        <v>773578.35755793029</v>
      </c>
      <c r="D51" s="393">
        <f>SUBTOTAL(9,D12:D48)</f>
        <v>670627</v>
      </c>
      <c r="E51" s="394">
        <f>SUBTOTAL(9,E12:E48)</f>
        <v>102951.35755792999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+summary!G3</f>
        <v>2.36</v>
      </c>
      <c r="H57" s="401">
        <f ca="1">NOW()</f>
        <v>41887.501036574075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4" t="s">
        <v>30</v>
      </c>
      <c r="G58" s="386">
        <f>+summary!G4</f>
        <v>2.38</v>
      </c>
      <c r="H58" s="32"/>
    </row>
    <row r="59" spans="1:19" ht="13.5" customHeight="1" outlineLevel="1" x14ac:dyDescent="0.2">
      <c r="D59" s="7"/>
      <c r="F59" s="383" t="s">
        <v>117</v>
      </c>
      <c r="G59" s="386">
        <f>+summary!G5</f>
        <v>2.39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163</v>
      </c>
      <c r="B61" s="400"/>
      <c r="E61" s="12" t="s">
        <v>196</v>
      </c>
    </row>
    <row r="62" spans="1:19" ht="13.5" customHeight="1" outlineLevel="2" x14ac:dyDescent="0.2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0">
        <f>+Mojave!D40</f>
        <v>570</v>
      </c>
      <c r="C66" s="605">
        <f>+B66*$I$5</f>
        <v>1311</v>
      </c>
      <c r="D66" s="47">
        <f>+Mojave!D47</f>
        <v>1356.6</v>
      </c>
      <c r="E66" s="47">
        <f>+C66-D66</f>
        <v>-45.599999999999909</v>
      </c>
      <c r="F66" s="364">
        <f>+Mojave!A40</f>
        <v>37321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-11253</v>
      </c>
      <c r="C67" s="605">
        <f>+B67*$G$4</f>
        <v>-26782.14</v>
      </c>
      <c r="D67" s="47">
        <f>+SoCal!D47</f>
        <v>63931.98000000001</v>
      </c>
      <c r="E67" s="47">
        <f>+C67-D67</f>
        <v>-90714.12000000001</v>
      </c>
      <c r="F67" s="364">
        <f>+SoCal!A40</f>
        <v>37322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7">
        <f>+'El Paso'!C39</f>
        <v>64269</v>
      </c>
      <c r="C68" s="605">
        <f>+B68*$G$4</f>
        <v>152960.22</v>
      </c>
      <c r="D68" s="47">
        <f>+'El Paso'!C46</f>
        <v>-1582961.01</v>
      </c>
      <c r="E68" s="47">
        <f>+C68-D68</f>
        <v>1735921.23</v>
      </c>
      <c r="F68" s="364">
        <f>+'El Paso'!A39</f>
        <v>37321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7342</v>
      </c>
      <c r="C69" s="607">
        <f>+B69*$G$4</f>
        <v>17473.96</v>
      </c>
      <c r="D69" s="348">
        <f>+'PG&amp;E'!D47</f>
        <v>-188254.38</v>
      </c>
      <c r="E69" s="348">
        <f>+C69-D69</f>
        <v>205728.34</v>
      </c>
      <c r="F69" s="364">
        <f>+'PG&amp;E'!A40</f>
        <v>37321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2">
        <f>SUBTOTAL(9,B66:B69)</f>
        <v>60928</v>
      </c>
      <c r="C70" s="387">
        <f>SUBTOTAL(9,C66:C69)</f>
        <v>144963.04</v>
      </c>
      <c r="D70" s="387">
        <f>SUBTOTAL(9,D66:D69)</f>
        <v>-1705926.81</v>
      </c>
      <c r="E70" s="387">
        <f>SUBTOTAL(9,E66:E69)</f>
        <v>1850889.85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51147</v>
      </c>
      <c r="C73" s="606">
        <f>+B73*G57</f>
        <v>120706.92</v>
      </c>
      <c r="D73" s="200">
        <f>+'Red C'!D52</f>
        <v>450444.04</v>
      </c>
      <c r="E73" s="47">
        <f>+C73-D73</f>
        <v>-329737.12</v>
      </c>
      <c r="F73" s="363">
        <f>+'Red C'!A45</f>
        <v>37322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7">
        <f>+Amoco!D40</f>
        <v>2730</v>
      </c>
      <c r="C74" s="611">
        <f>+B74*$G$3</f>
        <v>6442.7999999999993</v>
      </c>
      <c r="D74" s="47">
        <f>+Amoco!D47</f>
        <v>341548.4</v>
      </c>
      <c r="E74" s="47">
        <f>+C74-D74</f>
        <v>-335105.60000000003</v>
      </c>
      <c r="F74" s="364">
        <f>+Amoco!A40</f>
        <v>37320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7">
        <f>+'El Paso'!E39</f>
        <v>-32094</v>
      </c>
      <c r="C75" s="605">
        <f>+B75*$G$3</f>
        <v>-75741.84</v>
      </c>
      <c r="D75" s="47">
        <f>+'El Paso'!F46</f>
        <v>-657254.01</v>
      </c>
      <c r="E75" s="47">
        <f>+C75-D75</f>
        <v>581512.17000000004</v>
      </c>
      <c r="F75" s="364">
        <f>+'El Paso'!A39</f>
        <v>37321</v>
      </c>
      <c r="G75" s="419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-12289</v>
      </c>
      <c r="C76" s="612">
        <f>+B76*$G$3</f>
        <v>-29002.039999999997</v>
      </c>
      <c r="D76" s="348">
        <f>+NW!E49</f>
        <v>-484680</v>
      </c>
      <c r="E76" s="348">
        <f>+C76-D76</f>
        <v>455677.96</v>
      </c>
      <c r="F76" s="363">
        <f>+NW!B41</f>
        <v>37321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2">
        <f>SUBTOTAL(9,B73:B76)</f>
        <v>9494</v>
      </c>
      <c r="C77" s="387">
        <f>SUBTOTAL(9,C73:C76)</f>
        <v>22405.840000000007</v>
      </c>
      <c r="D77" s="387">
        <f>SUBTOTAL(9,D73:D76)</f>
        <v>-349941.57000000007</v>
      </c>
      <c r="E77" s="387">
        <f>SUBTOTAL(9,E73:E76)</f>
        <v>372347.41000000009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158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21020</v>
      </c>
      <c r="C80" s="605">
        <f>+B80*$G$5</f>
        <v>50237.8</v>
      </c>
      <c r="D80" s="47">
        <f>+NGPL!D45</f>
        <v>87644.62</v>
      </c>
      <c r="E80" s="47">
        <f>+C80-D80</f>
        <v>-37406.819999999992</v>
      </c>
      <c r="F80" s="364">
        <f>+NGPL!A38</f>
        <v>37322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21494</v>
      </c>
      <c r="C81" s="606">
        <f>+B81*$G$4</f>
        <v>51155.72</v>
      </c>
      <c r="D81" s="47">
        <f>+PEPL!D47</f>
        <v>195241.22</v>
      </c>
      <c r="E81" s="47">
        <f>+C81-D81</f>
        <v>-144085.5</v>
      </c>
      <c r="F81" s="364">
        <f>+PEPL!A41</f>
        <v>37321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606">
        <f>+B82*$G$4</f>
        <v>41857.06</v>
      </c>
      <c r="D82" s="200">
        <f>+CIG!D49</f>
        <v>385897</v>
      </c>
      <c r="E82" s="70">
        <f>+C82-D82</f>
        <v>-344039.94</v>
      </c>
      <c r="F82" s="364">
        <f>+CIG!A42</f>
        <v>37318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1">
        <f>+Lonestar!F43</f>
        <v>31749</v>
      </c>
      <c r="C83" s="607">
        <f>+B83*G59</f>
        <v>75880.11</v>
      </c>
      <c r="D83" s="348">
        <f>+Lonestar!D50</f>
        <v>68997.960000000006</v>
      </c>
      <c r="E83" s="348">
        <f>+C83-D83</f>
        <v>6882.1499999999942</v>
      </c>
      <c r="F83" s="363">
        <f>+Lonestar!A43</f>
        <v>37321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8">
        <f>SUBTOTAL(9,B80:B83)</f>
        <v>91850</v>
      </c>
      <c r="C84" s="387">
        <f>SUBTOTAL(9,C80:C83)</f>
        <v>219130.69</v>
      </c>
      <c r="D84" s="387">
        <f>SUBTOTAL(9,D80:D83)</f>
        <v>737780.79999999993</v>
      </c>
      <c r="E84" s="387">
        <f>SUBTOTAL(9,E80:E83)</f>
        <v>-518650.11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8">
        <f>SUBTOTAL(9,B66:B83)</f>
        <v>162272</v>
      </c>
      <c r="C86" s="387">
        <f>SUBTOTAL(9,C66:C83)</f>
        <v>386499.57</v>
      </c>
      <c r="D86" s="387">
        <f>SUBTOTAL(9,D66:D83)</f>
        <v>-1318087.5799999998</v>
      </c>
      <c r="E86" s="387">
        <f>SUBTOTAL(9,E66:E83)</f>
        <v>1704587.15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5">
        <f>+C86+B51</f>
        <v>2227624.89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935850.35755793029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" workbookViewId="0">
      <selection activeCell="B11" sqref="B11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152938</v>
      </c>
      <c r="C6" s="410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163609</v>
      </c>
      <c r="C7" s="410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163015</v>
      </c>
      <c r="C8" s="410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165365</v>
      </c>
      <c r="C9" s="410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155694</v>
      </c>
      <c r="C10" s="410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/>
      <c r="C11" s="410"/>
      <c r="D11" s="307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/>
      <c r="C12" s="410"/>
      <c r="D12" s="307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/>
      <c r="C13" s="410"/>
      <c r="D13" s="307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/>
      <c r="C14" s="410"/>
      <c r="D14" s="307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/>
      <c r="C15" s="410"/>
      <c r="D15" s="307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/>
      <c r="C16" s="410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/>
      <c r="C17" s="410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1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1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1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1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1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1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800621</v>
      </c>
      <c r="C37" s="410">
        <f>SUM(C6:C36)</f>
        <v>802586</v>
      </c>
      <c r="D37" s="410">
        <f>SUM(D6:D36)</f>
        <v>1965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4"/>
      <c r="D39" s="486">
        <v>765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37320</v>
      </c>
      <c r="B40" s="285"/>
      <c r="C40" s="435"/>
      <c r="D40" s="307">
        <f>+D39+D37</f>
        <v>2730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7">
        <v>336911</v>
      </c>
    </row>
    <row r="46" spans="1:16" x14ac:dyDescent="0.2">
      <c r="A46" s="49">
        <f>+A40</f>
        <v>37320</v>
      </c>
      <c r="B46" s="32"/>
      <c r="C46" s="32"/>
      <c r="D46" s="374">
        <f>+D37*'by type_area'!G3</f>
        <v>4637.3999999999996</v>
      </c>
    </row>
    <row r="47" spans="1:16" x14ac:dyDescent="0.2">
      <c r="A47" s="32"/>
      <c r="B47" s="32"/>
      <c r="C47" s="32"/>
      <c r="D47" s="200">
        <f>+D46+D45</f>
        <v>341548.4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3" sqref="C33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/>
      <c r="C11" s="24"/>
      <c r="D11" s="24">
        <f t="shared" si="0"/>
        <v>0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/>
      <c r="C12" s="51"/>
      <c r="D12" s="24">
        <f t="shared" si="0"/>
        <v>0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-242594</v>
      </c>
      <c r="C36" s="24">
        <f>SUM(C5:C35)</f>
        <v>-241020</v>
      </c>
      <c r="D36" s="24">
        <f t="shared" si="0"/>
        <v>1574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2.39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3761.86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490">
        <v>16991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37321</v>
      </c>
      <c r="B40"/>
      <c r="C40" s="48"/>
      <c r="D40" s="138">
        <f>+D39+D38</f>
        <v>20752.86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485">
        <v>6099</v>
      </c>
    </row>
    <row r="46" spans="1:65" x14ac:dyDescent="0.2">
      <c r="A46" s="49">
        <f>+A40</f>
        <v>37321</v>
      </c>
      <c r="B46" s="32"/>
      <c r="C46" s="32"/>
      <c r="D46" s="349">
        <f>+D36</f>
        <v>1574</v>
      </c>
    </row>
    <row r="47" spans="1:65" x14ac:dyDescent="0.2">
      <c r="A47" s="32"/>
      <c r="B47" s="32"/>
      <c r="C47" s="32"/>
      <c r="D47" s="14">
        <f>+D46+D45</f>
        <v>7673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6" workbookViewId="0">
      <selection activeCell="C32" sqref="C32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158542+31247</f>
        <v>189789</v>
      </c>
      <c r="C5" s="90">
        <v>202751</v>
      </c>
      <c r="D5" s="90">
        <f t="shared" ref="D5:D18" si="0">+C5-B5</f>
        <v>12962</v>
      </c>
      <c r="E5" s="275"/>
      <c r="F5" s="273"/>
    </row>
    <row r="6" spans="1:13" x14ac:dyDescent="0.2">
      <c r="A6" s="87">
        <v>78311</v>
      </c>
      <c r="B6" s="90">
        <f>112107+26994</f>
        <v>139101</v>
      </c>
      <c r="C6" s="90">
        <v>136000</v>
      </c>
      <c r="D6" s="90">
        <f t="shared" si="0"/>
        <v>-3101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f>2354+93</f>
        <v>2447</v>
      </c>
      <c r="C7" s="90"/>
      <c r="D7" s="90">
        <f t="shared" si="0"/>
        <v>-2447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f>146482+32635</f>
        <v>179117</v>
      </c>
      <c r="C8" s="90">
        <v>203752</v>
      </c>
      <c r="D8" s="90">
        <f t="shared" si="0"/>
        <v>24635</v>
      </c>
      <c r="E8" s="455"/>
      <c r="F8" s="273"/>
    </row>
    <row r="9" spans="1:13" x14ac:dyDescent="0.2">
      <c r="A9" s="87">
        <v>500239</v>
      </c>
      <c r="B9" s="90">
        <f>152252+39863+38239</f>
        <v>230354</v>
      </c>
      <c r="C9" s="90">
        <v>202246</v>
      </c>
      <c r="D9" s="90">
        <f t="shared" si="0"/>
        <v>-28108</v>
      </c>
      <c r="E9" s="275"/>
      <c r="F9" s="273"/>
    </row>
    <row r="10" spans="1:13" x14ac:dyDescent="0.2">
      <c r="A10" s="87">
        <v>500293</v>
      </c>
      <c r="B10" s="90">
        <f>76176+15824</f>
        <v>92000</v>
      </c>
      <c r="C10" s="90">
        <v>121590</v>
      </c>
      <c r="D10" s="90">
        <f t="shared" si="0"/>
        <v>29590</v>
      </c>
      <c r="E10" s="275"/>
      <c r="F10" s="273"/>
    </row>
    <row r="11" spans="1:13" x14ac:dyDescent="0.2">
      <c r="A11" s="87">
        <v>500302</v>
      </c>
      <c r="B11" s="90"/>
      <c r="C11" s="305">
        <v>1878</v>
      </c>
      <c r="D11" s="90">
        <f t="shared" si="0"/>
        <v>1878</v>
      </c>
      <c r="E11" s="275"/>
      <c r="F11" s="273"/>
    </row>
    <row r="12" spans="1:13" x14ac:dyDescent="0.2">
      <c r="A12" s="87">
        <v>500303</v>
      </c>
      <c r="B12" s="90"/>
      <c r="C12" s="305">
        <v>5814</v>
      </c>
      <c r="D12" s="90">
        <f t="shared" si="0"/>
        <v>5814</v>
      </c>
      <c r="E12" s="276"/>
      <c r="F12" s="465"/>
      <c r="G12" s="90"/>
    </row>
    <row r="13" spans="1:13" x14ac:dyDescent="0.2">
      <c r="A13" s="91">
        <v>500305</v>
      </c>
      <c r="B13" s="90">
        <f>180806+47693+48614</f>
        <v>277113</v>
      </c>
      <c r="C13" s="90">
        <v>316965</v>
      </c>
      <c r="D13" s="90">
        <f t="shared" si="0"/>
        <v>39852</v>
      </c>
      <c r="E13" s="275"/>
      <c r="F13" s="273"/>
    </row>
    <row r="14" spans="1:13" x14ac:dyDescent="0.2">
      <c r="A14" s="87">
        <v>500307</v>
      </c>
      <c r="B14" s="90">
        <f>11635+2708+2975</f>
        <v>17318</v>
      </c>
      <c r="C14" s="90">
        <v>12768</v>
      </c>
      <c r="D14" s="90">
        <f t="shared" si="0"/>
        <v>-4550</v>
      </c>
      <c r="E14" s="275"/>
      <c r="F14" s="273"/>
    </row>
    <row r="15" spans="1:13" x14ac:dyDescent="0.2">
      <c r="A15" s="87">
        <v>500313</v>
      </c>
      <c r="B15" s="90"/>
      <c r="C15" s="90">
        <v>606</v>
      </c>
      <c r="D15" s="90">
        <f t="shared" si="0"/>
        <v>606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f>38888+8000</f>
        <v>46888</v>
      </c>
      <c r="C17" s="90"/>
      <c r="D17" s="90">
        <f t="shared" si="0"/>
        <v>-46888</v>
      </c>
      <c r="E17" s="275"/>
      <c r="F17" s="273"/>
      <c r="G17" s="557"/>
    </row>
    <row r="18" spans="1:7" x14ac:dyDescent="0.2">
      <c r="A18" s="87">
        <v>500657</v>
      </c>
      <c r="B18" s="88">
        <f>21116+3780</f>
        <v>24896</v>
      </c>
      <c r="C18" s="88">
        <v>23750</v>
      </c>
      <c r="D18" s="94">
        <f t="shared" si="0"/>
        <v>-1146</v>
      </c>
      <c r="E18" s="275"/>
      <c r="F18" s="465"/>
    </row>
    <row r="19" spans="1:7" x14ac:dyDescent="0.2">
      <c r="A19" s="87"/>
      <c r="B19" s="88"/>
      <c r="C19" s="88"/>
      <c r="D19" s="88">
        <f>SUM(D5:D18)</f>
        <v>29097</v>
      </c>
      <c r="E19" s="277"/>
      <c r="F19" s="465"/>
    </row>
    <row r="20" spans="1:7" x14ac:dyDescent="0.2">
      <c r="A20" s="87" t="s">
        <v>81</v>
      </c>
      <c r="B20" s="88"/>
      <c r="C20" s="88"/>
      <c r="D20" s="95">
        <f>+summary!G5</f>
        <v>2.39</v>
      </c>
      <c r="E20" s="207"/>
      <c r="F20" s="465"/>
    </row>
    <row r="21" spans="1:7" x14ac:dyDescent="0.2">
      <c r="A21" s="87"/>
      <c r="B21" s="88"/>
      <c r="C21" s="88"/>
      <c r="D21" s="96">
        <f>+D20*D19</f>
        <v>69541.83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6"/>
    </row>
    <row r="23" spans="1:7" x14ac:dyDescent="0.2">
      <c r="A23" s="99">
        <v>37315</v>
      </c>
      <c r="B23" s="88"/>
      <c r="C23" s="88"/>
      <c r="D23" s="582">
        <v>94952.06</v>
      </c>
      <c r="E23" s="207"/>
      <c r="F23" s="466"/>
    </row>
    <row r="24" spans="1:7" x14ac:dyDescent="0.2">
      <c r="A24" s="87"/>
      <c r="B24" s="88"/>
      <c r="C24" s="88"/>
      <c r="D24" s="308"/>
      <c r="E24" s="207"/>
      <c r="F24" s="466"/>
    </row>
    <row r="25" spans="1:7" ht="13.5" thickBot="1" x14ac:dyDescent="0.25">
      <c r="A25" s="99">
        <v>37321</v>
      </c>
      <c r="B25" s="88"/>
      <c r="C25" s="88"/>
      <c r="D25" s="318">
        <f>+D23+D21</f>
        <v>164493.89000000001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4"/>
    </row>
    <row r="29" spans="1:7" x14ac:dyDescent="0.2">
      <c r="A29" s="49">
        <f>+A23</f>
        <v>37315</v>
      </c>
      <c r="B29" s="32"/>
      <c r="C29" s="32"/>
      <c r="D29" s="567">
        <v>57851</v>
      </c>
    </row>
    <row r="30" spans="1:7" x14ac:dyDescent="0.2">
      <c r="A30" s="49">
        <f>+A25</f>
        <v>37321</v>
      </c>
      <c r="B30" s="32"/>
      <c r="C30" s="32"/>
      <c r="D30" s="349">
        <f>+D19</f>
        <v>29097</v>
      </c>
    </row>
    <row r="31" spans="1:7" x14ac:dyDescent="0.2">
      <c r="A31" s="32"/>
      <c r="B31" s="32"/>
      <c r="C31" s="32"/>
      <c r="D31" s="14">
        <f>+D30+D29</f>
        <v>86948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1.891865137783503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38" sqref="C38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/>
      <c r="C11" s="11"/>
      <c r="D11" s="11"/>
      <c r="E11" s="11"/>
      <c r="F11" s="25">
        <f>+E11+C11-D11-B11</f>
        <v>0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/>
      <c r="C12" s="11"/>
      <c r="D12" s="11"/>
      <c r="E12" s="11"/>
      <c r="F12" s="25">
        <f>+E12+C12-D12-B12</f>
        <v>0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/>
      <c r="C13" s="11"/>
      <c r="D13" s="129"/>
      <c r="E13" s="11"/>
      <c r="F13" s="25">
        <f t="shared" si="2"/>
        <v>0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190263</v>
      </c>
      <c r="C35" s="11">
        <f>SUM(C4:C34)</f>
        <v>168870</v>
      </c>
      <c r="D35" s="11">
        <f>SUM(D4:D34)</f>
        <v>180506</v>
      </c>
      <c r="E35" s="11">
        <f>SUM(E4:E34)</f>
        <v>180359</v>
      </c>
      <c r="F35" s="11">
        <f>+E35-D35+C35-B35</f>
        <v>-21540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2.38</v>
      </c>
    </row>
    <row r="38" spans="1:7" x14ac:dyDescent="0.2">
      <c r="C38" s="48"/>
      <c r="D38" s="47"/>
      <c r="E38" s="48"/>
      <c r="F38" s="46">
        <f>+F37*F35</f>
        <v>-51265.2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494169.59</v>
      </c>
      <c r="G40" s="25"/>
    </row>
    <row r="41" spans="1:7" x14ac:dyDescent="0.2">
      <c r="A41" s="57">
        <v>37322</v>
      </c>
      <c r="C41" s="106"/>
      <c r="D41" s="106"/>
      <c r="E41" s="106"/>
      <c r="F41" s="106">
        <f>+F38+F40</f>
        <v>442904.39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33898</v>
      </c>
      <c r="E46" s="11"/>
      <c r="F46" s="11"/>
      <c r="G46" s="25"/>
    </row>
    <row r="47" spans="1:7" x14ac:dyDescent="0.2">
      <c r="A47" s="49">
        <f>+A41</f>
        <v>37322</v>
      </c>
      <c r="D47" s="349">
        <f>+F35</f>
        <v>-21540</v>
      </c>
      <c r="E47" s="11"/>
      <c r="F47" s="11"/>
      <c r="G47" s="25"/>
    </row>
    <row r="48" spans="1:7" x14ac:dyDescent="0.2">
      <c r="D48" s="14">
        <f>+D47+D46</f>
        <v>12358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F33" sqref="F3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2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/>
      <c r="C12" s="11"/>
      <c r="D12" s="11"/>
      <c r="E12" s="11"/>
      <c r="F12" s="11">
        <f t="shared" si="2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2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1002733</v>
      </c>
      <c r="C36" s="11">
        <f>SUM(C5:C35)</f>
        <v>1049463</v>
      </c>
      <c r="D36" s="11">
        <f>SUM(D5:D35)</f>
        <v>0</v>
      </c>
      <c r="E36" s="11">
        <f>SUM(E5:E35)</f>
        <v>-42880</v>
      </c>
      <c r="F36" s="11">
        <f>SUM(F5:F35)</f>
        <v>3850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72"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37321</v>
      </c>
      <c r="F41" s="332">
        <f>+F39+F36</f>
        <v>-12289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74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37321</v>
      </c>
      <c r="C48" s="32"/>
      <c r="D48" s="32"/>
      <c r="E48" s="374">
        <f>+F36*'by type_area'!G3</f>
        <v>9086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-484680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C36" sqref="C36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448004</v>
      </c>
      <c r="C39" s="11">
        <f>SUM(C8:C38)</f>
        <v>447473</v>
      </c>
      <c r="D39" s="11">
        <f>SUM(D8:D38)</f>
        <v>-531</v>
      </c>
      <c r="E39" s="10"/>
      <c r="F39" s="11"/>
      <c r="G39" s="11"/>
      <c r="H39" s="11"/>
    </row>
    <row r="40" spans="1:8" x14ac:dyDescent="0.2">
      <c r="A40" s="26"/>
      <c r="D40" s="75">
        <f>+summary!G4</f>
        <v>2.38</v>
      </c>
      <c r="E40" s="26"/>
      <c r="H40" s="75"/>
    </row>
    <row r="41" spans="1:8" x14ac:dyDescent="0.2">
      <c r="D41" s="195">
        <f>+D40*D39</f>
        <v>-1263.78</v>
      </c>
      <c r="F41" s="247"/>
      <c r="H41" s="195"/>
    </row>
    <row r="42" spans="1:8" x14ac:dyDescent="0.2">
      <c r="A42" s="57">
        <v>37315</v>
      </c>
      <c r="D42" s="596">
        <v>21543</v>
      </c>
      <c r="E42" s="57"/>
      <c r="H42" s="195"/>
    </row>
    <row r="43" spans="1:8" x14ac:dyDescent="0.2">
      <c r="A43" s="57">
        <v>37320</v>
      </c>
      <c r="D43" s="196">
        <f>+D42+D41</f>
        <v>20279.22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591">
        <v>-45540</v>
      </c>
    </row>
    <row r="49" spans="1:4" x14ac:dyDescent="0.2">
      <c r="A49" s="49">
        <f>+A43</f>
        <v>37320</v>
      </c>
      <c r="B49" s="32"/>
      <c r="C49" s="32"/>
      <c r="D49" s="349">
        <f>+D39</f>
        <v>-531</v>
      </c>
    </row>
    <row r="50" spans="1:4" x14ac:dyDescent="0.2">
      <c r="A50" s="32"/>
      <c r="B50" s="32"/>
      <c r="C50" s="32"/>
      <c r="D50" s="14">
        <f>+D49+D48</f>
        <v>-46071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7" workbookViewId="0">
      <selection activeCell="A8" sqref="A8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583">
        <v>1494053.52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37321</v>
      </c>
      <c r="I7" s="3" t="s">
        <v>254</v>
      </c>
      <c r="J7" s="15"/>
    </row>
    <row r="8" spans="1:14" x14ac:dyDescent="0.2">
      <c r="A8" s="248">
        <v>50895</v>
      </c>
      <c r="B8" s="339">
        <f>996-975</f>
        <v>21</v>
      </c>
      <c r="J8" s="15"/>
    </row>
    <row r="9" spans="1:14" x14ac:dyDescent="0.2">
      <c r="A9" s="248">
        <v>60874</v>
      </c>
      <c r="B9" s="339">
        <v>612</v>
      </c>
      <c r="J9" s="15"/>
    </row>
    <row r="10" spans="1:14" x14ac:dyDescent="0.2">
      <c r="A10" s="248">
        <v>78169</v>
      </c>
      <c r="B10" s="339">
        <f>135517-65179-29359-31294</f>
        <v>9685</v>
      </c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0">
        <f>+C40</f>
        <v>863787.94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2512-2972</f>
        <v>-460</v>
      </c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718-223</f>
        <v>495</v>
      </c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2990-2775</f>
        <v>215</v>
      </c>
      <c r="I15" s="87"/>
      <c r="J15" s="445">
        <f>SUM(J11:J14)</f>
        <v>1236163.17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233267-152471-48937-17721</f>
        <v>14138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24705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2.39</v>
      </c>
      <c r="C19" s="199">
        <f>+B19*B18</f>
        <v>59044.950000000004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1553098.47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37315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2.38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37315</v>
      </c>
      <c r="F38" s="591">
        <v>360991</v>
      </c>
      <c r="G38" s="443">
        <v>117857</v>
      </c>
      <c r="H38" s="591">
        <v>197167</v>
      </c>
      <c r="I38" s="14"/>
    </row>
    <row r="39" spans="1:9" x14ac:dyDescent="0.2">
      <c r="E39" s="49">
        <f>+A7</f>
        <v>37321</v>
      </c>
      <c r="F39" s="349">
        <f>+B18</f>
        <v>24705</v>
      </c>
      <c r="G39" s="349">
        <f>+B31</f>
        <v>0</v>
      </c>
      <c r="H39" s="349">
        <f>+B46</f>
        <v>538</v>
      </c>
      <c r="I39" s="14"/>
    </row>
    <row r="40" spans="1:9" x14ac:dyDescent="0.2">
      <c r="A40" s="49">
        <v>37315</v>
      </c>
      <c r="C40" s="602">
        <v>863787.94</v>
      </c>
      <c r="F40" s="14">
        <f>+F39+F38</f>
        <v>385696</v>
      </c>
      <c r="G40" s="14">
        <f>+G39+G38</f>
        <v>117857</v>
      </c>
      <c r="H40" s="14">
        <f>+H39+H38</f>
        <v>197705</v>
      </c>
      <c r="I40" s="14">
        <f>+H40+G40+F40</f>
        <v>701258</v>
      </c>
    </row>
    <row r="41" spans="1:9" x14ac:dyDescent="0.2">
      <c r="G41" s="32"/>
      <c r="H41" s="15"/>
      <c r="I41" s="32"/>
    </row>
    <row r="42" spans="1:9" x14ac:dyDescent="0.2">
      <c r="A42" s="245">
        <v>37321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80"/>
      <c r="I44" s="14"/>
    </row>
    <row r="45" spans="1:9" x14ac:dyDescent="0.2">
      <c r="A45" s="32">
        <v>500392</v>
      </c>
      <c r="B45" s="250">
        <v>538</v>
      </c>
      <c r="G45" s="32"/>
      <c r="H45" s="380"/>
      <c r="I45" s="14"/>
    </row>
    <row r="46" spans="1:9" x14ac:dyDescent="0.2">
      <c r="B46" s="14">
        <f>SUM(B43:B45)</f>
        <v>538</v>
      </c>
      <c r="G46" s="32"/>
      <c r="H46" s="380"/>
      <c r="I46" s="14"/>
    </row>
    <row r="47" spans="1:9" x14ac:dyDescent="0.2">
      <c r="B47" s="199">
        <f>+summary!G5</f>
        <v>2.39</v>
      </c>
      <c r="C47" s="199">
        <f>+B47*B46</f>
        <v>1285.8200000000002</v>
      </c>
      <c r="H47" s="380"/>
      <c r="I47" s="14"/>
    </row>
    <row r="48" spans="1:9" x14ac:dyDescent="0.2">
      <c r="C48" s="321">
        <f>+C47+C40</f>
        <v>865073.75999999989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2790543.38</v>
      </c>
      <c r="I57" s="14">
        <f>SUM(I40:I54)</f>
        <v>756591</v>
      </c>
    </row>
    <row r="61" spans="1:9" x14ac:dyDescent="0.2">
      <c r="C61" s="15">
        <f>+DEFS!F49</f>
        <v>-2876101.64</v>
      </c>
    </row>
    <row r="62" spans="1:9" x14ac:dyDescent="0.2">
      <c r="C62" s="15">
        <f>+C61+C57</f>
        <v>-85558.260000000242</v>
      </c>
      <c r="I62" s="31">
        <f>+I57+DEFS!K49</f>
        <v>286033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1553098.47</v>
      </c>
      <c r="C72" s="14">
        <f>+F40</f>
        <v>385696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865073.75999999989</v>
      </c>
      <c r="C74" s="14">
        <f>+H40</f>
        <v>197705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-1043741.0499999999</v>
      </c>
      <c r="C77" s="14">
        <f>+DEFS!I36</f>
        <v>-187463</v>
      </c>
      <c r="D77" s="16"/>
    </row>
    <row r="78" spans="1:4" x14ac:dyDescent="0.2">
      <c r="A78" s="32">
        <v>22051</v>
      </c>
      <c r="B78" s="15">
        <f>+DEFS!E40</f>
        <v>-659990.06000000006</v>
      </c>
      <c r="C78" s="14">
        <f>+DEFS!J36</f>
        <v>-169893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-85558.260000000009</v>
      </c>
      <c r="C83" s="16">
        <f>SUM(C72:C82)</f>
        <v>286033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47" workbookViewId="0">
      <selection activeCell="B56" sqref="B5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/>
      <c r="E10" s="11"/>
      <c r="F10" s="11">
        <f t="shared" si="0"/>
        <v>0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/>
      <c r="E11" s="11"/>
      <c r="F11" s="11">
        <f t="shared" si="0"/>
        <v>0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567">
        <v>-183967</v>
      </c>
      <c r="J34" s="567">
        <v>-164539</v>
      </c>
      <c r="K34" s="14"/>
      <c r="L34" s="14"/>
    </row>
    <row r="35" spans="1:13" x14ac:dyDescent="0.2">
      <c r="A35" s="10"/>
      <c r="B35" s="11">
        <f>SUM(B4:B34)</f>
        <v>3496</v>
      </c>
      <c r="C35" s="11">
        <f>SUM(C4:C34)</f>
        <v>0</v>
      </c>
      <c r="D35" s="11">
        <f>SUM(D4:D34)</f>
        <v>208126</v>
      </c>
      <c r="E35" s="11">
        <f>SUM(E4:E34)</f>
        <v>202772</v>
      </c>
      <c r="F35" s="11">
        <f>SUM(F4:F34)</f>
        <v>-8850</v>
      </c>
      <c r="G35" s="11"/>
      <c r="H35" s="49">
        <f>+A40</f>
        <v>37321</v>
      </c>
      <c r="I35" s="349">
        <f>+C36</f>
        <v>-3496</v>
      </c>
      <c r="J35" s="349">
        <f>+E36</f>
        <v>-5354</v>
      </c>
      <c r="K35" s="206"/>
      <c r="L35" s="14"/>
    </row>
    <row r="36" spans="1:13" x14ac:dyDescent="0.2">
      <c r="C36" s="25">
        <f>+C35-B35</f>
        <v>-3496</v>
      </c>
      <c r="E36" s="25">
        <f>+E35-D35</f>
        <v>-5354</v>
      </c>
      <c r="F36" s="25">
        <f>+E36+C36</f>
        <v>-8850</v>
      </c>
      <c r="H36" s="32"/>
      <c r="I36" s="14">
        <f>+I35+I34</f>
        <v>-187463</v>
      </c>
      <c r="J36" s="14">
        <f>+J35+J34</f>
        <v>-169893</v>
      </c>
      <c r="K36" s="14">
        <f>+J36+I36</f>
        <v>-357356</v>
      </c>
      <c r="L36" s="14"/>
    </row>
    <row r="37" spans="1:13" x14ac:dyDescent="0.2">
      <c r="C37" s="313">
        <f>+summary!G5</f>
        <v>2.39</v>
      </c>
      <c r="E37" s="104">
        <f>+C37</f>
        <v>2.39</v>
      </c>
      <c r="F37" s="138">
        <f>+F36*E37</f>
        <v>-21151.5</v>
      </c>
    </row>
    <row r="38" spans="1:13" x14ac:dyDescent="0.2">
      <c r="C38" s="138">
        <f>+C37*C36</f>
        <v>-8355.44</v>
      </c>
      <c r="E38" s="136">
        <f>+E37*E36</f>
        <v>-12796.060000000001</v>
      </c>
      <c r="F38" s="138">
        <f>+E38+C38</f>
        <v>-21151.5</v>
      </c>
    </row>
    <row r="39" spans="1:13" x14ac:dyDescent="0.2">
      <c r="A39" s="57">
        <v>37315</v>
      </c>
      <c r="B39" s="2" t="s">
        <v>45</v>
      </c>
      <c r="C39" s="586">
        <v>-1035385.61</v>
      </c>
      <c r="D39" s="320"/>
      <c r="E39" s="573">
        <v>-647194</v>
      </c>
      <c r="F39" s="319">
        <f>+E39+C39</f>
        <v>-1682579.6099999999</v>
      </c>
    </row>
    <row r="40" spans="1:13" x14ac:dyDescent="0.2">
      <c r="A40" s="57">
        <v>37321</v>
      </c>
      <c r="B40" s="2" t="s">
        <v>45</v>
      </c>
      <c r="C40" s="314">
        <f>+C39+C38</f>
        <v>-1043741.0499999999</v>
      </c>
      <c r="D40" s="252"/>
      <c r="E40" s="314">
        <f>+E39+E38</f>
        <v>-659990.06000000006</v>
      </c>
      <c r="F40" s="314">
        <f>+E40+C40</f>
        <v>-1703731.1099999999</v>
      </c>
      <c r="H40" s="131"/>
    </row>
    <row r="41" spans="1:13" x14ac:dyDescent="0.2">
      <c r="C41" s="329"/>
      <c r="D41" s="246"/>
      <c r="E41" s="246"/>
      <c r="H41" s="31">
        <f>+C39+E39+F45+F46+F47+F48</f>
        <v>-2854950.14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4"/>
    </row>
    <row r="44" spans="1:13" x14ac:dyDescent="0.2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">
      <c r="C49" s="246"/>
      <c r="D49" s="246"/>
      <c r="F49" s="330">
        <f>SUM(F40:F48)</f>
        <v>-2876101.64</v>
      </c>
      <c r="G49" s="246"/>
      <c r="K49" s="14">
        <f>SUM(K36:K48)</f>
        <v>-470558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2790543.38</v>
      </c>
      <c r="M51" s="14">
        <f>+Duke!I57</f>
        <v>756591</v>
      </c>
    </row>
    <row r="53" spans="3:13" x14ac:dyDescent="0.2">
      <c r="F53" s="104">
        <f>+F51+F49</f>
        <v>-85558.260000000242</v>
      </c>
      <c r="M53" s="16">
        <f>+M51+K49</f>
        <v>286033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-187463</v>
      </c>
      <c r="C73" s="247">
        <f>+C40</f>
        <v>-1043741.0499999999</v>
      </c>
    </row>
    <row r="74" spans="1:3" x14ac:dyDescent="0.2">
      <c r="A74">
        <v>22051</v>
      </c>
      <c r="B74" s="31">
        <f>+J36</f>
        <v>-169893</v>
      </c>
      <c r="C74" s="247">
        <f>+E40</f>
        <v>-659990.06000000006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197705</v>
      </c>
      <c r="C77" s="259">
        <f>+Duke!C48</f>
        <v>865073.75999999989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385696</v>
      </c>
      <c r="C79" s="259">
        <f>+Duke!C20</f>
        <v>1553098.47</v>
      </c>
    </row>
    <row r="81" spans="2:3" x14ac:dyDescent="0.2">
      <c r="B81" s="31">
        <f>SUM(B68:B80)</f>
        <v>286033</v>
      </c>
      <c r="C81" s="259">
        <f>SUM(C68:C80)</f>
        <v>-85558.260000000242</v>
      </c>
    </row>
    <row r="82" spans="2:3" x14ac:dyDescent="0.2">
      <c r="C82">
        <f>+C81/B81</f>
        <v>-0.29912024137075177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4" workbookViewId="0">
      <selection activeCell="C35" sqref="C35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5536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791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5611</v>
      </c>
      <c r="C13" s="11">
        <v>5714</v>
      </c>
      <c r="D13" s="11"/>
      <c r="E13" s="11"/>
      <c r="F13" s="129">
        <v>811</v>
      </c>
      <c r="G13" s="11">
        <v>901</v>
      </c>
      <c r="H13" s="11">
        <v>1387</v>
      </c>
      <c r="I13" s="11">
        <v>1247</v>
      </c>
      <c r="J13" s="25">
        <f t="shared" si="0"/>
        <v>53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29"/>
      <c r="G14" s="11"/>
      <c r="H14" s="11"/>
      <c r="I14" s="129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29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31261</v>
      </c>
      <c r="C39" s="11">
        <f t="shared" si="1"/>
        <v>31974</v>
      </c>
      <c r="D39" s="11">
        <f t="shared" si="1"/>
        <v>2</v>
      </c>
      <c r="E39" s="11">
        <f t="shared" si="1"/>
        <v>0</v>
      </c>
      <c r="F39" s="129">
        <f t="shared" si="1"/>
        <v>4905</v>
      </c>
      <c r="G39" s="11">
        <f t="shared" si="1"/>
        <v>5406</v>
      </c>
      <c r="H39" s="11">
        <f t="shared" si="1"/>
        <v>8170</v>
      </c>
      <c r="I39" s="11">
        <f t="shared" si="1"/>
        <v>7482</v>
      </c>
      <c r="J39" s="25">
        <f t="shared" si="1"/>
        <v>524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2.38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1247.1199999999999</v>
      </c>
      <c r="L41"/>
      <c r="R41" s="138"/>
      <c r="X41" s="138"/>
    </row>
    <row r="42" spans="1:24" x14ac:dyDescent="0.2">
      <c r="A42" s="57">
        <v>37315</v>
      </c>
      <c r="C42" s="15"/>
      <c r="J42" s="570">
        <v>318091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37321</v>
      </c>
      <c r="C43" s="48"/>
      <c r="J43" s="138">
        <f>+J42+J41</f>
        <v>319338.12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67">
        <v>124430</v>
      </c>
      <c r="L47"/>
    </row>
    <row r="48" spans="1:24" x14ac:dyDescent="0.2">
      <c r="A48" s="49">
        <f>+A43</f>
        <v>37321</v>
      </c>
      <c r="B48" s="32"/>
      <c r="C48" s="32"/>
      <c r="D48" s="349">
        <f>+J39</f>
        <v>524</v>
      </c>
      <c r="L48"/>
    </row>
    <row r="49" spans="1:12" x14ac:dyDescent="0.2">
      <c r="A49" s="32"/>
      <c r="B49" s="32"/>
      <c r="C49" s="32"/>
      <c r="D49" s="14">
        <f>+D48+D47</f>
        <v>124954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9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>
        <v>13</v>
      </c>
      <c r="C8" s="410"/>
      <c r="D8" s="410">
        <v>-666</v>
      </c>
      <c r="E8" s="410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>
        <v>12</v>
      </c>
      <c r="C9" s="410"/>
      <c r="D9" s="410">
        <v>-3300</v>
      </c>
      <c r="E9" s="410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-3941</v>
      </c>
      <c r="E10" s="410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-3861</v>
      </c>
      <c r="E11" s="410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-3809</v>
      </c>
      <c r="E12" s="410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-3888</v>
      </c>
      <c r="E13" s="410"/>
      <c r="F13" s="307">
        <f t="shared" si="0"/>
        <v>3888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/>
      <c r="E14" s="410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/>
      <c r="E15" s="410"/>
      <c r="F15" s="307">
        <f t="shared" si="0"/>
        <v>0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/>
      <c r="E16" s="410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/>
      <c r="E17" s="410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/>
      <c r="E18" s="410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25</v>
      </c>
      <c r="C39" s="410">
        <f>SUM(C8:C38)</f>
        <v>0</v>
      </c>
      <c r="D39" s="410">
        <f>SUM(D8:D38)</f>
        <v>-19465</v>
      </c>
      <c r="E39" s="410">
        <f>SUM(E8:E38)</f>
        <v>0</v>
      </c>
      <c r="F39" s="410">
        <f>SUM(F8:F38)</f>
        <v>19440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2.38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46267.199999999997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4"/>
      <c r="D42" s="434"/>
      <c r="E42" s="434"/>
      <c r="F42" s="563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37321</v>
      </c>
      <c r="B43" s="285"/>
      <c r="C43" s="435"/>
      <c r="D43" s="435"/>
      <c r="E43" s="435"/>
      <c r="F43" s="416">
        <f>+F42+F41</f>
        <v>224623.63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5">
        <v>-355979</v>
      </c>
      <c r="E47" s="11"/>
    </row>
    <row r="48" spans="1:26" x14ac:dyDescent="0.2">
      <c r="A48" s="49">
        <f>+A43</f>
        <v>37321</v>
      </c>
      <c r="B48" s="32"/>
      <c r="C48" s="32"/>
      <c r="D48" s="349">
        <f>+F39</f>
        <v>19440</v>
      </c>
      <c r="E48" s="11"/>
    </row>
    <row r="49" spans="1:5" x14ac:dyDescent="0.2">
      <c r="A49" s="32"/>
      <c r="B49" s="32"/>
      <c r="C49" s="32"/>
      <c r="D49" s="14">
        <f>+D48+D47</f>
        <v>-336539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G11" sqref="G11"/>
    </sheetView>
  </sheetViews>
  <sheetFormatPr defaultRowHeight="12.75" x14ac:dyDescent="0.2"/>
  <cols>
    <col min="1" max="1" width="25.85546875" style="285" customWidth="1"/>
    <col min="2" max="2" width="11.140625" style="543" bestFit="1" customWidth="1"/>
    <col min="3" max="3" width="9.7109375" style="544" customWidth="1"/>
    <col min="4" max="4" width="5.140625" style="545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7" bestFit="1" customWidth="1"/>
    <col min="15" max="15" width="9" style="548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6"/>
    </row>
    <row r="3" spans="1:33" ht="15" customHeight="1" x14ac:dyDescent="0.2">
      <c r="F3" s="549" t="s">
        <v>29</v>
      </c>
      <c r="G3" s="550">
        <f>+'[3]1001'!$K$39</f>
        <v>2.36</v>
      </c>
      <c r="J3" s="373">
        <f ca="1">NOW()</f>
        <v>41887.501036574075</v>
      </c>
    </row>
    <row r="4" spans="1:33" ht="15" customHeight="1" x14ac:dyDescent="0.2">
      <c r="A4" s="34" t="s">
        <v>144</v>
      </c>
      <c r="C4" s="34" t="s">
        <v>5</v>
      </c>
      <c r="F4" s="551" t="s">
        <v>30</v>
      </c>
      <c r="G4" s="552">
        <f>+'[3]1001'!$M$39</f>
        <v>2.38</v>
      </c>
      <c r="H4" s="551"/>
      <c r="I4" s="617"/>
    </row>
    <row r="5" spans="1:33" ht="15" customHeight="1" x14ac:dyDescent="0.2">
      <c r="B5" s="553"/>
      <c r="F5" s="549" t="s">
        <v>117</v>
      </c>
      <c r="G5" s="550">
        <f>+'[3]1001'!$E$39</f>
        <v>2.39</v>
      </c>
      <c r="H5" s="549" t="s">
        <v>314</v>
      </c>
      <c r="I5" s="550">
        <v>2.2999999999999998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791886.01</v>
      </c>
      <c r="C8" s="275">
        <f t="shared" ref="C8:C14" si="0">+B8/$G$4</f>
        <v>332725.21428571432</v>
      </c>
      <c r="D8" s="364">
        <f>+PNM!A23</f>
        <v>37321</v>
      </c>
      <c r="E8" s="32" t="s">
        <v>85</v>
      </c>
      <c r="F8" s="32" t="s">
        <v>298</v>
      </c>
      <c r="G8" s="32" t="s">
        <v>289</v>
      </c>
      <c r="H8" s="32" t="s">
        <v>317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614">
        <f>+Conoco!$F$41</f>
        <v>442904.39</v>
      </c>
      <c r="C9" s="275">
        <f t="shared" si="0"/>
        <v>186094.28151260506</v>
      </c>
      <c r="D9" s="363">
        <f>+Conoco!A41</f>
        <v>37322</v>
      </c>
      <c r="E9" s="32" t="s">
        <v>85</v>
      </c>
      <c r="F9" s="32" t="s">
        <v>299</v>
      </c>
      <c r="G9" s="32" t="s">
        <v>113</v>
      </c>
      <c r="H9" s="32" t="s">
        <v>311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107</v>
      </c>
      <c r="B10" s="614">
        <f>+KN_Westar!F41</f>
        <v>328750.86</v>
      </c>
      <c r="C10" s="275">
        <f t="shared" si="0"/>
        <v>138130.61344537814</v>
      </c>
      <c r="D10" s="364">
        <f>+KN_Westar!A41</f>
        <v>37317</v>
      </c>
      <c r="E10" s="32" t="s">
        <v>85</v>
      </c>
      <c r="F10" s="32" t="s">
        <v>153</v>
      </c>
      <c r="G10" s="32" t="s">
        <v>289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5">
        <f>+mewborne!$J$43</f>
        <v>319338.12</v>
      </c>
      <c r="C11" s="275">
        <f t="shared" si="0"/>
        <v>134175.68067226891</v>
      </c>
      <c r="D11" s="364">
        <f>+mewborne!A43</f>
        <v>37321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614">
        <f>+'Amoco Abo'!$F$43</f>
        <v>224623.63</v>
      </c>
      <c r="C12" s="275">
        <f t="shared" si="0"/>
        <v>94379.676470588238</v>
      </c>
      <c r="D12" s="364">
        <f>+'Amoco Abo'!A43</f>
        <v>37321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206</v>
      </c>
      <c r="B13" s="345">
        <f>+Dominion!D41</f>
        <v>171110.45</v>
      </c>
      <c r="C13" s="275">
        <f>+B13/$G$5</f>
        <v>71594.330543933058</v>
      </c>
      <c r="D13" s="364">
        <f>+Dominion!A41</f>
        <v>37321</v>
      </c>
      <c r="E13" s="32" t="s">
        <v>85</v>
      </c>
      <c r="F13" s="32" t="s">
        <v>298</v>
      </c>
      <c r="G13" s="32" t="s">
        <v>99</v>
      </c>
      <c r="H13" s="32"/>
      <c r="I13" s="32"/>
      <c r="J13" s="32"/>
      <c r="K13" s="32"/>
      <c r="L13" s="32"/>
      <c r="M13" s="32"/>
      <c r="N13" s="379" t="e">
        <f>+#REF!+#REF!+B42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442" t="s">
        <v>79</v>
      </c>
      <c r="B14" s="501">
        <f>+Agave!$D$25</f>
        <v>164493.89000000001</v>
      </c>
      <c r="C14" s="462">
        <f t="shared" si="0"/>
        <v>69115.079831932788</v>
      </c>
      <c r="D14" s="461">
        <f>+Agave!A25</f>
        <v>37321</v>
      </c>
      <c r="E14" s="442" t="s">
        <v>85</v>
      </c>
      <c r="F14" s="442" t="s">
        <v>299</v>
      </c>
      <c r="G14" s="442" t="s">
        <v>102</v>
      </c>
      <c r="H14" s="44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5">
        <f>+Amarillo!P41</f>
        <v>151725.76000000001</v>
      </c>
      <c r="C15" s="275">
        <f>+B15/$G$4</f>
        <v>63750.3193277311</v>
      </c>
      <c r="D15" s="364">
        <f>+Amarillo!A41</f>
        <v>37321</v>
      </c>
      <c r="E15" s="32" t="s">
        <v>85</v>
      </c>
      <c r="F15" s="32" t="s">
        <v>299</v>
      </c>
      <c r="G15" s="32" t="s">
        <v>113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23</v>
      </c>
      <c r="B16" s="345">
        <f>+C16*$G$3</f>
        <v>120706.92</v>
      </c>
      <c r="C16" s="347">
        <f>+'Red C'!$F$45</f>
        <v>51147</v>
      </c>
      <c r="D16" s="363">
        <f>+'Red C'!A45</f>
        <v>37322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5">
        <f>+EPFS!D41</f>
        <v>78316.160000000003</v>
      </c>
      <c r="C17" s="206">
        <f>+B17/$G$5</f>
        <v>32768.267782426781</v>
      </c>
      <c r="D17" s="363">
        <f>+EPFS!A41</f>
        <v>37321</v>
      </c>
      <c r="E17" s="32" t="s">
        <v>85</v>
      </c>
      <c r="F17" s="32" t="s">
        <v>153</v>
      </c>
      <c r="G17" s="32" t="s">
        <v>102</v>
      </c>
      <c r="H17" s="32"/>
      <c r="I17" s="15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04" t="s">
        <v>33</v>
      </c>
      <c r="B18" s="345">
        <f>+'El Paso'!C39*summary!G4+'El Paso'!E39*summary!G3</f>
        <v>77218.38</v>
      </c>
      <c r="C18" s="275">
        <f>+'El Paso'!H39</f>
        <v>32175</v>
      </c>
      <c r="D18" s="363">
        <f>+'El Paso'!A39</f>
        <v>37321</v>
      </c>
      <c r="E18" s="204" t="s">
        <v>84</v>
      </c>
      <c r="F18" s="204" t="s">
        <v>153</v>
      </c>
      <c r="G18" s="204" t="s">
        <v>100</v>
      </c>
      <c r="H18" s="204"/>
      <c r="I18" s="613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31</v>
      </c>
      <c r="B19" s="345">
        <f>+C19*$G$5</f>
        <v>75880.11</v>
      </c>
      <c r="C19" s="275">
        <f>+Lonestar!F43</f>
        <v>31749</v>
      </c>
      <c r="D19" s="363">
        <f>+Lonestar!A43</f>
        <v>37321</v>
      </c>
      <c r="E19" s="32" t="s">
        <v>84</v>
      </c>
      <c r="F19" s="32" t="s">
        <v>299</v>
      </c>
      <c r="G19" s="32" t="s">
        <v>102</v>
      </c>
      <c r="H19" s="3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296</v>
      </c>
      <c r="B20" s="345">
        <f>+Stratland!$D$41</f>
        <v>69866</v>
      </c>
      <c r="C20" s="275">
        <f>+B20/$G$4</f>
        <v>29355.462184873952</v>
      </c>
      <c r="D20" s="363">
        <f>+Stratland!A41</f>
        <v>37315</v>
      </c>
      <c r="E20" s="32" t="s">
        <v>85</v>
      </c>
      <c r="F20" s="32" t="s">
        <v>298</v>
      </c>
      <c r="G20" s="32" t="s">
        <v>102</v>
      </c>
      <c r="H20" s="32"/>
      <c r="I20" s="204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305</v>
      </c>
      <c r="B21" s="345">
        <f>+Plains!$N$43</f>
        <v>68162</v>
      </c>
      <c r="C21" s="206">
        <f>+B21/$G$4</f>
        <v>28639.495798319331</v>
      </c>
      <c r="D21" s="363">
        <f>+Plains!A43</f>
        <v>37315</v>
      </c>
      <c r="E21" s="204" t="s">
        <v>85</v>
      </c>
      <c r="F21" s="204"/>
      <c r="G21" s="204" t="s">
        <v>100</v>
      </c>
      <c r="H21" s="204"/>
      <c r="I21" s="204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109</v>
      </c>
      <c r="B22" s="345">
        <f>+Continental!F43</f>
        <v>51607.56</v>
      </c>
      <c r="C22" s="206">
        <f>+B22/$G$4</f>
        <v>21683.848739495799</v>
      </c>
      <c r="D22" s="363">
        <f>+Continental!A43</f>
        <v>37322</v>
      </c>
      <c r="E22" s="204" t="s">
        <v>85</v>
      </c>
      <c r="F22" s="204" t="s">
        <v>153</v>
      </c>
      <c r="G22" s="204" t="s">
        <v>115</v>
      </c>
      <c r="H22" s="204"/>
      <c r="I22" s="442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142</v>
      </c>
      <c r="B23" s="346">
        <f>+C23*$G$4</f>
        <v>51155.72</v>
      </c>
      <c r="C23" s="347">
        <f>+PEPL!D41</f>
        <v>21494</v>
      </c>
      <c r="D23" s="363">
        <f>+PEPL!A41</f>
        <v>37321</v>
      </c>
      <c r="E23" s="204" t="s">
        <v>84</v>
      </c>
      <c r="F23" s="204" t="s">
        <v>299</v>
      </c>
      <c r="G23" s="204" t="s">
        <v>100</v>
      </c>
      <c r="H23" s="32"/>
      <c r="I23" s="32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">
      <c r="A24" s="204" t="s">
        <v>139</v>
      </c>
      <c r="B24" s="345">
        <f>+'Citizens-Griffith'!D41</f>
        <v>50304.28</v>
      </c>
      <c r="C24" s="275">
        <f>+B24/$G$4</f>
        <v>21136.252100840338</v>
      </c>
      <c r="D24" s="363">
        <f>+'Citizens-Griffith'!A41</f>
        <v>37321</v>
      </c>
      <c r="E24" s="204" t="s">
        <v>85</v>
      </c>
      <c r="F24" s="204" t="s">
        <v>299</v>
      </c>
      <c r="G24" s="204" t="s">
        <v>99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">
      <c r="A25" s="32" t="s">
        <v>88</v>
      </c>
      <c r="B25" s="345">
        <f>+C25*$G$5</f>
        <v>50237.8</v>
      </c>
      <c r="C25" s="275">
        <f>+NGPL!H38</f>
        <v>21020</v>
      </c>
      <c r="D25" s="364">
        <f>+NGPL!A38</f>
        <v>37322</v>
      </c>
      <c r="E25" s="204" t="s">
        <v>84</v>
      </c>
      <c r="F25" s="32" t="s">
        <v>152</v>
      </c>
      <c r="G25" s="32" t="s">
        <v>115</v>
      </c>
      <c r="H25" s="32"/>
      <c r="I25" s="32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204" t="s">
        <v>146</v>
      </c>
      <c r="B26" s="345">
        <f>+PGETX!$H$39</f>
        <v>47856.06</v>
      </c>
      <c r="C26" s="275">
        <f>+B26/$G$4</f>
        <v>20107.588235294119</v>
      </c>
      <c r="D26" s="363">
        <f>+PGETX!E39</f>
        <v>37321</v>
      </c>
      <c r="E26" s="204" t="s">
        <v>85</v>
      </c>
      <c r="F26" s="204" t="s">
        <v>153</v>
      </c>
      <c r="G26" s="204" t="s">
        <v>102</v>
      </c>
      <c r="H26" s="204"/>
      <c r="I26" s="32"/>
      <c r="J26" s="32"/>
      <c r="K26" s="32"/>
      <c r="L26" s="32"/>
      <c r="M26" s="32" t="s">
        <v>242</v>
      </c>
      <c r="N26" s="379">
        <v>26357</v>
      </c>
      <c r="O26" s="70">
        <v>44144.84</v>
      </c>
      <c r="P26" s="32" t="s">
        <v>245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4" customFormat="1" ht="13.5" customHeight="1" x14ac:dyDescent="0.2">
      <c r="A27" s="204" t="s">
        <v>87</v>
      </c>
      <c r="B27" s="614">
        <f>+NNG!$D$24</f>
        <v>45184.38</v>
      </c>
      <c r="C27" s="275">
        <f>+B27/$G$4</f>
        <v>18985.033613445379</v>
      </c>
      <c r="D27" s="363">
        <f>+NNG!A24</f>
        <v>37320</v>
      </c>
      <c r="E27" s="204" t="s">
        <v>85</v>
      </c>
      <c r="F27" s="204" t="s">
        <v>298</v>
      </c>
      <c r="G27" s="204" t="s">
        <v>100</v>
      </c>
      <c r="H27" s="204"/>
      <c r="I27" s="613"/>
      <c r="J27" s="204"/>
      <c r="K27" s="204"/>
      <c r="L27" s="204"/>
      <c r="M27" s="204"/>
      <c r="N27" s="469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54" customFormat="1" ht="13.5" customHeight="1" x14ac:dyDescent="0.2">
      <c r="A28" s="32" t="s">
        <v>110</v>
      </c>
      <c r="B28" s="345">
        <f>+C28*$G$4</f>
        <v>41857.06</v>
      </c>
      <c r="C28" s="275">
        <f>+CIG!D42</f>
        <v>17587</v>
      </c>
      <c r="D28" s="364">
        <f>+CIG!A42</f>
        <v>37318</v>
      </c>
      <c r="E28" s="204" t="s">
        <v>84</v>
      </c>
      <c r="F28" s="32" t="s">
        <v>153</v>
      </c>
      <c r="G28" s="32" t="s">
        <v>113</v>
      </c>
      <c r="H28" s="609" t="s">
        <v>313</v>
      </c>
      <c r="I28" s="616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28</v>
      </c>
      <c r="B29" s="345">
        <f>+C29*$G$3</f>
        <v>27090.44</v>
      </c>
      <c r="C29" s="275">
        <f>+williams!J40</f>
        <v>11479</v>
      </c>
      <c r="D29" s="363">
        <f>+williams!A40</f>
        <v>37321</v>
      </c>
      <c r="E29" s="204" t="s">
        <v>85</v>
      </c>
      <c r="F29" s="204" t="s">
        <v>153</v>
      </c>
      <c r="G29" s="204" t="s">
        <v>289</v>
      </c>
      <c r="H29" s="616" t="s">
        <v>316</v>
      </c>
      <c r="I29" s="609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131</v>
      </c>
      <c r="B30" s="614">
        <f>+SidR!D41</f>
        <v>23161.360000000001</v>
      </c>
      <c r="C30" s="275">
        <f>+B30/$G$5</f>
        <v>9690.9456066945604</v>
      </c>
      <c r="D30" s="364">
        <f>+SidR!A41</f>
        <v>37321</v>
      </c>
      <c r="E30" s="32" t="s">
        <v>85</v>
      </c>
      <c r="F30" s="32" t="s">
        <v>151</v>
      </c>
      <c r="G30" s="32" t="s">
        <v>102</v>
      </c>
      <c r="H30" s="32"/>
      <c r="I30" s="204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">
      <c r="A31" s="32" t="s">
        <v>6</v>
      </c>
      <c r="B31" s="614">
        <f>+Oasis!$D$40</f>
        <v>20752.86</v>
      </c>
      <c r="C31" s="206">
        <f>+B31/$G$5</f>
        <v>8683.2050209205026</v>
      </c>
      <c r="D31" s="364">
        <f>+Oasis!A40</f>
        <v>37321</v>
      </c>
      <c r="E31" s="32" t="s">
        <v>85</v>
      </c>
      <c r="F31" s="32" t="s">
        <v>153</v>
      </c>
      <c r="G31" s="32" t="s">
        <v>102</v>
      </c>
      <c r="H31" s="32"/>
      <c r="I31" s="32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204" t="s">
        <v>71</v>
      </c>
      <c r="B32" s="346">
        <f>+transcol!$D$43</f>
        <v>20279.22</v>
      </c>
      <c r="C32" s="347">
        <f>+B32/$G$4</f>
        <v>8520.6806722689089</v>
      </c>
      <c r="D32" s="363">
        <f>+transcol!A43</f>
        <v>37320</v>
      </c>
      <c r="E32" s="204" t="s">
        <v>85</v>
      </c>
      <c r="F32" s="204" t="s">
        <v>152</v>
      </c>
      <c r="G32" s="204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279</v>
      </c>
      <c r="B33" s="345">
        <f>+'WTG inc'!N43</f>
        <v>19485.84</v>
      </c>
      <c r="C33" s="275">
        <f>+B33/$G$4</f>
        <v>8187.3277310924377</v>
      </c>
      <c r="D33" s="364">
        <f>+'WTG inc'!A43</f>
        <v>37320</v>
      </c>
      <c r="E33" s="32" t="s">
        <v>85</v>
      </c>
      <c r="F33" s="32" t="s">
        <v>152</v>
      </c>
      <c r="G33" s="32" t="s">
        <v>115</v>
      </c>
      <c r="H33" s="204"/>
      <c r="I33" s="204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114</v>
      </c>
      <c r="B34" s="345">
        <f>+C34*$G$4</f>
        <v>17473.96</v>
      </c>
      <c r="C34" s="206">
        <f>+'PG&amp;E'!D40</f>
        <v>7342</v>
      </c>
      <c r="D34" s="364">
        <f>+'PG&amp;E'!A40</f>
        <v>37321</v>
      </c>
      <c r="E34" s="32" t="s">
        <v>84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209</v>
      </c>
      <c r="B35" s="345">
        <f>+Devon!D41</f>
        <v>6517.05</v>
      </c>
      <c r="C35" s="275">
        <f>+B35/$G$5</f>
        <v>2726.7991631799164</v>
      </c>
      <c r="D35" s="364">
        <f>+Devon!A41</f>
        <v>37321</v>
      </c>
      <c r="E35" s="32" t="s">
        <v>85</v>
      </c>
      <c r="F35" s="32" t="s">
        <v>299</v>
      </c>
      <c r="G35" s="32" t="s">
        <v>99</v>
      </c>
      <c r="H35" s="609" t="s">
        <v>310</v>
      </c>
      <c r="I35" s="616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54" customFormat="1" ht="13.5" customHeight="1" x14ac:dyDescent="0.2">
      <c r="A36" s="32" t="s">
        <v>287</v>
      </c>
      <c r="B36" s="345">
        <f>+C36*$G$3</f>
        <v>6442.7999999999993</v>
      </c>
      <c r="C36" s="275">
        <f>+Amoco!D40</f>
        <v>2730</v>
      </c>
      <c r="D36" s="364">
        <f>+Amoco!A40</f>
        <v>37320</v>
      </c>
      <c r="E36" s="32" t="s">
        <v>84</v>
      </c>
      <c r="F36" s="32" t="s">
        <v>152</v>
      </c>
      <c r="G36" s="32" t="s">
        <v>115</v>
      </c>
      <c r="H36" s="204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s="554" customFormat="1" ht="13.5" customHeight="1" x14ac:dyDescent="0.2">
      <c r="A37" s="32" t="s">
        <v>103</v>
      </c>
      <c r="B37" s="614">
        <f>+EOG!$J$41</f>
        <v>2147.0800000000017</v>
      </c>
      <c r="C37" s="275">
        <f>+B37/$G$4</f>
        <v>902.13445378151334</v>
      </c>
      <c r="D37" s="363">
        <f>+EOG!A41</f>
        <v>37320</v>
      </c>
      <c r="E37" s="32" t="s">
        <v>85</v>
      </c>
      <c r="F37" s="32" t="s">
        <v>298</v>
      </c>
      <c r="G37" s="32" t="s">
        <v>102</v>
      </c>
      <c r="H37" s="32"/>
      <c r="I37" s="249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">
      <c r="A38" s="32" t="s">
        <v>94</v>
      </c>
      <c r="B38" s="348">
        <f>+C38*$I$5</f>
        <v>1311</v>
      </c>
      <c r="C38" s="71">
        <f>+Mojave!D40</f>
        <v>570</v>
      </c>
      <c r="D38" s="364">
        <f>+Mojave!A40</f>
        <v>37321</v>
      </c>
      <c r="E38" s="32" t="s">
        <v>85</v>
      </c>
      <c r="F38" s="32" t="s">
        <v>153</v>
      </c>
      <c r="G38" s="32" t="s">
        <v>100</v>
      </c>
      <c r="H38" s="609" t="s">
        <v>315</v>
      </c>
      <c r="I38" s="609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3567847.1499999994</v>
      </c>
      <c r="C39" s="69">
        <f>SUM(C8:C38)</f>
        <v>1498645.2371927851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0"/>
      <c r="G40" s="350"/>
      <c r="H40" s="32"/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4" t="s">
        <v>89</v>
      </c>
      <c r="B41" s="335" t="s">
        <v>16</v>
      </c>
      <c r="C41" s="336" t="s">
        <v>0</v>
      </c>
      <c r="D41" s="343" t="s">
        <v>145</v>
      </c>
      <c r="E41" s="334" t="s">
        <v>90</v>
      </c>
      <c r="F41" s="337" t="s">
        <v>101</v>
      </c>
      <c r="G41" s="337" t="s">
        <v>101</v>
      </c>
      <c r="H41" s="334" t="s">
        <v>98</v>
      </c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135</v>
      </c>
      <c r="B42" s="345">
        <f>+Citizens!D18</f>
        <v>-580667.57999999996</v>
      </c>
      <c r="C42" s="206">
        <f>+B42/$G$4</f>
        <v>-243977.97478991596</v>
      </c>
      <c r="D42" s="363">
        <f>+Citizens!A18</f>
        <v>37321</v>
      </c>
      <c r="E42" s="204" t="s">
        <v>85</v>
      </c>
      <c r="F42" s="204" t="s">
        <v>299</v>
      </c>
      <c r="G42" s="204" t="s">
        <v>99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32" t="s">
        <v>133</v>
      </c>
      <c r="B43" s="345">
        <f>+'NS Steel'!D41</f>
        <v>-251172.06</v>
      </c>
      <c r="C43" s="206">
        <f>+B43/$G$4</f>
        <v>-105534.47899159664</v>
      </c>
      <c r="D43" s="364">
        <f>+'NS Steel'!A41</f>
        <v>37322</v>
      </c>
      <c r="E43" s="32" t="s">
        <v>85</v>
      </c>
      <c r="F43" s="32" t="s">
        <v>153</v>
      </c>
      <c r="G43" s="32" t="s">
        <v>100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04" t="s">
        <v>256</v>
      </c>
      <c r="B44" s="345">
        <f>+MiVida_Rich!D41</f>
        <v>-191635</v>
      </c>
      <c r="C44" s="206">
        <f>+B44/$G$5</f>
        <v>-80182.008368200826</v>
      </c>
      <c r="D44" s="363">
        <f>+MiVida_Rich!A41</f>
        <v>37315</v>
      </c>
      <c r="E44" s="204" t="s">
        <v>85</v>
      </c>
      <c r="F44" s="204" t="s">
        <v>151</v>
      </c>
      <c r="G44" s="204" t="s">
        <v>102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32" t="s">
        <v>215</v>
      </c>
      <c r="B45" s="345">
        <f>+crosstex!F41</f>
        <v>-122402.58</v>
      </c>
      <c r="C45" s="206">
        <f>+B45/$G$4</f>
        <v>-51429.655462184877</v>
      </c>
      <c r="D45" s="364">
        <f>+crosstex!A41</f>
        <v>37321</v>
      </c>
      <c r="E45" s="32" t="s">
        <v>85</v>
      </c>
      <c r="F45" s="32" t="s">
        <v>151</v>
      </c>
      <c r="G45" s="32" t="s">
        <v>100</v>
      </c>
      <c r="H45" s="351"/>
      <c r="I45" s="249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s="555" customFormat="1" ht="13.5" customHeight="1" x14ac:dyDescent="0.2">
      <c r="A46" s="204" t="s">
        <v>309</v>
      </c>
      <c r="B46" s="346">
        <f>+Duke!B83</f>
        <v>-85558.260000000009</v>
      </c>
      <c r="C46" s="347">
        <f>+B46/$G$5</f>
        <v>-35798.435146443517</v>
      </c>
      <c r="D46" s="363">
        <f>+DEFS!A40</f>
        <v>37321</v>
      </c>
      <c r="E46" s="204" t="s">
        <v>85</v>
      </c>
      <c r="F46" s="32" t="s">
        <v>152</v>
      </c>
      <c r="G46" s="32" t="s">
        <v>100</v>
      </c>
      <c r="H46" s="32"/>
      <c r="I46" s="32"/>
      <c r="J46" s="249"/>
      <c r="K46" s="249"/>
      <c r="L46" s="249"/>
      <c r="M46" s="32"/>
      <c r="N46" s="469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5" customFormat="1" ht="13.5" customHeight="1" x14ac:dyDescent="0.2">
      <c r="A47" s="32" t="s">
        <v>1</v>
      </c>
      <c r="B47" s="345">
        <f>+C47*$G$3</f>
        <v>-29002.039999999997</v>
      </c>
      <c r="C47" s="206">
        <f>+NW!$F$41</f>
        <v>-12289</v>
      </c>
      <c r="D47" s="363">
        <f>+NW!B41</f>
        <v>37321</v>
      </c>
      <c r="E47" s="32" t="s">
        <v>84</v>
      </c>
      <c r="F47" s="32" t="s">
        <v>152</v>
      </c>
      <c r="G47" s="32" t="s">
        <v>115</v>
      </c>
      <c r="H47" s="351"/>
      <c r="I47" s="32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">
      <c r="A48" s="204" t="s">
        <v>32</v>
      </c>
      <c r="B48" s="345">
        <f>+C48*$G$4</f>
        <v>-26782.14</v>
      </c>
      <c r="C48" s="206">
        <f>+SoCal!F40</f>
        <v>-11253</v>
      </c>
      <c r="D48" s="363">
        <f>+SoCal!A40</f>
        <v>37322</v>
      </c>
      <c r="E48" s="204" t="s">
        <v>84</v>
      </c>
      <c r="F48" s="204" t="s">
        <v>152</v>
      </c>
      <c r="G48" s="204" t="s">
        <v>102</v>
      </c>
      <c r="H48" s="32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">
      <c r="A49" s="204" t="s">
        <v>203</v>
      </c>
      <c r="B49" s="346">
        <f>+WTGmktg!J43</f>
        <v>-19693.54</v>
      </c>
      <c r="C49" s="206">
        <f>+B49/$G$4</f>
        <v>-8274.5966386554628</v>
      </c>
      <c r="D49" s="363">
        <f>+WTGmktg!A43</f>
        <v>37320</v>
      </c>
      <c r="E49" s="32" t="s">
        <v>85</v>
      </c>
      <c r="F49" s="204" t="s">
        <v>152</v>
      </c>
      <c r="G49" s="204" t="s">
        <v>115</v>
      </c>
      <c r="H49" s="204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4" customFormat="1" ht="13.5" customHeight="1" x14ac:dyDescent="0.2">
      <c r="A50" s="204" t="s">
        <v>95</v>
      </c>
      <c r="B50" s="345">
        <f>+burlington!D42</f>
        <v>-16942.2</v>
      </c>
      <c r="C50" s="275">
        <f>+B50/$G$3</f>
        <v>-7178.8983050847464</v>
      </c>
      <c r="D50" s="363">
        <f>+burlington!A42</f>
        <v>37322</v>
      </c>
      <c r="E50" s="204" t="s">
        <v>85</v>
      </c>
      <c r="F50" s="32" t="s">
        <v>153</v>
      </c>
      <c r="G50" s="32" t="s">
        <v>113</v>
      </c>
      <c r="H50" s="32"/>
      <c r="I50" s="204"/>
      <c r="J50" s="204"/>
      <c r="K50" s="204"/>
      <c r="L50" s="204"/>
      <c r="M50" s="204"/>
      <c r="N50" s="469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32" t="s">
        <v>276</v>
      </c>
      <c r="B51" s="345">
        <f>+SWGasTrans!$D$41</f>
        <v>-8827.56</v>
      </c>
      <c r="C51" s="275">
        <f>+B51/$G$4</f>
        <v>-3709.0588235294117</v>
      </c>
      <c r="D51" s="363">
        <f>+SWGasTrans!A41</f>
        <v>37321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 t="s">
        <v>242</v>
      </c>
      <c r="N51" s="379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204" t="s">
        <v>127</v>
      </c>
      <c r="B52" s="348">
        <f>+Calpine!D41</f>
        <v>-7539.3</v>
      </c>
      <c r="C52" s="349">
        <f>+B52/$G$4</f>
        <v>-3167.7731092436975</v>
      </c>
      <c r="D52" s="363">
        <f>+Calpine!A41</f>
        <v>37321</v>
      </c>
      <c r="E52" s="204" t="s">
        <v>85</v>
      </c>
      <c r="F52" s="204" t="s">
        <v>152</v>
      </c>
      <c r="G52" s="204" t="s">
        <v>99</v>
      </c>
      <c r="H52" s="204"/>
      <c r="I52" s="32"/>
      <c r="J52" s="32"/>
      <c r="K52" s="32"/>
      <c r="L52" s="32"/>
      <c r="M52" s="32"/>
      <c r="N52" s="379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7">
        <f>SUM(B42:B52)</f>
        <v>-1340222.26</v>
      </c>
      <c r="C53" s="393">
        <f>SUM(C42:C52)</f>
        <v>-562794.87963485508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5"/>
      <c r="C54" s="206"/>
      <c r="D54" s="352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+B53+B39</f>
        <v>2227624.8899999997</v>
      </c>
      <c r="C55" s="354">
        <f>+C53+C39</f>
        <v>935850.35755793005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2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-89724</v>
      </c>
      <c r="C6" s="80"/>
      <c r="D6" s="80">
        <f t="shared" ref="D6:D14" si="0">+C6-B6</f>
        <v>89724</v>
      </c>
    </row>
    <row r="7" spans="1:4" x14ac:dyDescent="0.2">
      <c r="A7" s="32">
        <v>3531</v>
      </c>
      <c r="B7" s="309">
        <v>-158756</v>
      </c>
      <c r="C7" s="80">
        <v>-56650</v>
      </c>
      <c r="D7" s="80">
        <f t="shared" si="0"/>
        <v>102106</v>
      </c>
    </row>
    <row r="8" spans="1:4" x14ac:dyDescent="0.2">
      <c r="A8" s="32">
        <v>60667</v>
      </c>
      <c r="B8" s="309">
        <v>-160744</v>
      </c>
      <c r="C8" s="80">
        <v>-470492</v>
      </c>
      <c r="D8" s="80">
        <f t="shared" si="0"/>
        <v>-309748</v>
      </c>
    </row>
    <row r="9" spans="1:4" x14ac:dyDescent="0.2">
      <c r="A9" s="32">
        <v>60749</v>
      </c>
      <c r="B9" s="309">
        <v>9058</v>
      </c>
      <c r="C9" s="80">
        <v>131663</v>
      </c>
      <c r="D9" s="80">
        <f t="shared" si="0"/>
        <v>122605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-214</v>
      </c>
      <c r="C11" s="80"/>
      <c r="D11" s="80">
        <f t="shared" si="0"/>
        <v>214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4901</v>
      </c>
    </row>
    <row r="19" spans="1:5" x14ac:dyDescent="0.2">
      <c r="A19" s="32" t="s">
        <v>81</v>
      </c>
      <c r="B19" s="69"/>
      <c r="C19" s="69"/>
      <c r="D19" s="73">
        <f>+summary!G4</f>
        <v>2.38</v>
      </c>
    </row>
    <row r="20" spans="1:5" x14ac:dyDescent="0.2">
      <c r="B20" s="69"/>
      <c r="C20" s="69"/>
      <c r="D20" s="75">
        <f>+D19*D18</f>
        <v>11664.38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98">
        <v>33520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37320</v>
      </c>
      <c r="B24" s="69"/>
      <c r="C24" s="69"/>
      <c r="D24" s="331">
        <f>+D22+D20</f>
        <v>45184.38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85">
        <v>15258</v>
      </c>
    </row>
    <row r="33" spans="1:4" x14ac:dyDescent="0.2">
      <c r="A33" s="49">
        <f>+A24</f>
        <v>37320</v>
      </c>
      <c r="D33" s="349">
        <f>+D18</f>
        <v>4901</v>
      </c>
    </row>
    <row r="34" spans="1:4" x14ac:dyDescent="0.2">
      <c r="D34" s="14">
        <f>+D33+D32</f>
        <v>20159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-32153-3759</f>
        <v>-35912</v>
      </c>
      <c r="C5" s="90">
        <v>-29232</v>
      </c>
      <c r="D5" s="90">
        <f t="shared" ref="D5:D13" si="0">+C5-B5</f>
        <v>6680</v>
      </c>
      <c r="E5" s="69"/>
      <c r="F5" s="201"/>
    </row>
    <row r="6" spans="1:11" x14ac:dyDescent="0.2">
      <c r="A6" s="87">
        <v>9238</v>
      </c>
      <c r="B6" s="90">
        <f>-2908-213</f>
        <v>-3121</v>
      </c>
      <c r="C6" s="90">
        <v>-6000</v>
      </c>
      <c r="D6" s="90">
        <f t="shared" si="0"/>
        <v>-2879</v>
      </c>
      <c r="E6" s="275"/>
      <c r="F6" s="201"/>
      <c r="K6" s="65"/>
    </row>
    <row r="7" spans="1:11" x14ac:dyDescent="0.2">
      <c r="A7" s="87">
        <v>56422</v>
      </c>
      <c r="B7" s="90">
        <f>-463953-79565</f>
        <v>-543518</v>
      </c>
      <c r="C7" s="90">
        <v>-576174</v>
      </c>
      <c r="D7" s="90">
        <f t="shared" si="0"/>
        <v>-32656</v>
      </c>
      <c r="E7" s="275"/>
      <c r="F7" s="201"/>
    </row>
    <row r="8" spans="1:11" x14ac:dyDescent="0.2">
      <c r="A8" s="87">
        <v>58710</v>
      </c>
      <c r="B8" s="90"/>
      <c r="C8" s="90">
        <v>-408</v>
      </c>
      <c r="D8" s="90">
        <f t="shared" si="0"/>
        <v>-408</v>
      </c>
      <c r="E8" s="275"/>
      <c r="F8" s="201"/>
    </row>
    <row r="9" spans="1:11" x14ac:dyDescent="0.2">
      <c r="A9" s="87">
        <v>60921</v>
      </c>
      <c r="B9" s="90">
        <f>-327462-5222</f>
        <v>-332684</v>
      </c>
      <c r="C9" s="90">
        <v>-326680</v>
      </c>
      <c r="D9" s="90">
        <f t="shared" si="0"/>
        <v>6004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5"/>
    </row>
    <row r="11" spans="1:11" x14ac:dyDescent="0.2">
      <c r="A11" s="87">
        <v>500084</v>
      </c>
      <c r="B11" s="90">
        <f>-11672-2329</f>
        <v>-14001</v>
      </c>
      <c r="C11" s="90">
        <v>-6000</v>
      </c>
      <c r="D11" s="90">
        <f t="shared" si="0"/>
        <v>8001</v>
      </c>
      <c r="E11" s="276"/>
      <c r="F11" s="465"/>
    </row>
    <row r="12" spans="1:11" x14ac:dyDescent="0.2">
      <c r="A12" s="317">
        <v>500085</v>
      </c>
      <c r="B12" s="90"/>
      <c r="C12" s="90"/>
      <c r="D12" s="90">
        <f t="shared" si="0"/>
        <v>0</v>
      </c>
      <c r="E12" s="275"/>
      <c r="F12" s="465"/>
    </row>
    <row r="13" spans="1:11" x14ac:dyDescent="0.2">
      <c r="A13" s="87">
        <v>500097</v>
      </c>
      <c r="B13" s="90">
        <v>-11368</v>
      </c>
      <c r="C13" s="90">
        <v>-12000</v>
      </c>
      <c r="D13" s="90">
        <f t="shared" si="0"/>
        <v>-632</v>
      </c>
      <c r="E13" s="275"/>
      <c r="F13" s="465"/>
    </row>
    <row r="14" spans="1:11" x14ac:dyDescent="0.2">
      <c r="A14" s="87"/>
      <c r="B14" s="90"/>
      <c r="C14" s="90"/>
      <c r="D14" s="90"/>
      <c r="E14" s="275"/>
      <c r="F14" s="465"/>
    </row>
    <row r="15" spans="1:11" x14ac:dyDescent="0.2">
      <c r="A15" s="87"/>
      <c r="B15" s="90"/>
      <c r="C15" s="90"/>
      <c r="D15" s="90"/>
      <c r="E15" s="275"/>
      <c r="F15" s="465"/>
    </row>
    <row r="16" spans="1:11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-15890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2.38</v>
      </c>
      <c r="E18" s="277"/>
      <c r="F18" s="465"/>
    </row>
    <row r="19" spans="1:7" x14ac:dyDescent="0.2">
      <c r="A19" s="87"/>
      <c r="B19" s="88"/>
      <c r="C19" s="88"/>
      <c r="D19" s="96">
        <f>+D18*D17</f>
        <v>-37818.199999999997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62">
        <v>829704.21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37321</v>
      </c>
      <c r="B23" s="88"/>
      <c r="C23" s="88"/>
      <c r="D23" s="318">
        <f>+D21+D19</f>
        <v>791886.01</v>
      </c>
      <c r="E23" s="207"/>
      <c r="F23" s="466"/>
    </row>
    <row r="24" spans="1:7" ht="13.5" thickTop="1" x14ac:dyDescent="0.2">
      <c r="E24" s="278"/>
    </row>
    <row r="25" spans="1:7" x14ac:dyDescent="0.2">
      <c r="E25" s="498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485">
        <v>337548</v>
      </c>
    </row>
    <row r="29" spans="1:7" x14ac:dyDescent="0.2">
      <c r="A29" s="49">
        <f>+A23</f>
        <v>37321</v>
      </c>
      <c r="B29" s="32"/>
      <c r="C29" s="32"/>
      <c r="D29" s="349">
        <f>+D17</f>
        <v>-15890</v>
      </c>
    </row>
    <row r="30" spans="1:7" x14ac:dyDescent="0.2">
      <c r="A30" s="32"/>
      <c r="B30" s="32"/>
      <c r="C30" s="32"/>
      <c r="D30" s="14">
        <f>+D29+D28</f>
        <v>321658</v>
      </c>
      <c r="E30" s="344"/>
    </row>
    <row r="31" spans="1:7" x14ac:dyDescent="0.2">
      <c r="A31" s="139"/>
      <c r="B31" s="119"/>
      <c r="C31" s="140"/>
      <c r="D31" s="518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2.4618881234105792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G34" sqref="G34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-316</v>
      </c>
      <c r="E7" s="90">
        <v>-21181</v>
      </c>
      <c r="F7" s="90">
        <v>27352</v>
      </c>
      <c r="G7" s="90">
        <v>27482</v>
      </c>
      <c r="H7" s="90">
        <f t="shared" si="0"/>
        <v>-21174</v>
      </c>
    </row>
    <row r="8" spans="1:26" x14ac:dyDescent="0.2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/>
      <c r="C10" s="90"/>
      <c r="D10" s="90"/>
      <c r="E10" s="90"/>
      <c r="F10" s="90"/>
      <c r="G10" s="90"/>
      <c r="H10" s="90">
        <f t="shared" si="0"/>
        <v>0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/>
      <c r="C11" s="90"/>
      <c r="D11" s="90"/>
      <c r="E11" s="90"/>
      <c r="F11" s="90"/>
      <c r="G11" s="90"/>
      <c r="H11" s="90">
        <f t="shared" si="0"/>
        <v>0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/>
      <c r="C12" s="90"/>
      <c r="D12" s="90"/>
      <c r="E12" s="90"/>
      <c r="F12" s="90"/>
      <c r="G12" s="90"/>
      <c r="H12" s="90">
        <f t="shared" si="0"/>
        <v>0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213707</v>
      </c>
      <c r="C34" s="287">
        <f t="shared" si="2"/>
        <v>210577</v>
      </c>
      <c r="D34" s="14">
        <f t="shared" si="2"/>
        <v>-163455</v>
      </c>
      <c r="E34" s="14">
        <f t="shared" si="2"/>
        <v>-185906</v>
      </c>
      <c r="F34" s="14">
        <f t="shared" si="2"/>
        <v>191394</v>
      </c>
      <c r="G34" s="14">
        <f t="shared" si="2"/>
        <v>192374</v>
      </c>
      <c r="H34" s="14">
        <f t="shared" si="2"/>
        <v>-24601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1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76">
        <v>45621</v>
      </c>
      <c r="O37" s="259"/>
      <c r="P37" s="259"/>
      <c r="Q37" s="259"/>
      <c r="V37" s="259"/>
      <c r="W37" s="259"/>
    </row>
    <row r="38" spans="1:23" x14ac:dyDescent="0.2">
      <c r="A38" s="542">
        <v>37322</v>
      </c>
      <c r="B38" s="14"/>
      <c r="C38" s="14"/>
      <c r="D38" s="14"/>
      <c r="E38" s="14"/>
      <c r="F38" s="14"/>
      <c r="G38" s="14"/>
      <c r="H38" s="150">
        <f>+H37+H34</f>
        <v>21020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73">
        <v>146195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37322</v>
      </c>
      <c r="B44" s="32"/>
      <c r="C44" s="32"/>
      <c r="D44" s="374">
        <f>+H34*'by type_area'!G4</f>
        <v>-58550.38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87644.62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6" workbookViewId="0">
      <selection activeCell="C10" sqref="C10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-119996</v>
      </c>
      <c r="C35" s="11">
        <f>SUM(C4:C34)</f>
        <v>-119426</v>
      </c>
      <c r="D35" s="11">
        <f>SUM(D4:D34)</f>
        <v>570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8">
        <v>0</v>
      </c>
    </row>
    <row r="39" spans="1:4" x14ac:dyDescent="0.2">
      <c r="A39" s="2"/>
      <c r="D39" s="24"/>
    </row>
    <row r="40" spans="1:4" x14ac:dyDescent="0.2">
      <c r="A40" s="57">
        <v>37321</v>
      </c>
      <c r="D40" s="51">
        <f>+D38+D35</f>
        <v>570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7">
        <v>0</v>
      </c>
    </row>
    <row r="46" spans="1:4" x14ac:dyDescent="0.2">
      <c r="A46" s="49">
        <f>+A40</f>
        <v>37321</v>
      </c>
      <c r="B46" s="32"/>
      <c r="C46" s="32"/>
      <c r="D46" s="374">
        <f>+D35*'by type_area'!G4</f>
        <v>1356.6</v>
      </c>
    </row>
    <row r="47" spans="1:4" x14ac:dyDescent="0.2">
      <c r="A47" s="32"/>
      <c r="B47" s="32"/>
      <c r="C47" s="32"/>
      <c r="D47" s="200">
        <f>+D46+D45</f>
        <v>1356.6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0" workbookViewId="0">
      <selection activeCell="C20" sqref="C20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54797</v>
      </c>
      <c r="C35" s="11">
        <f t="shared" ref="C35:I35" si="1">SUM(C4:C34)</f>
        <v>50000</v>
      </c>
      <c r="D35" s="11">
        <f t="shared" si="1"/>
        <v>39937</v>
      </c>
      <c r="E35" s="11">
        <f t="shared" si="1"/>
        <v>32000</v>
      </c>
      <c r="F35" s="11">
        <f t="shared" si="1"/>
        <v>0</v>
      </c>
      <c r="G35" s="11">
        <f t="shared" si="1"/>
        <v>0</v>
      </c>
      <c r="H35" s="11">
        <f t="shared" si="1"/>
        <v>0</v>
      </c>
      <c r="I35" s="11">
        <f t="shared" si="1"/>
        <v>0</v>
      </c>
      <c r="J35" s="11">
        <f>SUM(J4:J34)</f>
        <v>-12734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2.38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-30306.92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484">
        <v>32454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37320</v>
      </c>
      <c r="J41" s="319">
        <f>+J39+J37</f>
        <v>2147.0800000000017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485">
        <v>-112209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37320</v>
      </c>
      <c r="B47" s="32"/>
      <c r="C47" s="32"/>
      <c r="D47" s="349">
        <f>+J35</f>
        <v>-12734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-124943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1" sqref="F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-56019</v>
      </c>
      <c r="E37" s="24">
        <f>SUM(E6:E36)</f>
        <v>-50319</v>
      </c>
      <c r="F37" s="24">
        <f>SUM(F6:F36)</f>
        <v>5700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13566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615">
        <v>37315</v>
      </c>
      <c r="E40" s="14"/>
      <c r="F40" s="568">
        <v>315184.86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37317</v>
      </c>
      <c r="E41" s="14"/>
      <c r="F41" s="104">
        <f>+F40+F39</f>
        <v>328750.86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37317</v>
      </c>
      <c r="B47" s="32"/>
      <c r="C47" s="32"/>
      <c r="D47" s="349">
        <f>+F37</f>
        <v>5700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-38076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">
      <c r="A40" s="26"/>
      <c r="C40" s="14"/>
      <c r="F40" s="253">
        <f>+summary!G4</f>
        <v>2.38</v>
      </c>
    </row>
    <row r="41" spans="1:6" x14ac:dyDescent="0.2">
      <c r="F41" s="138">
        <f>+F40*F39</f>
        <v>1932.56</v>
      </c>
    </row>
    <row r="42" spans="1:6" x14ac:dyDescent="0.2">
      <c r="A42" s="57">
        <v>37315</v>
      </c>
      <c r="C42" s="15"/>
      <c r="F42" s="570">
        <v>49675</v>
      </c>
    </row>
    <row r="43" spans="1:6" x14ac:dyDescent="0.2">
      <c r="A43" s="57">
        <v>37322</v>
      </c>
      <c r="C43" s="48"/>
      <c r="F43" s="138">
        <f>+F42+F41</f>
        <v>51607.56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485">
        <v>7844</v>
      </c>
    </row>
    <row r="49" spans="1:4" x14ac:dyDescent="0.2">
      <c r="A49" s="49">
        <f>+A43</f>
        <v>37322</v>
      </c>
      <c r="B49" s="32"/>
      <c r="C49" s="32"/>
      <c r="D49" s="349">
        <f>+F39</f>
        <v>812</v>
      </c>
    </row>
    <row r="50" spans="1:4" x14ac:dyDescent="0.2">
      <c r="A50" s="32"/>
      <c r="B50" s="32"/>
      <c r="C50" s="32"/>
      <c r="D50" s="14">
        <f>+D49+D48</f>
        <v>8656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37315</v>
      </c>
      <c r="C41" s="15"/>
      <c r="D41" s="456">
        <v>17587</v>
      </c>
    </row>
    <row r="42" spans="1:4" x14ac:dyDescent="0.2">
      <c r="A42" s="57">
        <v>37318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9">
        <v>385897</v>
      </c>
    </row>
    <row r="48" spans="1:4" x14ac:dyDescent="0.2">
      <c r="A48" s="49">
        <f>+A42</f>
        <v>37318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8" workbookViewId="0">
      <selection activeCell="B32" sqref="B3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-56653</v>
      </c>
      <c r="C10" s="11">
        <v>-49977</v>
      </c>
      <c r="D10" s="25">
        <f t="shared" si="0"/>
        <v>6676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-388942</v>
      </c>
      <c r="I19" s="119">
        <f>+C37</f>
        <v>-391177</v>
      </c>
      <c r="J19" s="119">
        <f>+I19-H19</f>
        <v>-2235</v>
      </c>
      <c r="K19" s="411">
        <f>+D38</f>
        <v>2.38</v>
      </c>
      <c r="L19" s="416">
        <f>+K19*J19</f>
        <v>-5319.3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128257</v>
      </c>
      <c r="K24" s="407"/>
      <c r="L24" s="110">
        <f>+L19+L17</f>
        <v>76365.799999999828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32086.470588235225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-388942</v>
      </c>
      <c r="C37" s="11">
        <f>SUM(C6:C36)</f>
        <v>-391177</v>
      </c>
      <c r="D37" s="25">
        <f>SUM(D6:D36)</f>
        <v>-2235</v>
      </c>
    </row>
    <row r="38" spans="1:4" x14ac:dyDescent="0.2">
      <c r="A38" s="26"/>
      <c r="C38" s="14"/>
      <c r="D38" s="326">
        <f>+summary!G4</f>
        <v>2.38</v>
      </c>
    </row>
    <row r="39" spans="1:4" x14ac:dyDescent="0.2">
      <c r="D39" s="138">
        <f>+D38*D37</f>
        <v>-5319.3</v>
      </c>
    </row>
    <row r="40" spans="1:4" x14ac:dyDescent="0.2">
      <c r="A40" s="57">
        <v>37315</v>
      </c>
      <c r="C40" s="15"/>
      <c r="D40" s="590">
        <v>-2220</v>
      </c>
    </row>
    <row r="41" spans="1:4" x14ac:dyDescent="0.2">
      <c r="A41" s="57">
        <v>37321</v>
      </c>
      <c r="C41" s="48"/>
      <c r="D41" s="138">
        <f>+D40+D39</f>
        <v>-7539.3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94419</v>
      </c>
    </row>
    <row r="46" spans="1:4" x14ac:dyDescent="0.2">
      <c r="A46" s="49">
        <f>+A41</f>
        <v>37321</v>
      </c>
      <c r="B46" s="32"/>
      <c r="C46" s="32"/>
      <c r="D46" s="349">
        <f>+D37</f>
        <v>-2235</v>
      </c>
    </row>
    <row r="47" spans="1:4" x14ac:dyDescent="0.2">
      <c r="A47" s="32"/>
      <c r="B47" s="32"/>
      <c r="C47" s="32"/>
      <c r="D47" s="14">
        <f>+D46+D45</f>
        <v>92184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9" workbookViewId="0">
      <selection activeCell="A51" sqref="A51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/>
      <c r="C12" s="11"/>
      <c r="D12" s="25">
        <f t="shared" si="0"/>
        <v>0</v>
      </c>
    </row>
    <row r="13" spans="1:5" x14ac:dyDescent="0.2">
      <c r="A13" s="10">
        <v>8</v>
      </c>
      <c r="B13" s="129"/>
      <c r="C13" s="11"/>
      <c r="D13" s="25">
        <f t="shared" si="0"/>
        <v>0</v>
      </c>
    </row>
    <row r="14" spans="1:5" x14ac:dyDescent="0.2">
      <c r="A14" s="10">
        <v>9</v>
      </c>
      <c r="B14" s="129"/>
      <c r="C14" s="11"/>
      <c r="D14" s="25">
        <f t="shared" si="0"/>
        <v>0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219456</v>
      </c>
      <c r="C37" s="11">
        <f>SUM(C6:C36)</f>
        <v>210000</v>
      </c>
      <c r="D37" s="25">
        <f>SUM(D6:D36)</f>
        <v>-9456</v>
      </c>
    </row>
    <row r="38" spans="1:4" x14ac:dyDescent="0.2">
      <c r="A38" s="26"/>
      <c r="B38" s="31"/>
      <c r="C38" s="14"/>
      <c r="D38" s="326">
        <f>+summary!G5</f>
        <v>2.39</v>
      </c>
    </row>
    <row r="39" spans="1:4" x14ac:dyDescent="0.2">
      <c r="D39" s="138">
        <f>+D38*D37</f>
        <v>-22599.84</v>
      </c>
    </row>
    <row r="40" spans="1:4" x14ac:dyDescent="0.2">
      <c r="A40" s="57">
        <v>37315</v>
      </c>
      <c r="C40" s="15"/>
      <c r="D40" s="590">
        <v>100916</v>
      </c>
    </row>
    <row r="41" spans="1:4" x14ac:dyDescent="0.2">
      <c r="A41" s="57">
        <v>37321</v>
      </c>
      <c r="C41" s="48"/>
      <c r="D41" s="138">
        <f>+D40+D39</f>
        <v>78316.160000000003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591">
        <v>93375</v>
      </c>
    </row>
    <row r="46" spans="1:4" x14ac:dyDescent="0.2">
      <c r="A46" s="49">
        <f>+A41</f>
        <v>37321</v>
      </c>
      <c r="B46" s="32"/>
      <c r="C46" s="32"/>
      <c r="D46" s="349">
        <f>+D37</f>
        <v>-9456</v>
      </c>
    </row>
    <row r="47" spans="1:4" x14ac:dyDescent="0.2">
      <c r="A47" s="32"/>
      <c r="B47" s="32"/>
      <c r="C47" s="32"/>
      <c r="D47" s="14">
        <f>+D46+D45</f>
        <v>83919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3" sqref="C33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/>
      <c r="C10" s="11"/>
      <c r="D10" s="129"/>
      <c r="E10" s="11"/>
      <c r="F10" s="129"/>
      <c r="G10" s="11"/>
      <c r="H10" s="129"/>
      <c r="I10" s="11"/>
      <c r="J10" s="11">
        <f t="shared" si="0"/>
        <v>0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2051978</v>
      </c>
      <c r="C35" s="11">
        <f t="shared" ref="C35:I35" si="3">SUM(C4:C34)</f>
        <v>1986199</v>
      </c>
      <c r="D35" s="11">
        <f t="shared" si="3"/>
        <v>0</v>
      </c>
      <c r="E35" s="11">
        <f t="shared" si="3"/>
        <v>79944</v>
      </c>
      <c r="F35" s="11">
        <f t="shared" si="3"/>
        <v>227429</v>
      </c>
      <c r="G35" s="11">
        <f t="shared" si="3"/>
        <v>219342</v>
      </c>
      <c r="H35" s="11">
        <f t="shared" si="3"/>
        <v>879209</v>
      </c>
      <c r="I35" s="11">
        <f t="shared" si="3"/>
        <v>884610</v>
      </c>
      <c r="J35" s="11">
        <f>SUM(J4:J34)</f>
        <v>11479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71"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37321</v>
      </c>
      <c r="J40" s="51">
        <f>+J38+J35</f>
        <v>11479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74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37321</v>
      </c>
      <c r="B47" s="32"/>
      <c r="C47" s="32"/>
      <c r="D47" s="374">
        <f>+J35*'by type_area'!G3</f>
        <v>27090.44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111551.44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C12" sqref="C12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8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8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9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9"/>
    </row>
    <row r="12" spans="1:6" x14ac:dyDescent="0.2">
      <c r="A12" s="10">
        <v>7</v>
      </c>
      <c r="B12" s="11"/>
      <c r="C12" s="11"/>
      <c r="D12" s="25">
        <f t="shared" si="0"/>
        <v>0</v>
      </c>
      <c r="F12" s="559"/>
    </row>
    <row r="13" spans="1:6" x14ac:dyDescent="0.2">
      <c r="A13" s="10">
        <v>8</v>
      </c>
      <c r="B13" s="11"/>
      <c r="C13" s="11"/>
      <c r="D13" s="25">
        <f t="shared" si="0"/>
        <v>0</v>
      </c>
      <c r="F13" s="559"/>
    </row>
    <row r="14" spans="1:6" x14ac:dyDescent="0.2">
      <c r="A14" s="10">
        <v>9</v>
      </c>
      <c r="B14" s="11"/>
      <c r="C14" s="11"/>
      <c r="D14" s="25">
        <f t="shared" si="0"/>
        <v>0</v>
      </c>
    </row>
    <row r="15" spans="1:6" x14ac:dyDescent="0.2">
      <c r="A15" s="10">
        <v>10</v>
      </c>
      <c r="B15" s="11"/>
      <c r="C15" s="11"/>
      <c r="D15" s="25">
        <f t="shared" si="0"/>
        <v>0</v>
      </c>
    </row>
    <row r="16" spans="1:6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305761</v>
      </c>
      <c r="C37" s="11">
        <f>SUM(C6:C36)</f>
        <v>311685</v>
      </c>
      <c r="D37" s="25">
        <f>SUM(D6:D36)</f>
        <v>5924</v>
      </c>
    </row>
    <row r="38" spans="1:4" x14ac:dyDescent="0.2">
      <c r="A38" s="26"/>
      <c r="C38" s="14"/>
      <c r="D38" s="326">
        <f>+summary!G5</f>
        <v>2.39</v>
      </c>
    </row>
    <row r="39" spans="1:4" x14ac:dyDescent="0.2">
      <c r="D39" s="138">
        <f>+D38*D37</f>
        <v>14158.36</v>
      </c>
    </row>
    <row r="40" spans="1:4" x14ac:dyDescent="0.2">
      <c r="A40" s="57">
        <v>37315</v>
      </c>
      <c r="C40" s="15"/>
      <c r="D40" s="599">
        <v>9003</v>
      </c>
    </row>
    <row r="41" spans="1:4" x14ac:dyDescent="0.2">
      <c r="A41" s="57">
        <v>37321</v>
      </c>
      <c r="C41" s="48"/>
      <c r="D41" s="138">
        <f>+D40+D39</f>
        <v>23161.360000000001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4076</v>
      </c>
    </row>
    <row r="47" spans="1:4" x14ac:dyDescent="0.2">
      <c r="A47" s="49">
        <f>+A41</f>
        <v>37321</v>
      </c>
      <c r="B47" s="32"/>
      <c r="C47" s="32"/>
      <c r="D47" s="349">
        <f>+D37</f>
        <v>5924</v>
      </c>
    </row>
    <row r="48" spans="1:4" x14ac:dyDescent="0.2">
      <c r="A48" s="32"/>
      <c r="B48" s="32"/>
      <c r="C48" s="32"/>
      <c r="D48" s="14">
        <f>+D47+D46</f>
        <v>10000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4" workbookViewId="0">
      <selection activeCell="A42" sqref="A42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-530</v>
      </c>
      <c r="C12" s="11">
        <v>-1038</v>
      </c>
      <c r="D12" s="25">
        <f t="shared" si="0"/>
        <v>-508</v>
      </c>
    </row>
    <row r="13" spans="1:13" x14ac:dyDescent="0.2">
      <c r="A13" s="10">
        <v>8</v>
      </c>
      <c r="B13" s="11"/>
      <c r="C13" s="11"/>
      <c r="D13" s="25">
        <f t="shared" si="0"/>
        <v>0</v>
      </c>
      <c r="H13" s="118"/>
      <c r="I13" s="34"/>
      <c r="J13" s="34"/>
      <c r="K13" s="189"/>
      <c r="L13" s="411" t="s">
        <v>173</v>
      </c>
      <c r="M13" s="189"/>
    </row>
    <row r="14" spans="1:13" x14ac:dyDescent="0.2">
      <c r="A14" s="10">
        <v>9</v>
      </c>
      <c r="B14" s="11"/>
      <c r="C14" s="11"/>
      <c r="D14" s="25">
        <f t="shared" si="0"/>
        <v>0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-8529</v>
      </c>
      <c r="C37" s="11">
        <f>SUM(C6:C36)</f>
        <v>-7266</v>
      </c>
      <c r="D37" s="25">
        <f>SUM(D6:D36)</f>
        <v>1263</v>
      </c>
    </row>
    <row r="38" spans="1:4" x14ac:dyDescent="0.2">
      <c r="A38" s="26"/>
      <c r="C38" s="14"/>
      <c r="D38" s="326">
        <f>+summary!G4</f>
        <v>2.38</v>
      </c>
    </row>
    <row r="39" spans="1:4" x14ac:dyDescent="0.2">
      <c r="D39" s="138">
        <f>+D38*D37</f>
        <v>3005.94</v>
      </c>
    </row>
    <row r="40" spans="1:4" x14ac:dyDescent="0.2">
      <c r="A40" s="57">
        <v>37315</v>
      </c>
      <c r="C40" s="15"/>
      <c r="D40" s="570">
        <v>-254178</v>
      </c>
    </row>
    <row r="41" spans="1:4" x14ac:dyDescent="0.2">
      <c r="A41" s="57">
        <v>37322</v>
      </c>
      <c r="C41" s="48"/>
      <c r="D41" s="138">
        <f>+D40+D39</f>
        <v>-251172.06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567">
        <v>3974</v>
      </c>
    </row>
    <row r="49" spans="1:4" x14ac:dyDescent="0.2">
      <c r="A49" s="49">
        <f>+A41</f>
        <v>37322</v>
      </c>
      <c r="B49" s="32"/>
      <c r="C49" s="32"/>
      <c r="D49" s="349">
        <f>+D37</f>
        <v>1263</v>
      </c>
    </row>
    <row r="50" spans="1:4" x14ac:dyDescent="0.2">
      <c r="A50" s="32"/>
      <c r="B50" s="32"/>
      <c r="C50" s="32"/>
      <c r="D50" s="14">
        <f>+D49+D48</f>
        <v>5237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5" sqref="C3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-38013</v>
      </c>
      <c r="C11" s="11">
        <v>-38500</v>
      </c>
      <c r="D11" s="25">
        <f t="shared" si="0"/>
        <v>-487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-211606</v>
      </c>
      <c r="C37" s="11">
        <f>SUM(C6:C36)</f>
        <v>-216500</v>
      </c>
      <c r="D37" s="25">
        <f>SUM(D6:D36)</f>
        <v>-4894</v>
      </c>
    </row>
    <row r="38" spans="1:4" x14ac:dyDescent="0.2">
      <c r="A38" s="26"/>
      <c r="C38" s="14"/>
      <c r="D38" s="326">
        <f>+summary!G4</f>
        <v>2.38</v>
      </c>
    </row>
    <row r="39" spans="1:4" x14ac:dyDescent="0.2">
      <c r="D39" s="138">
        <f>+D38*D37</f>
        <v>-11647.72</v>
      </c>
    </row>
    <row r="40" spans="1:4" x14ac:dyDescent="0.2">
      <c r="A40" s="57">
        <v>37315</v>
      </c>
      <c r="C40" s="15"/>
      <c r="D40" s="570">
        <v>61952</v>
      </c>
    </row>
    <row r="41" spans="1:4" x14ac:dyDescent="0.2">
      <c r="A41" s="57">
        <v>37321</v>
      </c>
      <c r="C41" s="48"/>
      <c r="D41" s="138">
        <f>+D40+D39</f>
        <v>50304.28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67">
        <v>33105</v>
      </c>
    </row>
    <row r="47" spans="1:4" x14ac:dyDescent="0.2">
      <c r="A47" s="49">
        <f>+A41</f>
        <v>37321</v>
      </c>
      <c r="B47" s="32"/>
      <c r="C47" s="32"/>
      <c r="D47" s="349">
        <f>+D37</f>
        <v>-4894</v>
      </c>
    </row>
    <row r="48" spans="1:4" x14ac:dyDescent="0.2">
      <c r="A48" s="32"/>
      <c r="B48" s="32"/>
      <c r="C48" s="32"/>
      <c r="D48" s="14">
        <f>+D47+D46</f>
        <v>28211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B7" sqref="B7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-882</v>
      </c>
      <c r="D5" s="90">
        <f>+C5-B5</f>
        <v>-882</v>
      </c>
      <c r="E5" s="275"/>
      <c r="F5" s="273"/>
    </row>
    <row r="6" spans="1:13" x14ac:dyDescent="0.2">
      <c r="A6" s="87">
        <v>500046</v>
      </c>
      <c r="B6" s="90">
        <f>-3857-238</f>
        <v>-4095</v>
      </c>
      <c r="C6" s="90"/>
      <c r="D6" s="90">
        <f t="shared" ref="D6:D11" si="0">+C6-B6</f>
        <v>4095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-5748-517</f>
        <v>-6265</v>
      </c>
      <c r="C8" s="90">
        <v>-10272</v>
      </c>
      <c r="D8" s="90">
        <f t="shared" si="0"/>
        <v>-4007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-794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2.38</v>
      </c>
      <c r="E13" s="277"/>
      <c r="F13" s="273"/>
    </row>
    <row r="14" spans="1:13" x14ac:dyDescent="0.2">
      <c r="A14" s="87"/>
      <c r="B14" s="88"/>
      <c r="C14" s="88"/>
      <c r="D14" s="96">
        <f>+D13*D12</f>
        <v>-1889.72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7">
        <v>-578777.86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37321</v>
      </c>
      <c r="B18" s="88"/>
      <c r="C18" s="88"/>
      <c r="D18" s="318">
        <f>+D16+D14</f>
        <v>-580667.57999999996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567">
        <v>-56360</v>
      </c>
    </row>
    <row r="23" spans="1:7" x14ac:dyDescent="0.2">
      <c r="A23" s="49"/>
      <c r="B23" s="32"/>
      <c r="C23" s="32"/>
      <c r="D23" s="349">
        <f>+D12</f>
        <v>-794</v>
      </c>
    </row>
    <row r="24" spans="1:7" x14ac:dyDescent="0.2">
      <c r="A24" s="49">
        <f>+A18</f>
        <v>37321</v>
      </c>
      <c r="B24" s="32"/>
      <c r="C24" s="32"/>
      <c r="D24" s="14">
        <f>+D23+D22</f>
        <v>-57154</v>
      </c>
      <c r="E24" s="344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10.159701508205899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5" sqref="C35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-231630</v>
      </c>
      <c r="C37" s="11">
        <f>SUM(C6:C36)</f>
        <v>-214611</v>
      </c>
      <c r="D37" s="25">
        <f>SUM(D6:D36)</f>
        <v>17019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71">
        <v>4475</v>
      </c>
    </row>
    <row r="41" spans="1:4" x14ac:dyDescent="0.2">
      <c r="A41" s="57">
        <v>37321</v>
      </c>
      <c r="C41" s="48"/>
      <c r="D41" s="25">
        <f>+D40+D37</f>
        <v>21494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3">
        <v>154736</v>
      </c>
    </row>
    <row r="46" spans="1:4" x14ac:dyDescent="0.2">
      <c r="A46" s="49">
        <f>+A41</f>
        <v>37321</v>
      </c>
      <c r="B46" s="32"/>
      <c r="C46" s="32"/>
      <c r="D46" s="374">
        <f>+D37*'by type_area'!G4</f>
        <v>40505.22</v>
      </c>
    </row>
    <row r="47" spans="1:4" x14ac:dyDescent="0.2">
      <c r="A47" s="32"/>
      <c r="B47" s="32"/>
      <c r="C47" s="32"/>
      <c r="D47" s="200">
        <f>+D46+D45</f>
        <v>195241.22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1" sqref="D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2.39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590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-45642</v>
      </c>
    </row>
    <row r="47" spans="1:4" x14ac:dyDescent="0.2">
      <c r="A47" s="49">
        <f>+A41</f>
        <v>37315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-120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481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-872</v>
      </c>
      <c r="C37" s="11">
        <f t="shared" ref="C37:I37" si="1">SUM(C6:C36)</f>
        <v>-600</v>
      </c>
      <c r="D37" s="11">
        <f t="shared" si="1"/>
        <v>0</v>
      </c>
      <c r="E37" s="11">
        <f t="shared" si="1"/>
        <v>0</v>
      </c>
      <c r="F37" s="11">
        <f t="shared" si="1"/>
        <v>-6302</v>
      </c>
      <c r="G37" s="11">
        <f t="shared" si="1"/>
        <v>-3057</v>
      </c>
      <c r="H37" s="11">
        <f t="shared" si="1"/>
        <v>0</v>
      </c>
      <c r="I37" s="11">
        <f t="shared" si="1"/>
        <v>0</v>
      </c>
      <c r="J37" s="11">
        <f>SUM(J6:J36)</f>
        <v>3517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2.38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8370.4599999999991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573">
        <v>-28064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37320</v>
      </c>
      <c r="J43" s="319">
        <f>+J41+J39</f>
        <v>-19693.54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567">
        <v>98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37320</v>
      </c>
      <c r="B49" s="32"/>
      <c r="C49" s="32"/>
      <c r="D49" s="349">
        <f>+J37</f>
        <v>3517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3615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/>
      <c r="M11" s="11"/>
      <c r="N11" s="11">
        <f t="shared" si="0"/>
        <v>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/>
      <c r="M12" s="11"/>
      <c r="N12" s="11">
        <f t="shared" si="0"/>
        <v>0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/>
      <c r="M13" s="11"/>
      <c r="N13" s="11">
        <f t="shared" si="0"/>
        <v>0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-3898</v>
      </c>
      <c r="M37" s="11">
        <f>SUM(M6:M36)</f>
        <v>-4530</v>
      </c>
      <c r="N37" s="11">
        <f t="shared" si="1"/>
        <v>-632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2.38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-1504.1599999999999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484">
        <v>20990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37320</v>
      </c>
      <c r="N43" s="319">
        <f>+N41+N39</f>
        <v>19485.84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485">
        <v>6566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37320</v>
      </c>
      <c r="B49" s="32"/>
      <c r="C49" s="32"/>
      <c r="D49" s="349">
        <f>+N37</f>
        <v>-632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5934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" workbookViewId="0">
      <selection activeCell="B13" sqref="B13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185</v>
      </c>
      <c r="C12" s="11">
        <v>150</v>
      </c>
      <c r="D12" s="25">
        <f t="shared" si="0"/>
        <v>-35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1313</v>
      </c>
      <c r="C37" s="11">
        <f>SUM(C6:C36)</f>
        <v>968</v>
      </c>
      <c r="D37" s="25">
        <f>SUM(D6:D36)</f>
        <v>-345</v>
      </c>
    </row>
    <row r="38" spans="1:4" x14ac:dyDescent="0.2">
      <c r="A38" s="26"/>
      <c r="C38" s="14"/>
      <c r="D38" s="326">
        <f>+summary!G5</f>
        <v>2.39</v>
      </c>
    </row>
    <row r="39" spans="1:4" x14ac:dyDescent="0.2">
      <c r="D39" s="138">
        <f>+D38*D37</f>
        <v>-824.55000000000007</v>
      </c>
    </row>
    <row r="40" spans="1:4" x14ac:dyDescent="0.2">
      <c r="A40" s="57">
        <v>37315</v>
      </c>
      <c r="C40" s="15"/>
      <c r="D40" s="590">
        <v>171935</v>
      </c>
    </row>
    <row r="41" spans="1:4" x14ac:dyDescent="0.2">
      <c r="A41" s="57">
        <v>37321</v>
      </c>
      <c r="C41" s="48"/>
      <c r="D41" s="138">
        <f>+D40+D39</f>
        <v>171110.45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75136</v>
      </c>
    </row>
    <row r="47" spans="1:4" x14ac:dyDescent="0.2">
      <c r="A47" s="49">
        <f>+A41</f>
        <v>37321</v>
      </c>
      <c r="B47" s="32"/>
      <c r="C47" s="32"/>
      <c r="D47" s="349">
        <f>+D37</f>
        <v>-345</v>
      </c>
    </row>
    <row r="48" spans="1:4" x14ac:dyDescent="0.2">
      <c r="A48" s="32"/>
      <c r="B48" s="32"/>
      <c r="C48" s="32"/>
      <c r="D48" s="14">
        <f>+D47+D46</f>
        <v>74791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</v>
      </c>
      <c r="C37" s="11">
        <f>SUM(C6:C36)</f>
        <v>2351</v>
      </c>
      <c r="D37" s="25">
        <f>SUM(D6:D36)</f>
        <v>2295</v>
      </c>
    </row>
    <row r="38" spans="1:4" x14ac:dyDescent="0.2">
      <c r="A38" s="26"/>
      <c r="C38" s="14"/>
      <c r="D38" s="326">
        <f>+summary!G5</f>
        <v>2.39</v>
      </c>
    </row>
    <row r="39" spans="1:4" x14ac:dyDescent="0.2">
      <c r="D39" s="138">
        <f>+D38*D37</f>
        <v>5485.05</v>
      </c>
    </row>
    <row r="40" spans="1:4" x14ac:dyDescent="0.2">
      <c r="A40" s="57">
        <v>37315</v>
      </c>
      <c r="C40" s="15"/>
      <c r="D40" s="590">
        <v>1032</v>
      </c>
    </row>
    <row r="41" spans="1:4" x14ac:dyDescent="0.2">
      <c r="A41" s="57">
        <v>37321</v>
      </c>
      <c r="C41" s="48"/>
      <c r="D41" s="138">
        <f>+D40+D39</f>
        <v>6517.05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487</v>
      </c>
    </row>
    <row r="47" spans="1:4" x14ac:dyDescent="0.2">
      <c r="A47" s="49">
        <f>+A41</f>
        <v>37321</v>
      </c>
      <c r="B47" s="32"/>
      <c r="C47" s="32"/>
      <c r="D47" s="349">
        <f>+D37</f>
        <v>2295</v>
      </c>
    </row>
    <row r="48" spans="1:4" x14ac:dyDescent="0.2">
      <c r="A48" s="32"/>
      <c r="B48" s="32"/>
      <c r="C48" s="32"/>
      <c r="D48" s="14">
        <f>+D47+D46</f>
        <v>2782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7" workbookViewId="0">
      <selection activeCell="E47" sqref="E47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-22132</v>
      </c>
      <c r="E10" s="11">
        <v>-22504</v>
      </c>
      <c r="F10" s="11">
        <f t="shared" si="0"/>
        <v>-177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/>
      <c r="C11" s="11"/>
      <c r="D11" s="129"/>
      <c r="E11" s="11"/>
      <c r="F11" s="11">
        <f t="shared" si="0"/>
        <v>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/>
      <c r="C12" s="11"/>
      <c r="D12" s="129"/>
      <c r="E12" s="11"/>
      <c r="F12" s="11">
        <f t="shared" si="0"/>
        <v>0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/>
      <c r="C13" s="11"/>
      <c r="D13" s="129"/>
      <c r="E13" s="11"/>
      <c r="F13" s="11">
        <f t="shared" si="0"/>
        <v>0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-220952</v>
      </c>
      <c r="C36" s="44">
        <f>SUM(C5:C35)</f>
        <v>-232169</v>
      </c>
      <c r="D36" s="43">
        <f>SUM(D5:D35)</f>
        <v>-283659</v>
      </c>
      <c r="E36" s="43">
        <f>SUM(E5:E35)</f>
        <v>-293738</v>
      </c>
      <c r="F36" s="11">
        <f>SUM(F5:F35)</f>
        <v>-21296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9">
        <f>+summary!G5</f>
        <v>2.39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-50897.440000000002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60"/>
      <c r="D42" s="111"/>
      <c r="E42" s="460"/>
      <c r="F42" s="565">
        <v>53045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37321</v>
      </c>
      <c r="B43" s="32"/>
      <c r="C43" s="106"/>
      <c r="D43" s="106"/>
      <c r="E43" s="106"/>
      <c r="F43" s="24">
        <f>+F42+F36</f>
        <v>31749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6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37321</v>
      </c>
      <c r="B49" s="32"/>
      <c r="C49" s="32"/>
      <c r="D49" s="76">
        <f>+F36</f>
        <v>-21296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68997.960000000006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-12070</v>
      </c>
      <c r="C37" s="24">
        <f>SUM(C6:C36)</f>
        <v>-11778</v>
      </c>
      <c r="D37" s="24">
        <f>SUM(D6:D36)</f>
        <v>-11194</v>
      </c>
      <c r="E37" s="24">
        <f>SUM(E6:E36)</f>
        <v>-12000</v>
      </c>
      <c r="F37" s="24">
        <f>SUM(F6:F36)</f>
        <v>-514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2.38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-1223.32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37315</v>
      </c>
      <c r="C40" s="319"/>
      <c r="D40" s="262"/>
      <c r="E40" s="262"/>
      <c r="F40" s="568">
        <v>-121179.26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37321</v>
      </c>
      <c r="C41" s="319"/>
      <c r="D41" s="262"/>
      <c r="E41" s="262"/>
      <c r="F41" s="104">
        <f>+F40+F39</f>
        <v>-122402.58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7">
        <v>-35044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37321</v>
      </c>
      <c r="B47" s="32"/>
      <c r="C47" s="32"/>
      <c r="D47" s="349">
        <f>+F37</f>
        <v>-514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-35558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9" workbookViewId="0">
      <selection activeCell="A48" sqref="A48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312</v>
      </c>
      <c r="D5" s="121" t="s">
        <v>19</v>
      </c>
      <c r="E5" s="121" t="s">
        <v>312</v>
      </c>
      <c r="F5" s="121" t="s">
        <v>19</v>
      </c>
      <c r="G5" s="121" t="s">
        <v>312</v>
      </c>
      <c r="H5" s="121" t="s">
        <v>19</v>
      </c>
      <c r="I5" s="121" t="s">
        <v>312</v>
      </c>
      <c r="J5" s="121" t="s">
        <v>19</v>
      </c>
      <c r="K5" s="121" t="s">
        <v>312</v>
      </c>
      <c r="L5" s="121" t="s">
        <v>19</v>
      </c>
      <c r="M5" s="121" t="s">
        <v>312</v>
      </c>
      <c r="N5" s="121" t="s">
        <v>19</v>
      </c>
      <c r="O5" s="121" t="s">
        <v>312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-3728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316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-3766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354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-3453</v>
      </c>
      <c r="C11" s="24">
        <v>-1910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1518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-21706</v>
      </c>
      <c r="C37" s="24">
        <f t="shared" si="1"/>
        <v>-17368</v>
      </c>
      <c r="D37" s="24">
        <f t="shared" si="1"/>
        <v>-18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4206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2.38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10010.279999999999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37315</v>
      </c>
      <c r="E40" s="14"/>
      <c r="O40" s="441"/>
      <c r="P40" s="568">
        <v>141715.48000000001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615">
        <v>37321</v>
      </c>
      <c r="E41" s="14"/>
      <c r="O41" s="441"/>
      <c r="P41" s="104">
        <f>+P40+P39</f>
        <v>151725.76000000001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67">
        <v>61661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37321</v>
      </c>
      <c r="B47" s="32"/>
      <c r="C47" s="32"/>
      <c r="D47" s="349">
        <f>+P37</f>
        <v>4206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65867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2.3035170874641322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C12" sqref="C1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-114893</v>
      </c>
      <c r="C37" s="11">
        <f>SUM(C6:C36)</f>
        <v>-113655</v>
      </c>
      <c r="D37" s="25">
        <f>SUM(D6:D36)</f>
        <v>1238</v>
      </c>
    </row>
    <row r="38" spans="1:4" x14ac:dyDescent="0.2">
      <c r="A38" s="26"/>
      <c r="C38" s="14"/>
      <c r="D38" s="326">
        <f>+summary!G4</f>
        <v>2.38</v>
      </c>
    </row>
    <row r="39" spans="1:4" x14ac:dyDescent="0.2">
      <c r="D39" s="138">
        <f>+D38*D37</f>
        <v>2946.44</v>
      </c>
    </row>
    <row r="40" spans="1:4" x14ac:dyDescent="0.2">
      <c r="A40" s="57">
        <v>37315</v>
      </c>
      <c r="C40" s="15"/>
      <c r="D40" s="590">
        <v>-11774</v>
      </c>
    </row>
    <row r="41" spans="1:4" x14ac:dyDescent="0.2">
      <c r="A41" s="57">
        <v>37321</v>
      </c>
      <c r="C41" s="48"/>
      <c r="D41" s="138">
        <f>+D40+D39</f>
        <v>-8827.56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91">
        <v>7289</v>
      </c>
    </row>
    <row r="47" spans="1:4" x14ac:dyDescent="0.2">
      <c r="A47" s="49">
        <f>+A41</f>
        <v>37321</v>
      </c>
      <c r="B47" s="32"/>
      <c r="C47" s="32"/>
      <c r="D47" s="349">
        <f>+D37</f>
        <v>1238</v>
      </c>
    </row>
    <row r="48" spans="1:4" x14ac:dyDescent="0.2">
      <c r="A48" s="32"/>
      <c r="B48" s="32"/>
      <c r="C48" s="32"/>
      <c r="D48" s="14">
        <f>+D47+D46</f>
        <v>8527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30" workbookViewId="0">
      <selection activeCell="D51" sqref="D5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2.39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590">
        <v>69866</v>
      </c>
    </row>
    <row r="41" spans="1:5" x14ac:dyDescent="0.2">
      <c r="A41" s="57">
        <v>37315</v>
      </c>
      <c r="C41" s="48"/>
      <c r="D41" s="138">
        <f>+D40+D39</f>
        <v>69866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1">
        <v>27486</v>
      </c>
      <c r="E46" s="592"/>
    </row>
    <row r="47" spans="1:5" x14ac:dyDescent="0.2">
      <c r="A47" s="49">
        <f>+A41</f>
        <v>37315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4">
        <f>+D41/D48</f>
        <v>2.5418758640762569</v>
      </c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C53" sqref="C53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9" t="s">
        <v>324</v>
      </c>
    </row>
    <row r="3" spans="1:37" x14ac:dyDescent="0.2">
      <c r="B3" s="463">
        <v>13202</v>
      </c>
      <c r="D3" s="463">
        <v>59362</v>
      </c>
      <c r="F3" s="463">
        <v>59330</v>
      </c>
      <c r="H3" s="463">
        <v>13195</v>
      </c>
      <c r="J3" s="463">
        <v>13196</v>
      </c>
      <c r="L3" s="463">
        <v>13204</v>
      </c>
    </row>
    <row r="4" spans="1:37" x14ac:dyDescent="0.2">
      <c r="B4" s="520" t="s">
        <v>318</v>
      </c>
      <c r="C4" s="521"/>
      <c r="D4" s="522" t="s">
        <v>319</v>
      </c>
      <c r="E4" s="521"/>
      <c r="F4" s="522" t="s">
        <v>320</v>
      </c>
      <c r="G4" s="521"/>
      <c r="H4" s="522" t="s">
        <v>321</v>
      </c>
      <c r="I4" s="521"/>
      <c r="J4" s="522" t="s">
        <v>322</v>
      </c>
      <c r="K4" s="521"/>
      <c r="L4" s="522" t="s">
        <v>323</v>
      </c>
      <c r="M4" s="521"/>
      <c r="N4" s="521"/>
    </row>
    <row r="5" spans="1:37" x14ac:dyDescent="0.2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">
      <c r="N38" s="264">
        <f>+summary!G4</f>
        <v>2.38</v>
      </c>
      <c r="P38" s="51"/>
      <c r="T38" s="530"/>
      <c r="U38" s="19"/>
      <c r="V38" s="531"/>
      <c r="W38" s="252"/>
      <c r="X38" s="264"/>
      <c r="Y38" s="528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">
      <c r="N40" s="329"/>
      <c r="P40" s="530"/>
      <c r="T40" s="530"/>
      <c r="U40" s="19"/>
      <c r="V40" s="531"/>
      <c r="W40" s="252"/>
      <c r="X40" s="264"/>
      <c r="Y40" s="528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573">
        <v>68162</v>
      </c>
      <c r="P41" s="530"/>
      <c r="T41" s="530"/>
      <c r="U41" s="19"/>
      <c r="V41" s="531"/>
      <c r="W41" s="252"/>
      <c r="X41" s="264"/>
      <c r="Y41" s="528"/>
    </row>
    <row r="42" spans="1:25" x14ac:dyDescent="0.2">
      <c r="N42" s="319"/>
      <c r="P42" s="530"/>
      <c r="T42" s="530"/>
      <c r="U42" s="19"/>
      <c r="V42" s="531"/>
      <c r="W42" s="252"/>
      <c r="X42" s="264"/>
      <c r="Y42" s="528"/>
    </row>
    <row r="43" spans="1:25" x14ac:dyDescent="0.2">
      <c r="A43" s="263">
        <v>37315</v>
      </c>
      <c r="N43" s="319">
        <f>+N41+N39</f>
        <v>68162</v>
      </c>
      <c r="P43" s="530"/>
      <c r="T43" s="530"/>
      <c r="U43" s="19"/>
      <c r="V43" s="531"/>
      <c r="W43" s="252"/>
      <c r="X43" s="264"/>
      <c r="Y43" s="528"/>
    </row>
    <row r="44" spans="1:25" x14ac:dyDescent="0.2">
      <c r="N44" s="329"/>
      <c r="P44" s="530"/>
      <c r="T44" s="530"/>
      <c r="U44" s="19"/>
      <c r="V44" s="531"/>
      <c r="W44" s="252"/>
      <c r="X44" s="264"/>
      <c r="Y44" s="528"/>
    </row>
    <row r="45" spans="1:25" x14ac:dyDescent="0.2">
      <c r="P45" s="530"/>
      <c r="T45" s="530"/>
      <c r="U45" s="19"/>
      <c r="V45" s="531"/>
      <c r="W45" s="252"/>
      <c r="X45" s="264"/>
      <c r="Y45" s="528"/>
    </row>
    <row r="46" spans="1:25" x14ac:dyDescent="0.2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">
      <c r="A48" s="533">
        <f>+A41</f>
        <v>37315</v>
      </c>
      <c r="B48" s="249"/>
      <c r="C48" s="249"/>
      <c r="D48" s="567">
        <v>24616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">
      <c r="A49" s="533">
        <f>+A43</f>
        <v>37315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">
      <c r="A50" s="249"/>
      <c r="B50" s="249"/>
      <c r="C50" s="249"/>
      <c r="D50" s="262">
        <f>+D49+D48</f>
        <v>24616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">
      <c r="A84" s="261"/>
      <c r="O84" s="529"/>
      <c r="P84" s="530"/>
      <c r="Q84" s="530"/>
      <c r="R84" s="530"/>
      <c r="S84" s="530"/>
      <c r="T84" s="530"/>
      <c r="V84" s="536"/>
    </row>
    <row r="85" spans="1:22" x14ac:dyDescent="0.2">
      <c r="A85" s="261"/>
      <c r="O85" s="529"/>
      <c r="P85" s="530"/>
      <c r="Q85" s="530"/>
      <c r="R85" s="530"/>
      <c r="S85" s="530"/>
      <c r="T85" s="530"/>
      <c r="V85" s="536"/>
    </row>
    <row r="86" spans="1:22" x14ac:dyDescent="0.2">
      <c r="A86" s="261"/>
      <c r="O86" s="529"/>
      <c r="P86" s="530"/>
      <c r="Q86" s="530"/>
      <c r="R86" s="530"/>
      <c r="S86" s="530"/>
      <c r="T86" s="530"/>
      <c r="V86" s="536"/>
    </row>
    <row r="87" spans="1:22" x14ac:dyDescent="0.2">
      <c r="A87" s="261"/>
      <c r="O87" s="529"/>
      <c r="P87" s="530"/>
      <c r="Q87" s="530"/>
      <c r="R87" s="530"/>
      <c r="S87" s="530"/>
      <c r="T87" s="530"/>
      <c r="V87" s="536"/>
    </row>
    <row r="88" spans="1:22" x14ac:dyDescent="0.2">
      <c r="A88" s="261"/>
      <c r="O88" s="529"/>
      <c r="P88" s="530"/>
      <c r="Q88" s="530"/>
      <c r="R88" s="530"/>
      <c r="S88" s="530"/>
      <c r="T88" s="530"/>
      <c r="V88" s="536"/>
    </row>
    <row r="89" spans="1:22" x14ac:dyDescent="0.2">
      <c r="A89" s="261"/>
      <c r="O89" s="529"/>
      <c r="P89" s="530"/>
      <c r="Q89" s="530"/>
      <c r="R89" s="530"/>
      <c r="S89" s="530"/>
      <c r="T89" s="530"/>
      <c r="V89" s="536"/>
    </row>
    <row r="90" spans="1:22" x14ac:dyDescent="0.2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9"/>
      <c r="K166" s="539"/>
      <c r="M166" s="539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9"/>
      <c r="K208" s="539"/>
      <c r="M208" s="539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9"/>
      <c r="K251" s="539"/>
      <c r="M251" s="539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9"/>
      <c r="K293" s="539"/>
      <c r="M293" s="539"/>
      <c r="V293" s="539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0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9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0"/>
      <c r="W378" s="541"/>
    </row>
    <row r="381" spans="14:23" x14ac:dyDescent="0.2">
      <c r="O381" s="463"/>
      <c r="Q381" s="463"/>
      <c r="S381" s="463"/>
      <c r="U381" s="463"/>
    </row>
    <row r="382" spans="14:23" x14ac:dyDescent="0.2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9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0"/>
      <c r="W420" s="541"/>
    </row>
    <row r="425" spans="14:23" x14ac:dyDescent="0.2">
      <c r="O425" s="463"/>
      <c r="Q425" s="463"/>
      <c r="S425" s="463"/>
      <c r="U425" s="463"/>
    </row>
    <row r="426" spans="14:23" x14ac:dyDescent="0.2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9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0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37" sqref="C3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/>
      <c r="C14" s="11"/>
      <c r="D14" s="25">
        <f t="shared" si="0"/>
        <v>0</v>
      </c>
    </row>
    <row r="15" spans="1:4" x14ac:dyDescent="0.2">
      <c r="A15" s="10">
        <v>9</v>
      </c>
      <c r="B15" s="11"/>
      <c r="C15" s="11"/>
      <c r="D15" s="25">
        <f t="shared" si="0"/>
        <v>0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985098</v>
      </c>
      <c r="C38" s="11">
        <f>SUM(C7:C37)</f>
        <v>983828</v>
      </c>
      <c r="D38" s="11">
        <f>SUM(D7:D37)</f>
        <v>-1270</v>
      </c>
    </row>
    <row r="39" spans="1:8" x14ac:dyDescent="0.2">
      <c r="A39" s="26"/>
      <c r="C39" s="14"/>
      <c r="D39" s="106">
        <f>+summary!G3</f>
        <v>2.36</v>
      </c>
    </row>
    <row r="40" spans="1:8" x14ac:dyDescent="0.2">
      <c r="D40" s="138">
        <f>+D39*D38</f>
        <v>-2997.2</v>
      </c>
      <c r="H40">
        <v>20</v>
      </c>
    </row>
    <row r="41" spans="1:8" x14ac:dyDescent="0.2">
      <c r="A41" s="57">
        <v>37315</v>
      </c>
      <c r="C41" s="15"/>
      <c r="D41" s="597">
        <v>-13945</v>
      </c>
      <c r="H41">
        <v>530</v>
      </c>
    </row>
    <row r="42" spans="1:8" x14ac:dyDescent="0.2">
      <c r="A42" s="57">
        <v>37322</v>
      </c>
      <c r="D42" s="319">
        <f>+D41+D40</f>
        <v>-16942.2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67">
        <v>-7030</v>
      </c>
    </row>
    <row r="48" spans="1:8" x14ac:dyDescent="0.2">
      <c r="A48" s="49">
        <f>+A42</f>
        <v>37322</v>
      </c>
      <c r="B48" s="32"/>
      <c r="C48" s="32"/>
      <c r="D48" s="349">
        <f>+D38</f>
        <v>-1270</v>
      </c>
    </row>
    <row r="49" spans="1:4" x14ac:dyDescent="0.2">
      <c r="A49" s="32"/>
      <c r="B49" s="32"/>
      <c r="C49" s="32"/>
      <c r="D49" s="14">
        <f>+D48+D47</f>
        <v>-8300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workbookViewId="0">
      <selection activeCell="C10" sqref="C10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/>
      <c r="C10" s="11"/>
      <c r="D10" s="25">
        <f t="shared" si="0"/>
        <v>0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-983741</v>
      </c>
      <c r="C35" s="11">
        <f>SUM(C4:C34)</f>
        <v>-981792</v>
      </c>
      <c r="D35" s="11">
        <f>SUM(D4:D34)</f>
        <v>1949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575">
        <v>5393</v>
      </c>
    </row>
    <row r="39" spans="1:30" x14ac:dyDescent="0.2">
      <c r="A39" s="12"/>
      <c r="D39" s="51"/>
    </row>
    <row r="40" spans="1:30" x14ac:dyDescent="0.2">
      <c r="A40" s="245">
        <v>37321</v>
      </c>
      <c r="D40" s="51">
        <f>+D38+D35</f>
        <v>7342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1"/>
      <c r="K44"/>
    </row>
    <row r="45" spans="1:30" x14ac:dyDescent="0.2">
      <c r="A45" s="49">
        <f>+A38</f>
        <v>37315</v>
      </c>
      <c r="B45" s="32"/>
      <c r="C45" s="32"/>
      <c r="D45" s="574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37321</v>
      </c>
      <c r="B46" s="32"/>
      <c r="C46" s="32"/>
      <c r="D46" s="374">
        <f>+D35*'by type_area'!G4</f>
        <v>4638.62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-188254.38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E28" sqref="E2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/>
      <c r="C11" s="11"/>
      <c r="D11" s="11"/>
      <c r="E11" s="11"/>
      <c r="F11" s="25">
        <f t="shared" si="0"/>
        <v>0</v>
      </c>
      <c r="H11" s="10"/>
      <c r="I11" s="11"/>
    </row>
    <row r="12" spans="1:11" x14ac:dyDescent="0.2">
      <c r="A12" s="10">
        <v>9</v>
      </c>
      <c r="B12" s="11"/>
      <c r="C12" s="11"/>
      <c r="D12" s="11"/>
      <c r="E12" s="11"/>
      <c r="F12" s="25">
        <f t="shared" si="0"/>
        <v>0</v>
      </c>
      <c r="H12" s="10"/>
      <c r="I12" s="11"/>
    </row>
    <row r="13" spans="1:11" x14ac:dyDescent="0.2">
      <c r="A13" s="10">
        <v>10</v>
      </c>
      <c r="B13" s="11"/>
      <c r="C13" s="11"/>
      <c r="D13" s="129"/>
      <c r="E13" s="11"/>
      <c r="F13" s="25">
        <f t="shared" si="0"/>
        <v>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-3654855</v>
      </c>
      <c r="C35" s="11">
        <f>SUM(C4:C34)</f>
        <v>-3744584</v>
      </c>
      <c r="D35" s="11">
        <f>SUM(D4:D34)</f>
        <v>0</v>
      </c>
      <c r="E35" s="11">
        <f>SUM(E4:E34)</f>
        <v>0</v>
      </c>
      <c r="F35" s="11">
        <f>SUM(F4:F34)</f>
        <v>-89729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76">
        <v>78476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37322</v>
      </c>
      <c r="D40" s="246"/>
      <c r="E40" s="246"/>
      <c r="F40" s="51">
        <f>+F38+F35</f>
        <v>-11253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74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37322</v>
      </c>
      <c r="B46" s="32"/>
      <c r="C46" s="32"/>
      <c r="D46" s="472">
        <f>+F35*'by type_area'!G4</f>
        <v>-213555.02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63931.98000000001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8" workbookViewId="0">
      <selection activeCell="E27" sqref="E2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-77586</v>
      </c>
      <c r="C9" s="11">
        <v>-13450</v>
      </c>
      <c r="D9" s="11"/>
      <c r="E9" s="11">
        <v>-63506</v>
      </c>
      <c r="F9" s="11"/>
      <c r="G9" s="11"/>
      <c r="H9" s="11">
        <f t="shared" si="0"/>
        <v>630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/>
      <c r="C11" s="11"/>
      <c r="D11" s="129"/>
      <c r="E11" s="11"/>
      <c r="F11" s="11"/>
      <c r="G11" s="11"/>
      <c r="H11" s="11">
        <f t="shared" si="0"/>
        <v>0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2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-581852</v>
      </c>
      <c r="C35" s="44">
        <f t="shared" si="3"/>
        <v>-127858</v>
      </c>
      <c r="D35" s="11">
        <f t="shared" si="3"/>
        <v>-46726</v>
      </c>
      <c r="E35" s="44">
        <f t="shared" si="3"/>
        <v>-495583</v>
      </c>
      <c r="F35" s="11">
        <f t="shared" si="3"/>
        <v>0</v>
      </c>
      <c r="G35" s="11">
        <f t="shared" si="3"/>
        <v>0</v>
      </c>
      <c r="H35" s="11">
        <f t="shared" si="3"/>
        <v>5137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2.38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12226.06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37315</v>
      </c>
      <c r="F38" s="471"/>
      <c r="G38" s="265"/>
      <c r="H38" s="490">
        <v>35630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37321</v>
      </c>
      <c r="F39" s="471"/>
      <c r="G39" s="471"/>
      <c r="H39" s="319">
        <f>+H38+H37</f>
        <v>47856.06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2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37321</v>
      </c>
      <c r="E47" s="457">
        <f>+H35</f>
        <v>5137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49823</v>
      </c>
      <c r="F48" s="129"/>
      <c r="G48" s="129"/>
      <c r="H48" s="129"/>
      <c r="I48" s="262"/>
      <c r="J48" s="102"/>
      <c r="K48" s="506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39" sqref="E39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-281443</v>
      </c>
      <c r="F6" s="11"/>
      <c r="G6" s="11"/>
      <c r="H6" s="24">
        <f t="shared" ref="H6:H35" si="0">+E6-D6+C6-B6</f>
        <v>-287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-1708999</v>
      </c>
      <c r="E36" s="11">
        <f t="shared" si="15"/>
        <v>-1714271</v>
      </c>
      <c r="F36" s="11">
        <f t="shared" si="15"/>
        <v>0</v>
      </c>
      <c r="G36" s="11">
        <f t="shared" si="15"/>
        <v>0</v>
      </c>
      <c r="H36" s="11">
        <f t="shared" si="15"/>
        <v>-5272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-5272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578">
        <v>64269</v>
      </c>
      <c r="D38" s="320"/>
      <c r="E38" s="579">
        <v>-26822</v>
      </c>
      <c r="F38" s="24"/>
      <c r="G38" s="24"/>
      <c r="H38" s="236">
        <f>+C38+E38+G38</f>
        <v>37447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37321</v>
      </c>
      <c r="B39" s="2" t="s">
        <v>45</v>
      </c>
      <c r="C39" s="131">
        <f>+C38+C37</f>
        <v>64269</v>
      </c>
      <c r="D39" s="252"/>
      <c r="E39" s="131">
        <f>+E38+E37</f>
        <v>-32094</v>
      </c>
      <c r="F39" s="252"/>
      <c r="G39" s="131"/>
      <c r="H39" s="131">
        <f>+H38+H36</f>
        <v>32175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77">
        <v>-1582961.01</v>
      </c>
      <c r="D44" s="205"/>
      <c r="E44" s="580">
        <v>925707</v>
      </c>
      <c r="F44" s="47">
        <f>+E44+C44</f>
        <v>-657254.01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37321</v>
      </c>
      <c r="B45" s="32"/>
      <c r="C45" s="47">
        <f>+C37*summary!G4</f>
        <v>0</v>
      </c>
      <c r="D45" s="205"/>
      <c r="E45" s="376">
        <f>+E37*summary!G3</f>
        <v>-12441.92</v>
      </c>
      <c r="F45" s="47">
        <f>+E45+C45</f>
        <v>-12441.92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B39" sqref="B39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21059</v>
      </c>
      <c r="E14" s="11">
        <v>19176</v>
      </c>
      <c r="F14" s="11">
        <f t="shared" si="5"/>
        <v>-5528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/>
      <c r="C15" s="11"/>
      <c r="D15" s="129"/>
      <c r="E15" s="11"/>
      <c r="F15" s="11">
        <f t="shared" si="5"/>
        <v>0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/>
      <c r="C16" s="11"/>
      <c r="D16" s="129"/>
      <c r="E16" s="11"/>
      <c r="F16" s="11">
        <f t="shared" si="5"/>
        <v>0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4">
        <f>+A45</f>
        <v>37322</v>
      </c>
      <c r="I23" s="11">
        <f>+B39</f>
        <v>1058792</v>
      </c>
      <c r="J23" s="11">
        <f>+C39</f>
        <v>1051648</v>
      </c>
      <c r="K23" s="11">
        <f>+D39</f>
        <v>142908</v>
      </c>
      <c r="L23" s="11">
        <f>+E39</f>
        <v>136941</v>
      </c>
      <c r="M23" s="42">
        <f>+J23-I23+L23-K23</f>
        <v>-13111</v>
      </c>
      <c r="N23" s="102">
        <f>+summary!G3</f>
        <v>2.36</v>
      </c>
      <c r="O23" s="496">
        <f>+N23*M23</f>
        <v>-30941.96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5">
        <f>SUM(M9:M23)</f>
        <v>76689</v>
      </c>
      <c r="N24" s="102"/>
      <c r="O24" s="102">
        <f>SUM(O9:O23)</f>
        <v>537174.38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1058792</v>
      </c>
      <c r="C39" s="150">
        <f>SUM(C8:C38)</f>
        <v>1051648</v>
      </c>
      <c r="D39" s="150">
        <f>SUM(D8:D38)</f>
        <v>142908</v>
      </c>
      <c r="E39" s="150">
        <f>SUM(E8:E38)</f>
        <v>136941</v>
      </c>
      <c r="F39" s="11">
        <f t="shared" si="5"/>
        <v>-13111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60"/>
      <c r="D44" s="111"/>
      <c r="E44" s="460"/>
      <c r="F44" s="565">
        <v>64258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37322</v>
      </c>
      <c r="B45" s="32"/>
      <c r="C45" s="106"/>
      <c r="D45" s="106"/>
      <c r="E45" s="106"/>
      <c r="F45" s="24">
        <f>+F44+F39</f>
        <v>51147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8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37322</v>
      </c>
      <c r="B51" s="32"/>
      <c r="C51" s="32"/>
      <c r="D51" s="349">
        <f>+F39*summary!G3</f>
        <v>-30941.96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450444.04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F53" s="34">
        <f>+D52/F45</f>
        <v>8.8068516237511485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2002-03-07T18:55:25Z</cp:lastPrinted>
  <dcterms:created xsi:type="dcterms:W3CDTF">2000-03-28T16:52:23Z</dcterms:created>
  <dcterms:modified xsi:type="dcterms:W3CDTF">2014-09-05T10:01:29Z</dcterms:modified>
</cp:coreProperties>
</file>