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715" yWindow="-15" windowWidth="5910" windowHeight="8355" firstSheet="3" activeTab="3"/>
  </bookViews>
  <sheets>
    <sheet name="Goals" sheetId="17" r:id="rId1"/>
    <sheet name="Sheet1" sheetId="1" r:id="rId2"/>
    <sheet name="npv" sheetId="3" r:id="rId3"/>
    <sheet name="riddle" sheetId="10" r:id="rId4"/>
    <sheet name="Sheet11" sheetId="11" r:id="rId5"/>
    <sheet name="Sheet15" sheetId="15" r:id="rId6"/>
    <sheet name="Sheet16" sheetId="16" r:id="rId7"/>
  </sheets>
  <calcPr calcId="152511" calcMode="manual"/>
</workbook>
</file>

<file path=xl/calcChain.xml><?xml version="1.0" encoding="utf-8"?>
<calcChain xmlns="http://schemas.openxmlformats.org/spreadsheetml/2006/main">
  <c r="D6" i="3" l="1"/>
  <c r="D7" i="3" s="1"/>
  <c r="D10" i="3"/>
  <c r="D29" i="3" s="1"/>
  <c r="E29" i="3" s="1"/>
  <c r="F29" i="3" s="1"/>
  <c r="G29" i="3" s="1"/>
  <c r="D16" i="3"/>
  <c r="D26" i="3" s="1"/>
  <c r="H29" i="3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D30" i="3"/>
  <c r="E30" i="3" s="1"/>
  <c r="F30" i="3" s="1"/>
  <c r="G30" i="3"/>
  <c r="H30" i="3"/>
  <c r="I30" i="3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D31" i="3"/>
  <c r="E31" i="3" s="1"/>
  <c r="F31" i="3"/>
  <c r="G31" i="3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D32" i="3"/>
  <c r="E32" i="3" s="1"/>
  <c r="F32" i="3"/>
  <c r="G32" i="3"/>
  <c r="H32" i="3" s="1"/>
  <c r="I32" i="3" s="1"/>
  <c r="J32" i="3"/>
  <c r="K32" i="3" s="1"/>
  <c r="L32" i="3" s="1"/>
  <c r="M32" i="3" s="1"/>
  <c r="N32" i="3"/>
  <c r="O32" i="3" s="1"/>
  <c r="P32" i="3" s="1"/>
  <c r="Q32" i="3" s="1"/>
  <c r="R32" i="3" s="1"/>
  <c r="S32" i="3" s="1"/>
  <c r="D41" i="3"/>
  <c r="D43" i="3" s="1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F2" i="10"/>
  <c r="D6" i="10"/>
  <c r="I6" i="10"/>
  <c r="D7" i="10"/>
  <c r="D12" i="10"/>
  <c r="E12" i="10" s="1"/>
  <c r="D14" i="10"/>
  <c r="E14" i="10"/>
  <c r="I14" i="10"/>
  <c r="D15" i="10"/>
  <c r="D19" i="10" s="1"/>
  <c r="E16" i="10"/>
  <c r="E17" i="10"/>
  <c r="E18" i="10"/>
  <c r="E19" i="10"/>
  <c r="I7" i="10" s="1"/>
  <c r="D21" i="10"/>
  <c r="E21" i="10"/>
  <c r="D33" i="10"/>
  <c r="E33" i="10" s="1"/>
  <c r="F33" i="10" s="1"/>
  <c r="D34" i="10"/>
  <c r="E34" i="10"/>
  <c r="F34" i="10"/>
  <c r="G34" i="10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D36" i="10"/>
  <c r="E36" i="10"/>
  <c r="F36" i="10"/>
  <c r="G36" i="10" s="1"/>
  <c r="H36" i="10" s="1"/>
  <c r="I36" i="10" s="1"/>
  <c r="J36" i="10" s="1"/>
  <c r="K36" i="10"/>
  <c r="L36" i="10"/>
  <c r="M36" i="10"/>
  <c r="N36" i="10" s="1"/>
  <c r="O36" i="10" s="1"/>
  <c r="P36" i="10" s="1"/>
  <c r="Q36" i="10" s="1"/>
  <c r="R36" i="10" s="1"/>
  <c r="S36" i="10" s="1"/>
  <c r="D37" i="10"/>
  <c r="E37" i="10" s="1"/>
  <c r="F37" i="10"/>
  <c r="G37" i="10" s="1"/>
  <c r="H37" i="10" s="1"/>
  <c r="I37" i="10" s="1"/>
  <c r="J37" i="10" s="1"/>
  <c r="K37" i="10" s="1"/>
  <c r="L37" i="10" s="1"/>
  <c r="M37" i="10" s="1"/>
  <c r="N37" i="10" s="1"/>
  <c r="O37" i="10" s="1"/>
  <c r="P37" i="10" s="1"/>
  <c r="Q37" i="10" s="1"/>
  <c r="R37" i="10" s="1"/>
  <c r="S37" i="10" s="1"/>
  <c r="D38" i="10"/>
  <c r="E38" i="10" s="1"/>
  <c r="F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E47" i="10"/>
  <c r="F47" i="10"/>
  <c r="G47" i="10" s="1"/>
  <c r="H47" i="10" s="1"/>
  <c r="I47" i="10"/>
  <c r="J47" i="10" s="1"/>
  <c r="K47" i="10" s="1"/>
  <c r="L47" i="10" s="1"/>
  <c r="M47" i="10" s="1"/>
  <c r="N47" i="10" s="1"/>
  <c r="O47" i="10" s="1"/>
  <c r="P47" i="10" s="1"/>
  <c r="Q47" i="10" s="1"/>
  <c r="R47" i="10" s="1"/>
  <c r="S47" i="10" s="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F6" i="1"/>
  <c r="H6" i="1"/>
  <c r="D9" i="1"/>
  <c r="F9" i="1"/>
  <c r="J9" i="1"/>
  <c r="D12" i="1"/>
  <c r="F12" i="1"/>
  <c r="F17" i="1" s="1"/>
  <c r="J12" i="1"/>
  <c r="J17" i="1" s="1"/>
  <c r="D13" i="1"/>
  <c r="D17" i="1" s="1"/>
  <c r="F13" i="1"/>
  <c r="J13" i="1"/>
  <c r="F19" i="1"/>
  <c r="H19" i="1"/>
  <c r="J19" i="1"/>
  <c r="D21" i="1"/>
  <c r="D23" i="1" s="1"/>
  <c r="D25" i="1" s="1"/>
  <c r="D30" i="1"/>
  <c r="D33" i="1"/>
  <c r="D37" i="1" s="1"/>
  <c r="D41" i="1" s="1"/>
  <c r="D43" i="1" s="1"/>
  <c r="D45" i="1" s="1"/>
  <c r="D34" i="1"/>
  <c r="D36" i="1"/>
  <c r="D52" i="1"/>
  <c r="F50" i="10" l="1"/>
  <c r="G33" i="10"/>
  <c r="E50" i="10"/>
  <c r="H12" i="1"/>
  <c r="H13" i="1"/>
  <c r="D23" i="10"/>
  <c r="D31" i="10"/>
  <c r="D48" i="1"/>
  <c r="D50" i="1" s="1"/>
  <c r="J21" i="1"/>
  <c r="J23" i="1" s="1"/>
  <c r="J25" i="1" s="1"/>
  <c r="D46" i="10"/>
  <c r="I9" i="10"/>
  <c r="I16" i="10" s="1"/>
  <c r="F21" i="1"/>
  <c r="F23" i="1" s="1"/>
  <c r="F25" i="1" s="1"/>
  <c r="H9" i="1"/>
  <c r="D35" i="10"/>
  <c r="E35" i="10" s="1"/>
  <c r="F35" i="10" s="1"/>
  <c r="G35" i="10" s="1"/>
  <c r="H35" i="10" s="1"/>
  <c r="I35" i="10" s="1"/>
  <c r="J35" i="10" s="1"/>
  <c r="K35" i="10" s="1"/>
  <c r="L35" i="10" s="1"/>
  <c r="M35" i="10" s="1"/>
  <c r="N35" i="10" s="1"/>
  <c r="O35" i="10" s="1"/>
  <c r="P35" i="10" s="1"/>
  <c r="Q35" i="10" s="1"/>
  <c r="R35" i="10" s="1"/>
  <c r="S35" i="10" s="1"/>
  <c r="E15" i="10"/>
  <c r="D49" i="10"/>
  <c r="D41" i="10"/>
  <c r="D9" i="3"/>
  <c r="D14" i="3" s="1"/>
  <c r="D18" i="3" s="1"/>
  <c r="D20" i="3" s="1"/>
  <c r="D22" i="3" s="1"/>
  <c r="D45" i="3"/>
  <c r="D50" i="10"/>
  <c r="D34" i="3"/>
  <c r="D37" i="3" s="1"/>
  <c r="E26" i="3"/>
  <c r="E23" i="10" l="1"/>
  <c r="D25" i="10"/>
  <c r="D27" i="10" s="1"/>
  <c r="F26" i="3"/>
  <c r="E34" i="3"/>
  <c r="E37" i="3" s="1"/>
  <c r="D51" i="10"/>
  <c r="H33" i="10"/>
  <c r="G50" i="10"/>
  <c r="H17" i="1"/>
  <c r="H21" i="1" s="1"/>
  <c r="H23" i="1" s="1"/>
  <c r="H25" i="1" s="1"/>
  <c r="E41" i="3"/>
  <c r="E43" i="3" s="1"/>
  <c r="E45" i="3"/>
  <c r="D56" i="10"/>
  <c r="D60" i="10" s="1"/>
  <c r="E31" i="10"/>
  <c r="D40" i="10"/>
  <c r="D43" i="10" s="1"/>
  <c r="I33" i="10" l="1"/>
  <c r="H50" i="10"/>
  <c r="D57" i="10"/>
  <c r="D53" i="10"/>
  <c r="F34" i="3"/>
  <c r="F37" i="3" s="1"/>
  <c r="G26" i="3"/>
  <c r="F41" i="3"/>
  <c r="F43" i="3" s="1"/>
  <c r="F45" i="3"/>
  <c r="E56" i="10"/>
  <c r="E60" i="10" s="1"/>
  <c r="F31" i="10"/>
  <c r="E40" i="10"/>
  <c r="E43" i="10" s="1"/>
  <c r="G41" i="3" l="1"/>
  <c r="G43" i="3" s="1"/>
  <c r="G45" i="3"/>
  <c r="J33" i="10"/>
  <c r="I50" i="10"/>
  <c r="G34" i="3"/>
  <c r="G37" i="3" s="1"/>
  <c r="H26" i="3"/>
  <c r="F40" i="10"/>
  <c r="F43" i="10" s="1"/>
  <c r="F56" i="10"/>
  <c r="F60" i="10" s="1"/>
  <c r="G31" i="10"/>
  <c r="E49" i="10"/>
  <c r="E51" i="10" s="1"/>
  <c r="E57" i="10" s="1"/>
  <c r="H31" i="10" l="1"/>
  <c r="G40" i="10"/>
  <c r="G43" i="10" s="1"/>
  <c r="G56" i="10"/>
  <c r="G60" i="10" s="1"/>
  <c r="J50" i="10"/>
  <c r="K33" i="10"/>
  <c r="H41" i="3"/>
  <c r="H43" i="3" s="1"/>
  <c r="H45" i="3"/>
  <c r="E53" i="10"/>
  <c r="H34" i="3"/>
  <c r="H37" i="3" s="1"/>
  <c r="I26" i="3"/>
  <c r="K50" i="10" l="1"/>
  <c r="L33" i="10"/>
  <c r="I34" i="3"/>
  <c r="I37" i="3" s="1"/>
  <c r="J26" i="3"/>
  <c r="F49" i="10"/>
  <c r="F51" i="10" s="1"/>
  <c r="F57" i="10" s="1"/>
  <c r="F53" i="10"/>
  <c r="H40" i="10"/>
  <c r="H43" i="10" s="1"/>
  <c r="I31" i="10"/>
  <c r="H56" i="10"/>
  <c r="H60" i="10" s="1"/>
  <c r="I41" i="3"/>
  <c r="I43" i="3" s="1"/>
  <c r="I45" i="3"/>
  <c r="J41" i="3" l="1"/>
  <c r="J43" i="3" s="1"/>
  <c r="J45" i="3"/>
  <c r="G49" i="10"/>
  <c r="G51" i="10" s="1"/>
  <c r="G57" i="10" s="1"/>
  <c r="L50" i="10"/>
  <c r="M33" i="10"/>
  <c r="K26" i="3"/>
  <c r="J34" i="3"/>
  <c r="J37" i="3" s="1"/>
  <c r="I40" i="10"/>
  <c r="I43" i="10" s="1"/>
  <c r="J31" i="10"/>
  <c r="I56" i="10"/>
  <c r="I60" i="10" s="1"/>
  <c r="N33" i="10" l="1"/>
  <c r="M50" i="10"/>
  <c r="K41" i="3"/>
  <c r="K43" i="3" s="1"/>
  <c r="K45" i="3"/>
  <c r="K34" i="3"/>
  <c r="K37" i="3" s="1"/>
  <c r="L26" i="3"/>
  <c r="J56" i="10"/>
  <c r="J60" i="10" s="1"/>
  <c r="J40" i="10"/>
  <c r="J43" i="10" s="1"/>
  <c r="K31" i="10"/>
  <c r="G53" i="10"/>
  <c r="L34" i="3" l="1"/>
  <c r="L37" i="3" s="1"/>
  <c r="M26" i="3"/>
  <c r="L41" i="3"/>
  <c r="L43" i="3" s="1"/>
  <c r="L45" i="3" s="1"/>
  <c r="N50" i="10"/>
  <c r="O33" i="10"/>
  <c r="H53" i="10"/>
  <c r="H49" i="10"/>
  <c r="H51" i="10" s="1"/>
  <c r="H57" i="10" s="1"/>
  <c r="K56" i="10"/>
  <c r="K60" i="10" s="1"/>
  <c r="L31" i="10"/>
  <c r="K40" i="10"/>
  <c r="K43" i="10" s="1"/>
  <c r="M45" i="3" l="1"/>
  <c r="M41" i="3"/>
  <c r="M43" i="3" s="1"/>
  <c r="P33" i="10"/>
  <c r="O50" i="10"/>
  <c r="L56" i="10"/>
  <c r="L60" i="10" s="1"/>
  <c r="L40" i="10"/>
  <c r="L43" i="10" s="1"/>
  <c r="M31" i="10"/>
  <c r="I49" i="10"/>
  <c r="I51" i="10" s="1"/>
  <c r="I57" i="10" s="1"/>
  <c r="N26" i="3"/>
  <c r="M34" i="3"/>
  <c r="M37" i="3" s="1"/>
  <c r="N41" i="3" l="1"/>
  <c r="N43" i="3" s="1"/>
  <c r="N45" i="3" s="1"/>
  <c r="N31" i="10"/>
  <c r="M56" i="10"/>
  <c r="M60" i="10" s="1"/>
  <c r="M40" i="10"/>
  <c r="M43" i="10" s="1"/>
  <c r="O26" i="3"/>
  <c r="N34" i="3"/>
  <c r="N37" i="3" s="1"/>
  <c r="Q33" i="10"/>
  <c r="P50" i="10"/>
  <c r="I53" i="10"/>
  <c r="O41" i="3" l="1"/>
  <c r="O43" i="3" s="1"/>
  <c r="O45" i="3" s="1"/>
  <c r="R33" i="10"/>
  <c r="Q50" i="10"/>
  <c r="P26" i="3"/>
  <c r="O34" i="3"/>
  <c r="O37" i="3" s="1"/>
  <c r="J49" i="10"/>
  <c r="J51" i="10" s="1"/>
  <c r="J57" i="10" s="1"/>
  <c r="O31" i="10"/>
  <c r="N56" i="10"/>
  <c r="N60" i="10" s="1"/>
  <c r="N40" i="10"/>
  <c r="N43" i="10" s="1"/>
  <c r="P41" i="3" l="1"/>
  <c r="P43" i="3" s="1"/>
  <c r="P45" i="3" s="1"/>
  <c r="P31" i="10"/>
  <c r="O40" i="10"/>
  <c r="O43" i="10" s="1"/>
  <c r="O56" i="10"/>
  <c r="O60" i="10" s="1"/>
  <c r="Q26" i="3"/>
  <c r="P34" i="3"/>
  <c r="P37" i="3" s="1"/>
  <c r="R50" i="10"/>
  <c r="S33" i="10"/>
  <c r="J53" i="10"/>
  <c r="Q41" i="3" l="1"/>
  <c r="Q43" i="3" s="1"/>
  <c r="Q45" i="3"/>
  <c r="P40" i="10"/>
  <c r="P43" i="10" s="1"/>
  <c r="Q31" i="10"/>
  <c r="P56" i="10"/>
  <c r="P60" i="10" s="1"/>
  <c r="R26" i="3"/>
  <c r="Q34" i="3"/>
  <c r="Q37" i="3" s="1"/>
  <c r="K53" i="10"/>
  <c r="K49" i="10"/>
  <c r="K51" i="10" s="1"/>
  <c r="K57" i="10" s="1"/>
  <c r="S50" i="10"/>
  <c r="L49" i="10" l="1"/>
  <c r="L51" i="10" s="1"/>
  <c r="L57" i="10" s="1"/>
  <c r="L53" i="10"/>
  <c r="S26" i="3"/>
  <c r="S34" i="3" s="1"/>
  <c r="S37" i="3" s="1"/>
  <c r="R34" i="3"/>
  <c r="R37" i="3" s="1"/>
  <c r="Q40" i="10"/>
  <c r="Q43" i="10" s="1"/>
  <c r="R31" i="10"/>
  <c r="Q56" i="10"/>
  <c r="Q60" i="10" s="1"/>
  <c r="R41" i="3"/>
  <c r="R43" i="3" s="1"/>
  <c r="R45" i="3"/>
  <c r="M49" i="10" l="1"/>
  <c r="M51" i="10" s="1"/>
  <c r="M57" i="10" s="1"/>
  <c r="R56" i="10"/>
  <c r="R60" i="10" s="1"/>
  <c r="R40" i="10"/>
  <c r="R43" i="10" s="1"/>
  <c r="S31" i="10"/>
  <c r="A37" i="3"/>
  <c r="D39" i="3"/>
  <c r="S41" i="3"/>
  <c r="S43" i="3" s="1"/>
  <c r="S45" i="3" s="1"/>
  <c r="S56" i="10" l="1"/>
  <c r="S60" i="10" s="1"/>
  <c r="S40" i="10"/>
  <c r="M53" i="10"/>
  <c r="N49" i="10" l="1"/>
  <c r="N51" i="10" s="1"/>
  <c r="N57" i="10" s="1"/>
  <c r="N53" i="10" l="1"/>
  <c r="O49" i="10" l="1"/>
  <c r="O51" i="10" s="1"/>
  <c r="O57" i="10" s="1"/>
  <c r="O53" i="10" l="1"/>
  <c r="P49" i="10" l="1"/>
  <c r="P51" i="10" s="1"/>
  <c r="P57" i="10" s="1"/>
  <c r="P53" i="10" l="1"/>
  <c r="Q49" i="10" l="1"/>
  <c r="Q51" i="10" s="1"/>
  <c r="Q57" i="10" s="1"/>
  <c r="Q53" i="10" l="1"/>
  <c r="R49" i="10" l="1"/>
  <c r="R51" i="10" s="1"/>
  <c r="R57" i="10" s="1"/>
  <c r="R53" i="10" l="1"/>
  <c r="S53" i="10" l="1"/>
  <c r="S41" i="10" s="1"/>
  <c r="S43" i="10" s="1"/>
  <c r="S49" i="10"/>
  <c r="S51" i="10" s="1"/>
  <c r="S57" i="10" s="1"/>
  <c r="D45" i="10" l="1"/>
  <c r="U43" i="10"/>
  <c r="U44" i="10" s="1"/>
  <c r="A43" i="10"/>
</calcChain>
</file>

<file path=xl/sharedStrings.xml><?xml version="1.0" encoding="utf-8"?>
<sst xmlns="http://schemas.openxmlformats.org/spreadsheetml/2006/main" count="115" uniqueCount="51">
  <si>
    <t>4 plex</t>
  </si>
  <si>
    <t>Mitchell</t>
  </si>
  <si>
    <t>fixer upper</t>
  </si>
  <si>
    <t>new</t>
  </si>
  <si>
    <t>Purchase price</t>
  </si>
  <si>
    <t>Interest</t>
  </si>
  <si>
    <t>Years</t>
  </si>
  <si>
    <t>Downpayment</t>
  </si>
  <si>
    <t>Payment</t>
  </si>
  <si>
    <t>Taxes</t>
  </si>
  <si>
    <t>Insurance</t>
  </si>
  <si>
    <t>Maintenance</t>
  </si>
  <si>
    <t xml:space="preserve">   Total Expenses</t>
  </si>
  <si>
    <t>Rent</t>
  </si>
  <si>
    <t>Monthly Net</t>
  </si>
  <si>
    <t>Annual Net</t>
  </si>
  <si>
    <t>Annual Return</t>
  </si>
  <si>
    <t>Garage Apartment</t>
  </si>
  <si>
    <t>Total Net</t>
  </si>
  <si>
    <t>Total Return</t>
  </si>
  <si>
    <t>Total Investment</t>
  </si>
  <si>
    <t>herndon</t>
  </si>
  <si>
    <t>Water</t>
  </si>
  <si>
    <t>Mortgage</t>
  </si>
  <si>
    <t>rent-exp</t>
  </si>
  <si>
    <t>cash outlay</t>
  </si>
  <si>
    <t>net cash</t>
  </si>
  <si>
    <t>Financed Charges</t>
  </si>
  <si>
    <t>Interest Exp.</t>
  </si>
  <si>
    <t>Payments</t>
  </si>
  <si>
    <t>Principal</t>
  </si>
  <si>
    <t>Prin. Bal</t>
  </si>
  <si>
    <t>15 year irr</t>
  </si>
  <si>
    <t>NOI</t>
  </si>
  <si>
    <t>interest</t>
  </si>
  <si>
    <t>deprec</t>
  </si>
  <si>
    <t>taxable</t>
  </si>
  <si>
    <t>Downpayment %</t>
  </si>
  <si>
    <t>Assumptions</t>
  </si>
  <si>
    <t>Utilities</t>
  </si>
  <si>
    <t>Management</t>
  </si>
  <si>
    <t>Annual Rent</t>
  </si>
  <si>
    <t>Purchase Price</t>
  </si>
  <si>
    <t>Cap Rate</t>
  </si>
  <si>
    <t>x</t>
  </si>
  <si>
    <t>Closing Cost</t>
  </si>
  <si>
    <t xml:space="preserve">   Operating Expenses</t>
  </si>
  <si>
    <t>Monthly</t>
  </si>
  <si>
    <t>Annual</t>
  </si>
  <si>
    <t>Operating Exp</t>
  </si>
  <si>
    <t>msft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</si>
</sst>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%"/>
    <numFmt numFmtId="175" formatCode="_(* #,##0_);_(* \(#,##0\);_(* &quot;-&quot;??_);_(@_)"/>
    <numFmt numFmtId="177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165" fontId="0" fillId="0" borderId="0" xfId="3" applyNumberFormat="1" applyFont="1"/>
    <xf numFmtId="10" fontId="0" fillId="0" borderId="0" xfId="3" applyNumberFormat="1" applyFont="1"/>
    <xf numFmtId="1" fontId="0" fillId="0" borderId="0" xfId="0" applyNumberFormat="1"/>
    <xf numFmtId="0" fontId="2" fillId="0" borderId="0" xfId="0" applyFont="1"/>
    <xf numFmtId="2" fontId="2" fillId="0" borderId="0" xfId="0" applyNumberFormat="1" applyFont="1"/>
    <xf numFmtId="177" fontId="0" fillId="0" borderId="0" xfId="2" applyNumberFormat="1" applyFont="1"/>
    <xf numFmtId="177" fontId="0" fillId="0" borderId="0" xfId="0" applyNumberFormat="1"/>
    <xf numFmtId="165" fontId="0" fillId="0" borderId="0" xfId="0" applyNumberFormat="1"/>
    <xf numFmtId="175" fontId="0" fillId="0" borderId="0" xfId="1" applyNumberFormat="1" applyFont="1"/>
    <xf numFmtId="175" fontId="0" fillId="0" borderId="0" xfId="0" applyNumberFormat="1"/>
    <xf numFmtId="8" fontId="0" fillId="0" borderId="0" xfId="0" applyNumberFormat="1"/>
    <xf numFmtId="43" fontId="0" fillId="0" borderId="0" xfId="0" applyNumberFormat="1"/>
    <xf numFmtId="0" fontId="3" fillId="0" borderId="0" xfId="0" applyFont="1"/>
    <xf numFmtId="9" fontId="0" fillId="0" borderId="0" xfId="3" applyFont="1"/>
    <xf numFmtId="44" fontId="0" fillId="0" borderId="0" xfId="2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J52"/>
  <sheetViews>
    <sheetView workbookViewId="0">
      <selection activeCell="H6" sqref="H6"/>
    </sheetView>
  </sheetViews>
  <sheetFormatPr defaultRowHeight="12.75" x14ac:dyDescent="0.2"/>
  <cols>
    <col min="4" max="4" width="11.5703125" customWidth="1"/>
  </cols>
  <sheetData>
    <row r="1" spans="2:10" ht="20.25" customHeight="1" x14ac:dyDescent="0.2"/>
    <row r="4" spans="2:10" x14ac:dyDescent="0.2">
      <c r="F4" t="s">
        <v>0</v>
      </c>
      <c r="H4" t="s">
        <v>0</v>
      </c>
      <c r="J4" t="s">
        <v>21</v>
      </c>
    </row>
    <row r="5" spans="2:10" x14ac:dyDescent="0.2">
      <c r="D5" t="s">
        <v>1</v>
      </c>
      <c r="F5" t="s">
        <v>2</v>
      </c>
      <c r="H5" t="s">
        <v>3</v>
      </c>
    </row>
    <row r="6" spans="2:10" x14ac:dyDescent="0.2">
      <c r="B6" t="s">
        <v>4</v>
      </c>
      <c r="D6">
        <v>70000</v>
      </c>
      <c r="F6">
        <f>115000+125000+30000</f>
        <v>270000</v>
      </c>
      <c r="H6">
        <f>250000</f>
        <v>250000</v>
      </c>
      <c r="J6">
        <v>1000000</v>
      </c>
    </row>
    <row r="7" spans="2:10" x14ac:dyDescent="0.2">
      <c r="B7" t="s">
        <v>5</v>
      </c>
      <c r="D7" s="3">
        <v>6.5000000000000002E-2</v>
      </c>
      <c r="F7" s="3">
        <v>6.5000000000000002E-2</v>
      </c>
      <c r="H7" s="3">
        <v>6.5000000000000002E-2</v>
      </c>
      <c r="J7" s="3">
        <v>6.7500000000000004E-2</v>
      </c>
    </row>
    <row r="8" spans="2:10" x14ac:dyDescent="0.2">
      <c r="B8" t="s">
        <v>6</v>
      </c>
      <c r="D8">
        <v>30</v>
      </c>
      <c r="F8">
        <v>30</v>
      </c>
      <c r="H8">
        <v>30</v>
      </c>
      <c r="J8">
        <v>30</v>
      </c>
    </row>
    <row r="9" spans="2:10" x14ac:dyDescent="0.2">
      <c r="B9" t="s">
        <v>7</v>
      </c>
      <c r="D9">
        <f>D6*0.2</f>
        <v>14000</v>
      </c>
      <c r="F9">
        <f>F6*0.2</f>
        <v>54000</v>
      </c>
      <c r="H9">
        <f>H6*0.2</f>
        <v>50000</v>
      </c>
      <c r="J9">
        <f>J6*0.3+40000</f>
        <v>340000</v>
      </c>
    </row>
    <row r="12" spans="2:10" x14ac:dyDescent="0.2">
      <c r="B12" t="s">
        <v>8</v>
      </c>
      <c r="D12" s="1">
        <f>PMT(D7/12,D8*12,D6*0.8)</f>
        <v>-353.9580931560597</v>
      </c>
      <c r="F12" s="1">
        <f>PMT(F7/12,F8*12,F6*0.8)</f>
        <v>-1365.2669307448016</v>
      </c>
      <c r="H12" s="1">
        <f>PMT(H7/12,H8*12,H6*0.8)</f>
        <v>-1264.1360469859276</v>
      </c>
      <c r="J12" s="1">
        <f>PMT(J7/12,J8*12,J6*0.7)</f>
        <v>-4540.1866759775066</v>
      </c>
    </row>
    <row r="13" spans="2:10" x14ac:dyDescent="0.2">
      <c r="B13" t="s">
        <v>9</v>
      </c>
      <c r="D13" s="4">
        <f>-D6*0.02/12</f>
        <v>-116.66666666666667</v>
      </c>
      <c r="F13" s="4">
        <f>-F6*0.02/12</f>
        <v>-450</v>
      </c>
      <c r="H13" s="4">
        <f>-H6*0.02/12</f>
        <v>-416.66666666666669</v>
      </c>
      <c r="J13" s="4">
        <f>J6*-0.025/12</f>
        <v>-2083.3333333333335</v>
      </c>
    </row>
    <row r="14" spans="2:10" x14ac:dyDescent="0.2">
      <c r="B14" t="s">
        <v>22</v>
      </c>
      <c r="D14" s="4"/>
      <c r="F14" s="4"/>
      <c r="H14" s="4"/>
      <c r="J14" s="4">
        <v>-700</v>
      </c>
    </row>
    <row r="15" spans="2:10" x14ac:dyDescent="0.2">
      <c r="B15" t="s">
        <v>10</v>
      </c>
      <c r="D15">
        <v>-40</v>
      </c>
      <c r="F15">
        <v>-100</v>
      </c>
      <c r="H15">
        <v>-100</v>
      </c>
      <c r="J15">
        <v>-400</v>
      </c>
    </row>
    <row r="16" spans="2:10" x14ac:dyDescent="0.2">
      <c r="B16" t="s">
        <v>11</v>
      </c>
      <c r="D16" s="5">
        <v>-50</v>
      </c>
      <c r="F16" s="5">
        <v>-150</v>
      </c>
      <c r="H16" s="5">
        <v>-150</v>
      </c>
      <c r="J16" s="5">
        <v>-2000</v>
      </c>
    </row>
    <row r="17" spans="2:10" x14ac:dyDescent="0.2">
      <c r="B17" t="s">
        <v>12</v>
      </c>
      <c r="D17" s="1">
        <f>SUM(D12:D16)</f>
        <v>-560.62475982272645</v>
      </c>
      <c r="F17" s="1">
        <f>SUM(F12:F16)</f>
        <v>-2065.2669307448014</v>
      </c>
      <c r="H17" s="1">
        <f>SUM(H12:H16)</f>
        <v>-1930.8027136525943</v>
      </c>
      <c r="J17" s="1">
        <f>SUM(J12:J16)</f>
        <v>-9723.5200093108397</v>
      </c>
    </row>
    <row r="19" spans="2:10" x14ac:dyDescent="0.2">
      <c r="B19" t="s">
        <v>13</v>
      </c>
      <c r="D19">
        <v>700</v>
      </c>
      <c r="F19">
        <f>700*4</f>
        <v>2800</v>
      </c>
      <c r="H19">
        <f>700*4</f>
        <v>2800</v>
      </c>
      <c r="J19">
        <f>(750*6+12*500+12*650)*0.75</f>
        <v>13725</v>
      </c>
    </row>
    <row r="21" spans="2:10" x14ac:dyDescent="0.2">
      <c r="B21" t="s">
        <v>14</v>
      </c>
      <c r="D21" s="1">
        <f>D19+D17</f>
        <v>139.37524017727355</v>
      </c>
      <c r="F21" s="1">
        <f>F19+F17</f>
        <v>734.73306925519864</v>
      </c>
      <c r="H21" s="1">
        <f>H19+H17</f>
        <v>869.19728634740568</v>
      </c>
      <c r="J21" s="1">
        <f>J19+J17</f>
        <v>4001.4799906891603</v>
      </c>
    </row>
    <row r="23" spans="2:10" x14ac:dyDescent="0.2">
      <c r="B23" t="s">
        <v>15</v>
      </c>
      <c r="D23" s="4">
        <f>D21*12</f>
        <v>1672.5028821272826</v>
      </c>
      <c r="F23" s="4">
        <f>F21*12</f>
        <v>8816.7968310623837</v>
      </c>
      <c r="H23" s="4">
        <f>H21*12</f>
        <v>10430.367436168868</v>
      </c>
      <c r="J23" s="4">
        <f>J21*12</f>
        <v>48017.759888269924</v>
      </c>
    </row>
    <row r="25" spans="2:10" x14ac:dyDescent="0.2">
      <c r="B25" t="s">
        <v>16</v>
      </c>
      <c r="D25" s="2">
        <f>D23/D9</f>
        <v>0.11946449158052019</v>
      </c>
      <c r="F25" s="2">
        <f>F23/F9</f>
        <v>0.16327401539004413</v>
      </c>
      <c r="H25" s="2">
        <f>H23/H9</f>
        <v>0.20860734872337736</v>
      </c>
      <c r="J25" s="2">
        <f>J23/J9</f>
        <v>0.14122870555373507</v>
      </c>
    </row>
    <row r="27" spans="2:10" x14ac:dyDescent="0.2">
      <c r="B27" t="s">
        <v>17</v>
      </c>
      <c r="D27">
        <v>45000</v>
      </c>
    </row>
    <row r="28" spans="2:10" x14ac:dyDescent="0.2">
      <c r="B28" t="s">
        <v>5</v>
      </c>
      <c r="D28" s="3">
        <v>6.3750000000000001E-2</v>
      </c>
    </row>
    <row r="29" spans="2:10" x14ac:dyDescent="0.2">
      <c r="B29" t="s">
        <v>6</v>
      </c>
      <c r="D29">
        <v>30</v>
      </c>
    </row>
    <row r="30" spans="2:10" x14ac:dyDescent="0.2">
      <c r="B30" t="s">
        <v>7</v>
      </c>
      <c r="D30">
        <f>D27*0.2</f>
        <v>9000</v>
      </c>
    </row>
    <row r="33" spans="2:4" x14ac:dyDescent="0.2">
      <c r="B33" t="s">
        <v>8</v>
      </c>
      <c r="D33" s="1">
        <f>PMT(D28/12,D29*12,D27*0.8)</f>
        <v>-224.59316357849119</v>
      </c>
    </row>
    <row r="34" spans="2:4" x14ac:dyDescent="0.2">
      <c r="B34" t="s">
        <v>9</v>
      </c>
      <c r="D34" s="4">
        <f>-D27*0.02/12</f>
        <v>-75</v>
      </c>
    </row>
    <row r="35" spans="2:4" x14ac:dyDescent="0.2">
      <c r="B35" t="s">
        <v>10</v>
      </c>
      <c r="D35">
        <v>-30</v>
      </c>
    </row>
    <row r="36" spans="2:4" x14ac:dyDescent="0.2">
      <c r="B36" t="s">
        <v>11</v>
      </c>
      <c r="D36" s="6">
        <f>-500/12</f>
        <v>-41.666666666666664</v>
      </c>
    </row>
    <row r="37" spans="2:4" x14ac:dyDescent="0.2">
      <c r="B37" t="s">
        <v>12</v>
      </c>
      <c r="D37" s="1">
        <f>SUM(D33:D36)</f>
        <v>-371.25983024515784</v>
      </c>
    </row>
    <row r="39" spans="2:4" x14ac:dyDescent="0.2">
      <c r="B39" t="s">
        <v>13</v>
      </c>
      <c r="D39">
        <v>500</v>
      </c>
    </row>
    <row r="41" spans="2:4" x14ac:dyDescent="0.2">
      <c r="B41" t="s">
        <v>14</v>
      </c>
      <c r="D41" s="1">
        <f>D39+D37</f>
        <v>128.74016975484216</v>
      </c>
    </row>
    <row r="43" spans="2:4" x14ac:dyDescent="0.2">
      <c r="B43" t="s">
        <v>15</v>
      </c>
      <c r="D43" s="4">
        <f>D41*12</f>
        <v>1544.8820370581059</v>
      </c>
    </row>
    <row r="45" spans="2:4" x14ac:dyDescent="0.2">
      <c r="B45" t="s">
        <v>16</v>
      </c>
      <c r="D45" s="2">
        <f>D43/D30</f>
        <v>0.17165355967312287</v>
      </c>
    </row>
    <row r="48" spans="2:4" x14ac:dyDescent="0.2">
      <c r="B48" t="s">
        <v>18</v>
      </c>
      <c r="D48" s="4">
        <f>D43+D23</f>
        <v>3217.3849191853888</v>
      </c>
    </row>
    <row r="50" spans="2:4" x14ac:dyDescent="0.2">
      <c r="B50" t="s">
        <v>19</v>
      </c>
      <c r="D50" s="2">
        <f>D48/D52</f>
        <v>0.13988630083414733</v>
      </c>
    </row>
    <row r="52" spans="2:4" x14ac:dyDescent="0.2">
      <c r="B52" t="s">
        <v>20</v>
      </c>
      <c r="D52">
        <f>D30+D9</f>
        <v>23000</v>
      </c>
    </row>
  </sheetData>
  <pageMargins left="0.75" right="0.75" top="0.46" bottom="0.6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45"/>
  <sheetViews>
    <sheetView topLeftCell="A19" workbookViewId="0">
      <selection activeCell="D35" sqref="D35"/>
    </sheetView>
  </sheetViews>
  <sheetFormatPr defaultRowHeight="12.75" x14ac:dyDescent="0.2"/>
  <cols>
    <col min="1" max="1" width="13.7109375" customWidth="1"/>
    <col min="3" max="3" width="10.7109375" customWidth="1"/>
    <col min="4" max="34" width="12" customWidth="1"/>
  </cols>
  <sheetData>
    <row r="1" spans="2:4" x14ac:dyDescent="0.2">
      <c r="D1" t="s">
        <v>21</v>
      </c>
    </row>
    <row r="3" spans="2:4" x14ac:dyDescent="0.2">
      <c r="B3" t="s">
        <v>4</v>
      </c>
      <c r="D3" s="10">
        <v>900000</v>
      </c>
    </row>
    <row r="4" spans="2:4" x14ac:dyDescent="0.2">
      <c r="B4" t="s">
        <v>5</v>
      </c>
      <c r="D4" s="3">
        <v>8.5000000000000006E-2</v>
      </c>
    </row>
    <row r="5" spans="2:4" x14ac:dyDescent="0.2">
      <c r="B5" t="s">
        <v>6</v>
      </c>
      <c r="D5">
        <v>15</v>
      </c>
    </row>
    <row r="6" spans="2:4" x14ac:dyDescent="0.2">
      <c r="B6" t="s">
        <v>7</v>
      </c>
      <c r="D6" s="11">
        <f>D3*0.3</f>
        <v>270000</v>
      </c>
    </row>
    <row r="7" spans="2:4" x14ac:dyDescent="0.2">
      <c r="B7" t="s">
        <v>27</v>
      </c>
      <c r="D7">
        <f>(D3-D6)*0.035</f>
        <v>22050.000000000004</v>
      </c>
    </row>
    <row r="9" spans="2:4" x14ac:dyDescent="0.2">
      <c r="B9" t="s">
        <v>8</v>
      </c>
      <c r="D9" s="1">
        <f>PMT(D4/12,D5*12,D3*0.7+D7)</f>
        <v>-6420.994287453831</v>
      </c>
    </row>
    <row r="10" spans="2:4" x14ac:dyDescent="0.2">
      <c r="B10" t="s">
        <v>9</v>
      </c>
      <c r="D10" s="4">
        <f>D3*-0.025/12</f>
        <v>-1875</v>
      </c>
    </row>
    <row r="11" spans="2:4" x14ac:dyDescent="0.2">
      <c r="B11" t="s">
        <v>22</v>
      </c>
      <c r="D11" s="4">
        <v>-700</v>
      </c>
    </row>
    <row r="12" spans="2:4" x14ac:dyDescent="0.2">
      <c r="B12" t="s">
        <v>10</v>
      </c>
      <c r="D12">
        <v>-400</v>
      </c>
    </row>
    <row r="13" spans="2:4" x14ac:dyDescent="0.2">
      <c r="B13" t="s">
        <v>11</v>
      </c>
      <c r="D13" s="5">
        <v>-2000</v>
      </c>
    </row>
    <row r="14" spans="2:4" x14ac:dyDescent="0.2">
      <c r="B14" t="s">
        <v>12</v>
      </c>
      <c r="D14" s="1">
        <f>SUM(D9:D13)</f>
        <v>-11395.994287453832</v>
      </c>
    </row>
    <row r="16" spans="2:4" x14ac:dyDescent="0.2">
      <c r="B16" t="s">
        <v>13</v>
      </c>
      <c r="D16">
        <f>(750*6+12*500+12*650)*0.75+1000</f>
        <v>14725</v>
      </c>
    </row>
    <row r="18" spans="2:34" x14ac:dyDescent="0.2">
      <c r="B18" t="s">
        <v>14</v>
      </c>
      <c r="D18" s="1">
        <f>D16+D14</f>
        <v>3329.0057125461681</v>
      </c>
    </row>
    <row r="20" spans="2:34" x14ac:dyDescent="0.2">
      <c r="B20" t="s">
        <v>15</v>
      </c>
      <c r="D20" s="4">
        <f>D18*12</f>
        <v>39948.068550554017</v>
      </c>
    </row>
    <row r="22" spans="2:34" x14ac:dyDescent="0.2">
      <c r="B22" t="s">
        <v>16</v>
      </c>
      <c r="D22" s="2">
        <f>D20/D6</f>
        <v>0.14795580944649636</v>
      </c>
    </row>
    <row r="24" spans="2:34" x14ac:dyDescent="0.2">
      <c r="D24">
        <v>1999</v>
      </c>
      <c r="E24">
        <v>2000</v>
      </c>
      <c r="F24">
        <v>2001</v>
      </c>
      <c r="G24">
        <v>2002</v>
      </c>
      <c r="H24">
        <v>2003</v>
      </c>
      <c r="I24">
        <v>2004</v>
      </c>
      <c r="J24">
        <v>2005</v>
      </c>
      <c r="K24">
        <v>2006</v>
      </c>
      <c r="L24">
        <v>2007</v>
      </c>
      <c r="M24">
        <v>2008</v>
      </c>
      <c r="N24">
        <v>2009</v>
      </c>
      <c r="O24">
        <v>2010</v>
      </c>
      <c r="P24">
        <v>2011</v>
      </c>
      <c r="Q24">
        <v>2012</v>
      </c>
      <c r="R24">
        <v>2013</v>
      </c>
      <c r="S24">
        <v>2014</v>
      </c>
    </row>
    <row r="26" spans="2:34" x14ac:dyDescent="0.2">
      <c r="C26" t="s">
        <v>13</v>
      </c>
      <c r="D26" s="7">
        <f>D16*12</f>
        <v>176700</v>
      </c>
      <c r="E26" s="7">
        <f>D26*1.02</f>
        <v>180234</v>
      </c>
      <c r="F26" s="7">
        <f t="shared" ref="F26:S26" si="0">E26*1.02</f>
        <v>183838.68</v>
      </c>
      <c r="G26" s="7">
        <f t="shared" si="0"/>
        <v>187515.45360000001</v>
      </c>
      <c r="H26" s="7">
        <f t="shared" si="0"/>
        <v>191265.76267200001</v>
      </c>
      <c r="I26" s="7">
        <f t="shared" si="0"/>
        <v>195091.07792544001</v>
      </c>
      <c r="J26" s="7">
        <f t="shared" si="0"/>
        <v>198992.8994839488</v>
      </c>
      <c r="K26" s="7">
        <f t="shared" si="0"/>
        <v>202972.75747362777</v>
      </c>
      <c r="L26" s="7">
        <f t="shared" si="0"/>
        <v>207032.21262310032</v>
      </c>
      <c r="M26" s="7">
        <f t="shared" si="0"/>
        <v>211172.85687556234</v>
      </c>
      <c r="N26" s="7">
        <f t="shared" si="0"/>
        <v>215396.3140130736</v>
      </c>
      <c r="O26" s="7">
        <f t="shared" si="0"/>
        <v>219704.24029333508</v>
      </c>
      <c r="P26" s="7">
        <f t="shared" si="0"/>
        <v>224098.32509920179</v>
      </c>
      <c r="Q26" s="7">
        <f t="shared" si="0"/>
        <v>228580.29160118583</v>
      </c>
      <c r="R26" s="7">
        <f t="shared" si="0"/>
        <v>233151.89743320955</v>
      </c>
      <c r="S26" s="7">
        <f t="shared" si="0"/>
        <v>237814.93538187374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8" spans="2:34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2:34" x14ac:dyDescent="0.2">
      <c r="C29" t="s">
        <v>9</v>
      </c>
      <c r="D29" s="1">
        <f>D10*12</f>
        <v>-22500</v>
      </c>
      <c r="E29" s="1">
        <f t="shared" ref="E29:S32" si="1">D29*1.02</f>
        <v>-22950</v>
      </c>
      <c r="F29" s="1">
        <f t="shared" si="1"/>
        <v>-23409</v>
      </c>
      <c r="G29" s="1">
        <f t="shared" si="1"/>
        <v>-23877.18</v>
      </c>
      <c r="H29" s="1">
        <f t="shared" si="1"/>
        <v>-24354.723600000001</v>
      </c>
      <c r="I29" s="1">
        <f t="shared" si="1"/>
        <v>-24841.818072000002</v>
      </c>
      <c r="J29" s="1">
        <f t="shared" si="1"/>
        <v>-25338.654433440002</v>
      </c>
      <c r="K29" s="1">
        <f t="shared" si="1"/>
        <v>-25845.427522108803</v>
      </c>
      <c r="L29" s="1">
        <f t="shared" si="1"/>
        <v>-26362.336072550981</v>
      </c>
      <c r="M29" s="1">
        <f t="shared" si="1"/>
        <v>-26889.582794002003</v>
      </c>
      <c r="N29" s="1">
        <f t="shared" si="1"/>
        <v>-27427.374449882042</v>
      </c>
      <c r="O29" s="1">
        <f t="shared" si="1"/>
        <v>-27975.921938879685</v>
      </c>
      <c r="P29" s="1">
        <f t="shared" si="1"/>
        <v>-28535.44037765728</v>
      </c>
      <c r="Q29" s="1">
        <f t="shared" si="1"/>
        <v>-29106.149185210426</v>
      </c>
      <c r="R29" s="1">
        <f t="shared" si="1"/>
        <v>-29688.272168914635</v>
      </c>
      <c r="S29" s="1">
        <f t="shared" si="1"/>
        <v>-30282.037612292926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2:34" x14ac:dyDescent="0.2">
      <c r="C30" t="s">
        <v>22</v>
      </c>
      <c r="D30" s="1">
        <f>D11*12</f>
        <v>-8400</v>
      </c>
      <c r="E30" s="1">
        <f>D30*1.02</f>
        <v>-8568</v>
      </c>
      <c r="F30" s="1">
        <f t="shared" si="1"/>
        <v>-8739.36</v>
      </c>
      <c r="G30" s="1">
        <f t="shared" si="1"/>
        <v>-8914.1472000000012</v>
      </c>
      <c r="H30" s="1">
        <f t="shared" si="1"/>
        <v>-9092.4301440000017</v>
      </c>
      <c r="I30" s="1">
        <f t="shared" si="1"/>
        <v>-9274.2787468800016</v>
      </c>
      <c r="J30" s="1">
        <f t="shared" si="1"/>
        <v>-9459.7643218176017</v>
      </c>
      <c r="K30" s="1">
        <f t="shared" si="1"/>
        <v>-9648.9596082539538</v>
      </c>
      <c r="L30" s="1">
        <f t="shared" si="1"/>
        <v>-9841.9388004190332</v>
      </c>
      <c r="M30" s="1">
        <f t="shared" si="1"/>
        <v>-10038.777576427414</v>
      </c>
      <c r="N30" s="1">
        <f t="shared" si="1"/>
        <v>-10239.553127955962</v>
      </c>
      <c r="O30" s="1">
        <f t="shared" si="1"/>
        <v>-10444.344190515081</v>
      </c>
      <c r="P30" s="1">
        <f t="shared" si="1"/>
        <v>-10653.231074325384</v>
      </c>
      <c r="Q30" s="1">
        <f t="shared" si="1"/>
        <v>-10866.295695811892</v>
      </c>
      <c r="R30" s="1">
        <f t="shared" si="1"/>
        <v>-11083.62160972813</v>
      </c>
      <c r="S30" s="1">
        <f t="shared" si="1"/>
        <v>-11305.294041922692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2:34" x14ac:dyDescent="0.2">
      <c r="C31" t="s">
        <v>10</v>
      </c>
      <c r="D31" s="1">
        <f>D12*12</f>
        <v>-4800</v>
      </c>
      <c r="E31" s="1">
        <f>D31*1.02</f>
        <v>-4896</v>
      </c>
      <c r="F31" s="1">
        <f t="shared" si="1"/>
        <v>-4993.92</v>
      </c>
      <c r="G31" s="1">
        <f t="shared" si="1"/>
        <v>-5093.7984000000006</v>
      </c>
      <c r="H31" s="1">
        <f t="shared" si="1"/>
        <v>-5195.6743680000009</v>
      </c>
      <c r="I31" s="1">
        <f t="shared" si="1"/>
        <v>-5299.5878553600014</v>
      </c>
      <c r="J31" s="1">
        <f t="shared" si="1"/>
        <v>-5405.5796124672015</v>
      </c>
      <c r="K31" s="1">
        <f t="shared" si="1"/>
        <v>-5513.6912047165461</v>
      </c>
      <c r="L31" s="1">
        <f t="shared" si="1"/>
        <v>-5623.9650288108769</v>
      </c>
      <c r="M31" s="1">
        <f t="shared" si="1"/>
        <v>-5736.4443293870945</v>
      </c>
      <c r="N31" s="1">
        <f t="shared" si="1"/>
        <v>-5851.1732159748362</v>
      </c>
      <c r="O31" s="1">
        <f t="shared" si="1"/>
        <v>-5968.1966802943334</v>
      </c>
      <c r="P31" s="1">
        <f t="shared" si="1"/>
        <v>-6087.5606139002202</v>
      </c>
      <c r="Q31" s="1">
        <f t="shared" si="1"/>
        <v>-6209.3118261782247</v>
      </c>
      <c r="R31" s="1">
        <f t="shared" si="1"/>
        <v>-6333.4980627017894</v>
      </c>
      <c r="S31" s="1">
        <f t="shared" si="1"/>
        <v>-6460.1680239558254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2:34" x14ac:dyDescent="0.2">
      <c r="C32" t="s">
        <v>11</v>
      </c>
      <c r="D32" s="1">
        <f>D13*12</f>
        <v>-24000</v>
      </c>
      <c r="E32" s="1">
        <f>D32*1.02</f>
        <v>-24480</v>
      </c>
      <c r="F32" s="1">
        <f t="shared" si="1"/>
        <v>-24969.600000000002</v>
      </c>
      <c r="G32" s="1">
        <f t="shared" si="1"/>
        <v>-25468.992000000002</v>
      </c>
      <c r="H32" s="1">
        <f t="shared" si="1"/>
        <v>-25978.371840000003</v>
      </c>
      <c r="I32" s="1">
        <f t="shared" si="1"/>
        <v>-26497.939276800003</v>
      </c>
      <c r="J32" s="1">
        <f t="shared" si="1"/>
        <v>-27027.898062336004</v>
      </c>
      <c r="K32" s="1">
        <f t="shared" si="1"/>
        <v>-27568.456023582723</v>
      </c>
      <c r="L32" s="1">
        <f t="shared" si="1"/>
        <v>-28119.825144054379</v>
      </c>
      <c r="M32" s="1">
        <f t="shared" si="1"/>
        <v>-28682.221646935468</v>
      </c>
      <c r="N32" s="1">
        <f t="shared" si="1"/>
        <v>-29255.866079874177</v>
      </c>
      <c r="O32" s="1">
        <f t="shared" si="1"/>
        <v>-29840.983401471662</v>
      </c>
      <c r="P32" s="1">
        <f t="shared" si="1"/>
        <v>-30437.803069501097</v>
      </c>
      <c r="Q32" s="1">
        <f t="shared" si="1"/>
        <v>-31046.559130891121</v>
      </c>
      <c r="R32" s="1">
        <f t="shared" si="1"/>
        <v>-31667.490313508944</v>
      </c>
      <c r="S32" s="1">
        <f t="shared" si="1"/>
        <v>-32300.840119779125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4" spans="1:34" x14ac:dyDescent="0.2">
      <c r="C34" t="s">
        <v>24</v>
      </c>
      <c r="D34" s="8">
        <f>SUM(D26:D33)</f>
        <v>117000</v>
      </c>
      <c r="E34" s="8">
        <f t="shared" ref="E34:S34" si="2">SUM(E26:E33)</f>
        <v>119340</v>
      </c>
      <c r="F34" s="8">
        <f t="shared" si="2"/>
        <v>121726.79999999999</v>
      </c>
      <c r="G34" s="8">
        <f t="shared" si="2"/>
        <v>124161.33600000001</v>
      </c>
      <c r="H34" s="8">
        <f t="shared" si="2"/>
        <v>126644.56271999999</v>
      </c>
      <c r="I34" s="8">
        <f t="shared" si="2"/>
        <v>129177.45397440001</v>
      </c>
      <c r="J34" s="8">
        <f t="shared" si="2"/>
        <v>131761.00305388798</v>
      </c>
      <c r="K34" s="8">
        <f t="shared" si="2"/>
        <v>134396.22311496575</v>
      </c>
      <c r="L34" s="8">
        <f t="shared" si="2"/>
        <v>137084.14757726507</v>
      </c>
      <c r="M34" s="8">
        <f t="shared" si="2"/>
        <v>139825.83052881036</v>
      </c>
      <c r="N34" s="8">
        <f t="shared" si="2"/>
        <v>142622.34713938658</v>
      </c>
      <c r="O34" s="8">
        <f t="shared" si="2"/>
        <v>145474.79408217434</v>
      </c>
      <c r="P34" s="8">
        <f t="shared" si="2"/>
        <v>148384.28996381781</v>
      </c>
      <c r="Q34" s="8">
        <f t="shared" si="2"/>
        <v>151351.97576309417</v>
      </c>
      <c r="R34" s="8">
        <f t="shared" si="2"/>
        <v>154379.01527835603</v>
      </c>
      <c r="S34" s="8">
        <f t="shared" si="2"/>
        <v>157466.59558392316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x14ac:dyDescent="0.2">
      <c r="C35" t="s">
        <v>25</v>
      </c>
      <c r="D35">
        <v>-350000</v>
      </c>
      <c r="I35" s="1">
        <v>-40000</v>
      </c>
      <c r="N35" s="1">
        <v>-40000</v>
      </c>
      <c r="S35">
        <v>950000</v>
      </c>
    </row>
    <row r="37" spans="1:34" x14ac:dyDescent="0.2">
      <c r="A37" s="1">
        <f>NPV(0.085,D37:S37)</f>
        <v>1024254.1889755101</v>
      </c>
      <c r="C37" t="s">
        <v>26</v>
      </c>
      <c r="D37" s="8">
        <f>D35+D34</f>
        <v>-233000</v>
      </c>
      <c r="E37" s="8">
        <f t="shared" ref="E37:S37" si="3">E35+E34</f>
        <v>119340</v>
      </c>
      <c r="F37" s="8">
        <f t="shared" si="3"/>
        <v>121726.79999999999</v>
      </c>
      <c r="G37" s="8">
        <f t="shared" si="3"/>
        <v>124161.33600000001</v>
      </c>
      <c r="H37" s="8">
        <f t="shared" si="3"/>
        <v>126644.56271999999</v>
      </c>
      <c r="I37" s="8">
        <f t="shared" si="3"/>
        <v>89177.453974400007</v>
      </c>
      <c r="J37" s="8">
        <f t="shared" si="3"/>
        <v>131761.00305388798</v>
      </c>
      <c r="K37" s="8">
        <f t="shared" si="3"/>
        <v>134396.22311496575</v>
      </c>
      <c r="L37" s="8">
        <f t="shared" si="3"/>
        <v>137084.14757726507</v>
      </c>
      <c r="M37" s="8">
        <f t="shared" si="3"/>
        <v>139825.83052881036</v>
      </c>
      <c r="N37" s="8">
        <f t="shared" si="3"/>
        <v>102622.34713938658</v>
      </c>
      <c r="O37" s="8">
        <f t="shared" si="3"/>
        <v>145474.79408217434</v>
      </c>
      <c r="P37" s="8">
        <f t="shared" si="3"/>
        <v>148384.28996381781</v>
      </c>
      <c r="Q37" s="8">
        <f t="shared" si="3"/>
        <v>151351.97576309417</v>
      </c>
      <c r="R37" s="8">
        <f t="shared" si="3"/>
        <v>154379.01527835603</v>
      </c>
      <c r="S37" s="8">
        <f t="shared" si="3"/>
        <v>1107466.5955839232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x14ac:dyDescent="0.2">
      <c r="U38" s="13"/>
    </row>
    <row r="39" spans="1:34" x14ac:dyDescent="0.2">
      <c r="C39" t="s">
        <v>32</v>
      </c>
      <c r="D39" s="9">
        <f>IRR(D37:S37,0.15)</f>
        <v>0.522838700478512</v>
      </c>
    </row>
    <row r="41" spans="1:34" x14ac:dyDescent="0.2">
      <c r="C41" t="s">
        <v>28</v>
      </c>
      <c r="D41">
        <f>(D3-D6+D7)*D4</f>
        <v>55424.250000000007</v>
      </c>
      <c r="E41">
        <f t="shared" ref="E41:N41" si="4">+D45*$D$4</f>
        <v>60135.311250000006</v>
      </c>
      <c r="F41">
        <f t="shared" si="4"/>
        <v>65246.812706250006</v>
      </c>
      <c r="G41">
        <f t="shared" si="4"/>
        <v>70792.791786281261</v>
      </c>
      <c r="H41">
        <f t="shared" si="4"/>
        <v>76810.179088115168</v>
      </c>
      <c r="I41">
        <f t="shared" si="4"/>
        <v>83339.04431060495</v>
      </c>
      <c r="J41">
        <f t="shared" si="4"/>
        <v>90422.863077006376</v>
      </c>
      <c r="K41">
        <f t="shared" si="4"/>
        <v>98108.80643855191</v>
      </c>
      <c r="L41">
        <f t="shared" si="4"/>
        <v>106448.05498582883</v>
      </c>
      <c r="M41">
        <f t="shared" si="4"/>
        <v>115496.13965962428</v>
      </c>
      <c r="N41">
        <f t="shared" si="4"/>
        <v>125313.31153069236</v>
      </c>
      <c r="O41">
        <f>+N45*$D$4</f>
        <v>135964.94301080119</v>
      </c>
      <c r="P41">
        <f>+O45*$D$4</f>
        <v>147521.9631667193</v>
      </c>
      <c r="Q41">
        <f>+P45*$D$4</f>
        <v>160061.33003589045</v>
      </c>
      <c r="R41">
        <f>+Q45*$D$4</f>
        <v>173666.54308894114</v>
      </c>
      <c r="S41">
        <f>+R45*$D$4</f>
        <v>188428.19925150112</v>
      </c>
    </row>
    <row r="42" spans="1:34" x14ac:dyDescent="0.2">
      <c r="C42" t="s">
        <v>29</v>
      </c>
      <c r="D42" s="1">
        <f t="shared" ref="D42:N42" si="5">-D28</f>
        <v>0</v>
      </c>
      <c r="E42" s="1">
        <f t="shared" si="5"/>
        <v>0</v>
      </c>
      <c r="F42" s="1">
        <f t="shared" si="5"/>
        <v>0</v>
      </c>
      <c r="G42" s="1">
        <f t="shared" si="5"/>
        <v>0</v>
      </c>
      <c r="H42" s="1">
        <f t="shared" si="5"/>
        <v>0</v>
      </c>
      <c r="I42" s="1">
        <f t="shared" si="5"/>
        <v>0</v>
      </c>
      <c r="J42" s="1">
        <f t="shared" si="5"/>
        <v>0</v>
      </c>
      <c r="K42" s="1">
        <f t="shared" si="5"/>
        <v>0</v>
      </c>
      <c r="L42" s="1">
        <f t="shared" si="5"/>
        <v>0</v>
      </c>
      <c r="M42" s="1">
        <f t="shared" si="5"/>
        <v>0</v>
      </c>
      <c r="N42" s="1">
        <f t="shared" si="5"/>
        <v>0</v>
      </c>
      <c r="O42" s="1">
        <f>-O28</f>
        <v>0</v>
      </c>
      <c r="P42" s="1">
        <f>-P28</f>
        <v>0</v>
      </c>
      <c r="Q42" s="1">
        <f>-Q28</f>
        <v>0</v>
      </c>
      <c r="R42" s="1">
        <f>-R28</f>
        <v>0</v>
      </c>
      <c r="S42" s="1">
        <f>-S28</f>
        <v>0</v>
      </c>
    </row>
    <row r="43" spans="1:34" x14ac:dyDescent="0.2">
      <c r="C43" t="s">
        <v>30</v>
      </c>
      <c r="D43" s="1">
        <f t="shared" ref="D43:N43" si="6">+D42-D41</f>
        <v>-55424.250000000007</v>
      </c>
      <c r="E43" s="1">
        <f t="shared" si="6"/>
        <v>-60135.311250000006</v>
      </c>
      <c r="F43" s="1">
        <f t="shared" si="6"/>
        <v>-65246.812706250006</v>
      </c>
      <c r="G43" s="1">
        <f t="shared" si="6"/>
        <v>-70792.791786281261</v>
      </c>
      <c r="H43" s="1">
        <f t="shared" si="6"/>
        <v>-76810.179088115168</v>
      </c>
      <c r="I43" s="1">
        <f t="shared" si="6"/>
        <v>-83339.04431060495</v>
      </c>
      <c r="J43" s="1">
        <f t="shared" si="6"/>
        <v>-90422.863077006376</v>
      </c>
      <c r="K43" s="1">
        <f t="shared" si="6"/>
        <v>-98108.80643855191</v>
      </c>
      <c r="L43" s="1">
        <f t="shared" si="6"/>
        <v>-106448.05498582883</v>
      </c>
      <c r="M43" s="1">
        <f t="shared" si="6"/>
        <v>-115496.13965962428</v>
      </c>
      <c r="N43" s="1">
        <f t="shared" si="6"/>
        <v>-125313.31153069236</v>
      </c>
      <c r="O43" s="1">
        <f>+O42-O41</f>
        <v>-135964.94301080119</v>
      </c>
      <c r="P43" s="1">
        <f>+P42-P41</f>
        <v>-147521.9631667193</v>
      </c>
      <c r="Q43" s="1">
        <f>+Q42-Q41</f>
        <v>-160061.33003589045</v>
      </c>
      <c r="R43" s="1">
        <f>+R42-R41</f>
        <v>-173666.54308894114</v>
      </c>
      <c r="S43" s="1">
        <f>+S42-S41</f>
        <v>-188428.19925150112</v>
      </c>
    </row>
    <row r="45" spans="1:34" x14ac:dyDescent="0.2">
      <c r="C45" t="s">
        <v>31</v>
      </c>
      <c r="D45" s="1">
        <f>+(D3-D6+D7)-D43</f>
        <v>707474.25</v>
      </c>
      <c r="E45" s="1">
        <f t="shared" ref="E45:N45" si="7">+D45-E43</f>
        <v>767609.56125000003</v>
      </c>
      <c r="F45" s="1">
        <f t="shared" si="7"/>
        <v>832856.37395625003</v>
      </c>
      <c r="G45" s="1">
        <f t="shared" si="7"/>
        <v>903649.1657425313</v>
      </c>
      <c r="H45" s="1">
        <f t="shared" si="7"/>
        <v>980459.34483064641</v>
      </c>
      <c r="I45" s="1">
        <f t="shared" si="7"/>
        <v>1063798.3891412513</v>
      </c>
      <c r="J45" s="1">
        <f t="shared" si="7"/>
        <v>1154221.2522182576</v>
      </c>
      <c r="K45" s="1">
        <f t="shared" si="7"/>
        <v>1252330.0586568096</v>
      </c>
      <c r="L45" s="1">
        <f t="shared" si="7"/>
        <v>1358778.1136426385</v>
      </c>
      <c r="M45" s="1">
        <f t="shared" si="7"/>
        <v>1474274.2533022629</v>
      </c>
      <c r="N45" s="1">
        <f t="shared" si="7"/>
        <v>1599587.5648329551</v>
      </c>
      <c r="O45" s="1">
        <f>+N45-O43</f>
        <v>1735552.5078437563</v>
      </c>
      <c r="P45" s="1">
        <f>+O45-P43</f>
        <v>1883074.4710104757</v>
      </c>
      <c r="Q45" s="1">
        <f>+P45-Q43</f>
        <v>2043135.8010463661</v>
      </c>
      <c r="R45" s="1">
        <f>+Q45-R43</f>
        <v>2216802.3441353072</v>
      </c>
      <c r="S45" s="1">
        <f>+R45-S43</f>
        <v>2405230.5433868086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60"/>
  <sheetViews>
    <sheetView tabSelected="1" topLeftCell="A23" workbookViewId="0">
      <selection activeCell="A53" sqref="A53"/>
    </sheetView>
  </sheetViews>
  <sheetFormatPr defaultRowHeight="12.75" x14ac:dyDescent="0.2"/>
  <cols>
    <col min="1" max="1" width="11.42578125" customWidth="1"/>
    <col min="3" max="3" width="10.7109375" customWidth="1"/>
    <col min="4" max="4" width="13.28515625" customWidth="1"/>
    <col min="5" max="18" width="12" customWidth="1"/>
    <col min="19" max="19" width="14.7109375" customWidth="1"/>
    <col min="20" max="34" width="12" customWidth="1"/>
  </cols>
  <sheetData>
    <row r="1" spans="1:9" x14ac:dyDescent="0.2">
      <c r="B1" s="14" t="s">
        <v>38</v>
      </c>
    </row>
    <row r="2" spans="1:9" x14ac:dyDescent="0.2">
      <c r="F2">
        <f>3100*25</f>
        <v>77500</v>
      </c>
    </row>
    <row r="3" spans="1:9" x14ac:dyDescent="0.2">
      <c r="B3" t="s">
        <v>4</v>
      </c>
      <c r="D3" s="10">
        <v>2800000</v>
      </c>
    </row>
    <row r="4" spans="1:9" x14ac:dyDescent="0.2">
      <c r="B4" t="s">
        <v>5</v>
      </c>
      <c r="D4" s="3">
        <v>0.08</v>
      </c>
    </row>
    <row r="5" spans="1:9" x14ac:dyDescent="0.2">
      <c r="B5" t="s">
        <v>6</v>
      </c>
      <c r="D5">
        <v>30</v>
      </c>
    </row>
    <row r="6" spans="1:9" x14ac:dyDescent="0.2">
      <c r="B6" t="s">
        <v>7</v>
      </c>
      <c r="D6" s="11">
        <f>D3*D8</f>
        <v>560000</v>
      </c>
      <c r="H6" t="s">
        <v>41</v>
      </c>
      <c r="I6" s="10">
        <f>D21*12</f>
        <v>390600</v>
      </c>
    </row>
    <row r="7" spans="1:9" x14ac:dyDescent="0.2">
      <c r="B7" t="s">
        <v>45</v>
      </c>
      <c r="D7" s="11">
        <f>D3*0.03</f>
        <v>84000</v>
      </c>
      <c r="H7" t="s">
        <v>49</v>
      </c>
      <c r="I7" s="12">
        <f>E19</f>
        <v>-127929.99999999999</v>
      </c>
    </row>
    <row r="8" spans="1:9" x14ac:dyDescent="0.2">
      <c r="B8" t="s">
        <v>37</v>
      </c>
      <c r="D8" s="2">
        <v>0.2</v>
      </c>
      <c r="I8" s="12"/>
    </row>
    <row r="9" spans="1:9" x14ac:dyDescent="0.2">
      <c r="H9" t="s">
        <v>33</v>
      </c>
      <c r="I9" s="10">
        <f>SUM(I6:I8)</f>
        <v>262670</v>
      </c>
    </row>
    <row r="10" spans="1:9" x14ac:dyDescent="0.2">
      <c r="I10" s="10"/>
    </row>
    <row r="11" spans="1:9" x14ac:dyDescent="0.2">
      <c r="D11" t="s">
        <v>47</v>
      </c>
      <c r="E11" t="s">
        <v>48</v>
      </c>
      <c r="I11" s="10"/>
    </row>
    <row r="12" spans="1:9" x14ac:dyDescent="0.2">
      <c r="B12" t="s">
        <v>8</v>
      </c>
      <c r="D12" s="1">
        <f>PMT(D4/12,D5*12,D3*(1-D8))</f>
        <v>-16436.326454898026</v>
      </c>
      <c r="E12" s="1">
        <f>D12*12</f>
        <v>-197235.91745877633</v>
      </c>
    </row>
    <row r="13" spans="1:9" x14ac:dyDescent="0.2">
      <c r="D13" s="1"/>
      <c r="E13" s="1"/>
    </row>
    <row r="14" spans="1:9" x14ac:dyDescent="0.2">
      <c r="B14" t="s">
        <v>9</v>
      </c>
      <c r="D14" s="4">
        <f>-D3*0.025/12</f>
        <v>-5833.333333333333</v>
      </c>
      <c r="E14" s="1">
        <f t="shared" ref="E14:E23" si="0">D14*12</f>
        <v>-70000</v>
      </c>
      <c r="F14" t="s">
        <v>44</v>
      </c>
      <c r="H14" t="s">
        <v>42</v>
      </c>
      <c r="I14" s="11">
        <f>D3</f>
        <v>2800000</v>
      </c>
    </row>
    <row r="15" spans="1:9" x14ac:dyDescent="0.2">
      <c r="A15" s="15">
        <v>0.05</v>
      </c>
      <c r="B15" t="s">
        <v>40</v>
      </c>
      <c r="D15" s="4">
        <f>D21*-A15</f>
        <v>-1627.5</v>
      </c>
      <c r="E15" s="1">
        <f t="shared" si="0"/>
        <v>-19530</v>
      </c>
      <c r="F15" t="s">
        <v>44</v>
      </c>
    </row>
    <row r="16" spans="1:9" x14ac:dyDescent="0.2">
      <c r="B16" t="s">
        <v>39</v>
      </c>
      <c r="D16" s="4">
        <v>-1000</v>
      </c>
      <c r="E16" s="1">
        <f t="shared" si="0"/>
        <v>-12000</v>
      </c>
      <c r="F16" t="s">
        <v>44</v>
      </c>
      <c r="H16" t="s">
        <v>43</v>
      </c>
      <c r="I16" s="3">
        <f>I9/I14</f>
        <v>9.3810714285714289E-2</v>
      </c>
    </row>
    <row r="17" spans="2:34" x14ac:dyDescent="0.2">
      <c r="B17" t="s">
        <v>10</v>
      </c>
      <c r="D17">
        <v>-1000</v>
      </c>
      <c r="E17" s="1">
        <f t="shared" si="0"/>
        <v>-12000</v>
      </c>
      <c r="F17" t="s">
        <v>44</v>
      </c>
    </row>
    <row r="18" spans="2:34" x14ac:dyDescent="0.2">
      <c r="B18" t="s">
        <v>11</v>
      </c>
      <c r="D18" s="5">
        <v>-1200</v>
      </c>
      <c r="E18" s="1">
        <f t="shared" si="0"/>
        <v>-14400</v>
      </c>
      <c r="F18" t="s">
        <v>44</v>
      </c>
    </row>
    <row r="19" spans="2:34" x14ac:dyDescent="0.2">
      <c r="B19" t="s">
        <v>46</v>
      </c>
      <c r="D19" s="1">
        <f>SUM(D14:D18)</f>
        <v>-10660.833333333332</v>
      </c>
      <c r="E19" s="1">
        <f t="shared" si="0"/>
        <v>-127929.99999999999</v>
      </c>
    </row>
    <row r="20" spans="2:34" x14ac:dyDescent="0.2">
      <c r="E20" s="1"/>
    </row>
    <row r="21" spans="2:34" x14ac:dyDescent="0.2">
      <c r="B21" t="s">
        <v>13</v>
      </c>
      <c r="D21" s="4">
        <f>28*1250*0.93</f>
        <v>32550</v>
      </c>
      <c r="E21" s="1">
        <f t="shared" si="0"/>
        <v>390600</v>
      </c>
    </row>
    <row r="22" spans="2:34" x14ac:dyDescent="0.2">
      <c r="E22" s="1"/>
    </row>
    <row r="23" spans="2:34" x14ac:dyDescent="0.2">
      <c r="B23" t="s">
        <v>14</v>
      </c>
      <c r="D23" s="12">
        <f>D21+D19+D12</f>
        <v>5452.8402117686419</v>
      </c>
      <c r="E23" s="1">
        <f t="shared" si="0"/>
        <v>65434.082541223703</v>
      </c>
    </row>
    <row r="25" spans="2:34" x14ac:dyDescent="0.2">
      <c r="B25" t="s">
        <v>15</v>
      </c>
      <c r="D25" s="4">
        <f>D23*12</f>
        <v>65434.082541223703</v>
      </c>
    </row>
    <row r="27" spans="2:34" x14ac:dyDescent="0.2">
      <c r="B27" t="s">
        <v>16</v>
      </c>
      <c r="D27" s="2">
        <f>D25/(D6+D7)</f>
        <v>0.10160571823171383</v>
      </c>
    </row>
    <row r="29" spans="2:34" x14ac:dyDescent="0.2">
      <c r="D29">
        <v>1999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</row>
    <row r="31" spans="2:34" x14ac:dyDescent="0.2">
      <c r="C31" t="s">
        <v>13</v>
      </c>
      <c r="D31" s="7">
        <f>D21*12</f>
        <v>390600</v>
      </c>
      <c r="E31" s="7">
        <f>D31*1.02</f>
        <v>398412</v>
      </c>
      <c r="F31" s="7">
        <f t="shared" ref="F31:S31" si="1">E31*1.02</f>
        <v>406380.24</v>
      </c>
      <c r="G31" s="7">
        <f t="shared" si="1"/>
        <v>414507.84480000002</v>
      </c>
      <c r="H31" s="7">
        <f t="shared" si="1"/>
        <v>422798.00169600005</v>
      </c>
      <c r="I31" s="7">
        <f t="shared" si="1"/>
        <v>431253.96172992006</v>
      </c>
      <c r="J31" s="7">
        <f t="shared" si="1"/>
        <v>439879.0409645185</v>
      </c>
      <c r="K31" s="7">
        <f t="shared" si="1"/>
        <v>448676.62178380886</v>
      </c>
      <c r="L31" s="7">
        <f t="shared" si="1"/>
        <v>457650.15421948506</v>
      </c>
      <c r="M31" s="7">
        <f t="shared" si="1"/>
        <v>466803.15730387479</v>
      </c>
      <c r="N31" s="7">
        <f t="shared" si="1"/>
        <v>476139.22044995229</v>
      </c>
      <c r="O31" s="7">
        <f t="shared" si="1"/>
        <v>485662.00485895138</v>
      </c>
      <c r="P31" s="7">
        <f t="shared" si="1"/>
        <v>495375.24495613039</v>
      </c>
      <c r="Q31" s="7">
        <f t="shared" si="1"/>
        <v>505282.74985525303</v>
      </c>
      <c r="R31" s="7">
        <f t="shared" si="1"/>
        <v>515388.4048523581</v>
      </c>
      <c r="S31" s="7">
        <f t="shared" si="1"/>
        <v>525696.17294940527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3" spans="1:34" x14ac:dyDescent="0.2">
      <c r="C33" t="s">
        <v>23</v>
      </c>
      <c r="D33" s="12">
        <f>$D$12*12</f>
        <v>-197235.91745877633</v>
      </c>
      <c r="E33" s="1">
        <f>D33</f>
        <v>-197235.91745877633</v>
      </c>
      <c r="F33" s="1">
        <f t="shared" ref="F33:S33" si="2">E33</f>
        <v>-197235.91745877633</v>
      </c>
      <c r="G33" s="1">
        <f t="shared" si="2"/>
        <v>-197235.91745877633</v>
      </c>
      <c r="H33" s="1">
        <f t="shared" si="2"/>
        <v>-197235.91745877633</v>
      </c>
      <c r="I33" s="1">
        <f t="shared" si="2"/>
        <v>-197235.91745877633</v>
      </c>
      <c r="J33" s="1">
        <f t="shared" si="2"/>
        <v>-197235.91745877633</v>
      </c>
      <c r="K33" s="1">
        <f t="shared" si="2"/>
        <v>-197235.91745877633</v>
      </c>
      <c r="L33" s="1">
        <f t="shared" si="2"/>
        <v>-197235.91745877633</v>
      </c>
      <c r="M33" s="1">
        <f t="shared" si="2"/>
        <v>-197235.91745877633</v>
      </c>
      <c r="N33" s="1">
        <f t="shared" si="2"/>
        <v>-197235.91745877633</v>
      </c>
      <c r="O33" s="1">
        <f t="shared" si="2"/>
        <v>-197235.91745877633</v>
      </c>
      <c r="P33" s="1">
        <f t="shared" si="2"/>
        <v>-197235.91745877633</v>
      </c>
      <c r="Q33" s="1">
        <f t="shared" si="2"/>
        <v>-197235.91745877633</v>
      </c>
      <c r="R33" s="1">
        <f t="shared" si="2"/>
        <v>-197235.91745877633</v>
      </c>
      <c r="S33" s="1">
        <f t="shared" si="2"/>
        <v>-197235.91745877633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">
      <c r="C34" t="s">
        <v>9</v>
      </c>
      <c r="D34" s="1">
        <f>D14*12</f>
        <v>-70000</v>
      </c>
      <c r="E34" s="1">
        <f t="shared" ref="E34:S38" si="3">D34*1.02</f>
        <v>-71400</v>
      </c>
      <c r="F34" s="1">
        <f t="shared" si="3"/>
        <v>-72828</v>
      </c>
      <c r="G34" s="1">
        <f t="shared" si="3"/>
        <v>-74284.56</v>
      </c>
      <c r="H34" s="1">
        <f t="shared" si="3"/>
        <v>-75770.251199999999</v>
      </c>
      <c r="I34" s="1">
        <f t="shared" si="3"/>
        <v>-77285.656224000006</v>
      </c>
      <c r="J34" s="1">
        <f t="shared" si="3"/>
        <v>-78831.369348480002</v>
      </c>
      <c r="K34" s="1">
        <f t="shared" si="3"/>
        <v>-80407.996735449604</v>
      </c>
      <c r="L34" s="1">
        <f t="shared" si="3"/>
        <v>-82016.156670158598</v>
      </c>
      <c r="M34" s="1">
        <f t="shared" si="3"/>
        <v>-83656.479803561771</v>
      </c>
      <c r="N34" s="1">
        <f t="shared" si="3"/>
        <v>-85329.609399633002</v>
      </c>
      <c r="O34" s="1">
        <f t="shared" si="3"/>
        <v>-87036.201587625663</v>
      </c>
      <c r="P34" s="1">
        <f t="shared" si="3"/>
        <v>-88776.925619378177</v>
      </c>
      <c r="Q34" s="1">
        <f t="shared" si="3"/>
        <v>-90552.464131765737</v>
      </c>
      <c r="R34" s="1">
        <f t="shared" si="3"/>
        <v>-92363.513414401052</v>
      </c>
      <c r="S34" s="1">
        <f t="shared" si="3"/>
        <v>-94210.783682689071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">
      <c r="C35" t="s">
        <v>40</v>
      </c>
      <c r="D35" s="1">
        <f>D15*12</f>
        <v>-19530</v>
      </c>
      <c r="E35" s="1">
        <f t="shared" si="3"/>
        <v>-19920.599999999999</v>
      </c>
      <c r="F35" s="1">
        <f t="shared" si="3"/>
        <v>-20319.011999999999</v>
      </c>
      <c r="G35" s="1">
        <f t="shared" si="3"/>
        <v>-20725.392239999997</v>
      </c>
      <c r="H35" s="1">
        <f t="shared" si="3"/>
        <v>-21139.900084799996</v>
      </c>
      <c r="I35" s="1">
        <f t="shared" si="3"/>
        <v>-21562.698086495995</v>
      </c>
      <c r="J35" s="1">
        <f t="shared" si="3"/>
        <v>-21993.952048225914</v>
      </c>
      <c r="K35" s="1">
        <f t="shared" si="3"/>
        <v>-22433.831089190433</v>
      </c>
      <c r="L35" s="1">
        <f t="shared" si="3"/>
        <v>-22882.507710974241</v>
      </c>
      <c r="M35" s="1">
        <f t="shared" si="3"/>
        <v>-23340.157865193727</v>
      </c>
      <c r="N35" s="1">
        <f t="shared" si="3"/>
        <v>-23806.961022497602</v>
      </c>
      <c r="O35" s="1">
        <f t="shared" si="3"/>
        <v>-24283.100242947556</v>
      </c>
      <c r="P35" s="1">
        <f t="shared" si="3"/>
        <v>-24768.762247806506</v>
      </c>
      <c r="Q35" s="1">
        <f t="shared" si="3"/>
        <v>-25264.137492762635</v>
      </c>
      <c r="R35" s="1">
        <f t="shared" si="3"/>
        <v>-25769.420242617889</v>
      </c>
      <c r="S35" s="1">
        <f t="shared" si="3"/>
        <v>-26284.808647470247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">
      <c r="C36" t="s">
        <v>39</v>
      </c>
      <c r="D36" s="1">
        <f>D16*12</f>
        <v>-12000</v>
      </c>
      <c r="E36" s="1">
        <f t="shared" si="3"/>
        <v>-12240</v>
      </c>
      <c r="F36" s="1">
        <f t="shared" si="3"/>
        <v>-12484.800000000001</v>
      </c>
      <c r="G36" s="1">
        <f t="shared" si="3"/>
        <v>-12734.496000000001</v>
      </c>
      <c r="H36" s="1">
        <f t="shared" si="3"/>
        <v>-12989.185920000002</v>
      </c>
      <c r="I36" s="1">
        <f t="shared" si="3"/>
        <v>-13248.969638400002</v>
      </c>
      <c r="J36" s="1">
        <f t="shared" si="3"/>
        <v>-13513.949031168002</v>
      </c>
      <c r="K36" s="1">
        <f t="shared" si="3"/>
        <v>-13784.228011791361</v>
      </c>
      <c r="L36" s="1">
        <f t="shared" si="3"/>
        <v>-14059.91257202719</v>
      </c>
      <c r="M36" s="1">
        <f t="shared" si="3"/>
        <v>-14341.110823467734</v>
      </c>
      <c r="N36" s="1">
        <f t="shared" si="3"/>
        <v>-14627.933039937088</v>
      </c>
      <c r="O36" s="1">
        <f t="shared" si="3"/>
        <v>-14920.491700735831</v>
      </c>
      <c r="P36" s="1">
        <f t="shared" si="3"/>
        <v>-15218.901534750548</v>
      </c>
      <c r="Q36" s="1">
        <f t="shared" si="3"/>
        <v>-15523.27956544556</v>
      </c>
      <c r="R36" s="1">
        <f t="shared" si="3"/>
        <v>-15833.745156754472</v>
      </c>
      <c r="S36" s="1">
        <f t="shared" si="3"/>
        <v>-16150.420059889562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">
      <c r="C37" t="s">
        <v>10</v>
      </c>
      <c r="D37" s="1">
        <f>D17*12</f>
        <v>-12000</v>
      </c>
      <c r="E37" s="1">
        <f>D37*1.02</f>
        <v>-12240</v>
      </c>
      <c r="F37" s="1">
        <f t="shared" si="3"/>
        <v>-12484.800000000001</v>
      </c>
      <c r="G37" s="1">
        <f t="shared" si="3"/>
        <v>-12734.496000000001</v>
      </c>
      <c r="H37" s="1">
        <f t="shared" si="3"/>
        <v>-12989.185920000002</v>
      </c>
      <c r="I37" s="1">
        <f t="shared" si="3"/>
        <v>-13248.969638400002</v>
      </c>
      <c r="J37" s="1">
        <f t="shared" si="3"/>
        <v>-13513.949031168002</v>
      </c>
      <c r="K37" s="1">
        <f t="shared" si="3"/>
        <v>-13784.228011791361</v>
      </c>
      <c r="L37" s="1">
        <f t="shared" si="3"/>
        <v>-14059.91257202719</v>
      </c>
      <c r="M37" s="1">
        <f t="shared" si="3"/>
        <v>-14341.110823467734</v>
      </c>
      <c r="N37" s="1">
        <f t="shared" si="3"/>
        <v>-14627.933039937088</v>
      </c>
      <c r="O37" s="1">
        <f t="shared" si="3"/>
        <v>-14920.491700735831</v>
      </c>
      <c r="P37" s="1">
        <f t="shared" si="3"/>
        <v>-15218.901534750548</v>
      </c>
      <c r="Q37" s="1">
        <f t="shared" si="3"/>
        <v>-15523.27956544556</v>
      </c>
      <c r="R37" s="1">
        <f t="shared" si="3"/>
        <v>-15833.745156754472</v>
      </c>
      <c r="S37" s="1">
        <f t="shared" si="3"/>
        <v>-16150.420059889562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">
      <c r="C38" t="s">
        <v>11</v>
      </c>
      <c r="D38" s="1">
        <f>D18*12</f>
        <v>-14400</v>
      </c>
      <c r="E38" s="1">
        <f>D38*1.02</f>
        <v>-14688</v>
      </c>
      <c r="F38" s="1">
        <f t="shared" si="3"/>
        <v>-14981.76</v>
      </c>
      <c r="G38" s="1">
        <f t="shared" si="3"/>
        <v>-15281.395200000001</v>
      </c>
      <c r="H38" s="1">
        <f t="shared" si="3"/>
        <v>-15587.023104000002</v>
      </c>
      <c r="I38" s="1">
        <f t="shared" si="3"/>
        <v>-15898.763566080002</v>
      </c>
      <c r="J38" s="1">
        <f t="shared" si="3"/>
        <v>-16216.738837401603</v>
      </c>
      <c r="K38" s="1">
        <f t="shared" si="3"/>
        <v>-16541.073614149635</v>
      </c>
      <c r="L38" s="1">
        <f t="shared" si="3"/>
        <v>-16871.895086432629</v>
      </c>
      <c r="M38" s="1">
        <f t="shared" si="3"/>
        <v>-17209.332988161281</v>
      </c>
      <c r="N38" s="1">
        <f t="shared" si="3"/>
        <v>-17553.519647924506</v>
      </c>
      <c r="O38" s="1">
        <f t="shared" si="3"/>
        <v>-17904.590040882995</v>
      </c>
      <c r="P38" s="1">
        <f t="shared" si="3"/>
        <v>-18262.681841700654</v>
      </c>
      <c r="Q38" s="1">
        <f t="shared" si="3"/>
        <v>-18627.93547853467</v>
      </c>
      <c r="R38" s="1">
        <f t="shared" si="3"/>
        <v>-19000.494188105364</v>
      </c>
      <c r="S38" s="1">
        <f t="shared" si="3"/>
        <v>-19380.504071867472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40" spans="1:34" x14ac:dyDescent="0.2">
      <c r="C40" t="s">
        <v>24</v>
      </c>
      <c r="D40" s="8">
        <f>SUM(D31:D39)</f>
        <v>65434.082541223674</v>
      </c>
      <c r="E40" s="8">
        <f t="shared" ref="E40:S40" si="4">SUM(E31:E39)</f>
        <v>70687.482541223668</v>
      </c>
      <c r="F40" s="8">
        <f t="shared" si="4"/>
        <v>76045.950541223661</v>
      </c>
      <c r="G40" s="8">
        <f t="shared" si="4"/>
        <v>81511.587901223698</v>
      </c>
      <c r="H40" s="8">
        <f t="shared" si="4"/>
        <v>87086.538008423711</v>
      </c>
      <c r="I40" s="8">
        <f t="shared" si="4"/>
        <v>92772.987117767727</v>
      </c>
      <c r="J40" s="8">
        <f t="shared" si="4"/>
        <v>98573.165209298648</v>
      </c>
      <c r="K40" s="8">
        <f t="shared" si="4"/>
        <v>104489.34686266015</v>
      </c>
      <c r="L40" s="8">
        <f t="shared" si="4"/>
        <v>110523.85214908887</v>
      </c>
      <c r="M40" s="8">
        <f t="shared" si="4"/>
        <v>116679.04754124625</v>
      </c>
      <c r="N40" s="8">
        <f t="shared" si="4"/>
        <v>122957.34684124669</v>
      </c>
      <c r="O40" s="8">
        <f t="shared" si="4"/>
        <v>129361.21212724718</v>
      </c>
      <c r="P40" s="8">
        <f t="shared" si="4"/>
        <v>135893.15471896765</v>
      </c>
      <c r="Q40" s="8">
        <f t="shared" si="4"/>
        <v>142555.73616252255</v>
      </c>
      <c r="R40" s="8">
        <f t="shared" si="4"/>
        <v>149351.56923494852</v>
      </c>
      <c r="S40" s="8">
        <f t="shared" si="4"/>
        <v>156283.31896882303</v>
      </c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x14ac:dyDescent="0.2">
      <c r="C41" t="s">
        <v>25</v>
      </c>
      <c r="D41" s="11">
        <f>-D6+D7</f>
        <v>-476000</v>
      </c>
      <c r="H41">
        <v>-50000</v>
      </c>
      <c r="I41" s="1"/>
      <c r="M41">
        <v>-50000</v>
      </c>
      <c r="N41" s="1"/>
      <c r="R41">
        <v>-50000</v>
      </c>
      <c r="S41" s="1">
        <f>3000000-S53</f>
        <v>1285609.2894888378</v>
      </c>
    </row>
    <row r="43" spans="1:34" x14ac:dyDescent="0.2">
      <c r="A43" s="12">
        <f>NPV(0.0825,D43:S43)</f>
        <v>712002.40667967405</v>
      </c>
      <c r="C43" t="s">
        <v>26</v>
      </c>
      <c r="D43" s="8">
        <f>D41+D40</f>
        <v>-410565.91745877633</v>
      </c>
      <c r="E43" s="8">
        <f t="shared" ref="E43:S43" si="5">E41+E40</f>
        <v>70687.482541223668</v>
      </c>
      <c r="F43" s="8">
        <f t="shared" si="5"/>
        <v>76045.950541223661</v>
      </c>
      <c r="G43" s="8">
        <f t="shared" si="5"/>
        <v>81511.587901223698</v>
      </c>
      <c r="H43" s="8">
        <f t="shared" si="5"/>
        <v>37086.538008423711</v>
      </c>
      <c r="I43" s="8">
        <f t="shared" si="5"/>
        <v>92772.987117767727</v>
      </c>
      <c r="J43" s="8">
        <f t="shared" si="5"/>
        <v>98573.165209298648</v>
      </c>
      <c r="K43" s="8">
        <f t="shared" si="5"/>
        <v>104489.34686266015</v>
      </c>
      <c r="L43" s="8">
        <f t="shared" si="5"/>
        <v>110523.85214908887</v>
      </c>
      <c r="M43" s="8">
        <f t="shared" si="5"/>
        <v>66679.047541246255</v>
      </c>
      <c r="N43" s="8">
        <f t="shared" si="5"/>
        <v>122957.34684124669</v>
      </c>
      <c r="O43" s="8">
        <f t="shared" si="5"/>
        <v>129361.21212724718</v>
      </c>
      <c r="P43" s="8">
        <f t="shared" si="5"/>
        <v>135893.15471896765</v>
      </c>
      <c r="Q43" s="8">
        <f t="shared" si="5"/>
        <v>142555.73616252255</v>
      </c>
      <c r="R43" s="8">
        <f t="shared" si="5"/>
        <v>99351.569234948518</v>
      </c>
      <c r="S43" s="8">
        <f t="shared" si="5"/>
        <v>1441892.6084576608</v>
      </c>
      <c r="T43" s="8"/>
      <c r="U43" s="8">
        <f>AVERAGE(D43:S43)</f>
        <v>149988.47924724832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x14ac:dyDescent="0.2">
      <c r="U44" s="13">
        <f>U43/0.0825</f>
        <v>1818042.1726939189</v>
      </c>
    </row>
    <row r="45" spans="1:34" x14ac:dyDescent="0.2">
      <c r="C45" t="s">
        <v>32</v>
      </c>
      <c r="D45" s="9">
        <f>IRR(D43:S43,0.15)</f>
        <v>0.22752796245553775</v>
      </c>
      <c r="E45">
        <v>410000</v>
      </c>
    </row>
    <row r="46" spans="1:34" x14ac:dyDescent="0.2">
      <c r="D46" s="9">
        <f>IRR(D47:S47,0.15)</f>
        <v>1.2399658124866439</v>
      </c>
      <c r="E46">
        <v>0.12</v>
      </c>
    </row>
    <row r="47" spans="1:34" x14ac:dyDescent="0.2">
      <c r="A47" t="s">
        <v>50</v>
      </c>
      <c r="D47" s="16">
        <v>-410000</v>
      </c>
      <c r="E47" s="8">
        <f>+E45*(1+$E$46)</f>
        <v>459200.00000000006</v>
      </c>
      <c r="F47" s="8">
        <f>+E47*(1+$E$46)</f>
        <v>514304.00000000012</v>
      </c>
      <c r="G47" s="8">
        <f t="shared" ref="G47:S47" si="6">+F47*(1+$E$46)</f>
        <v>576020.48000000021</v>
      </c>
      <c r="H47" s="8">
        <f t="shared" si="6"/>
        <v>645142.9376000003</v>
      </c>
      <c r="I47" s="8">
        <f t="shared" si="6"/>
        <v>722560.09011200035</v>
      </c>
      <c r="J47" s="8">
        <f t="shared" si="6"/>
        <v>809267.3009254405</v>
      </c>
      <c r="K47" s="8">
        <f t="shared" si="6"/>
        <v>906379.3770364935</v>
      </c>
      <c r="L47" s="8">
        <f t="shared" si="6"/>
        <v>1015144.9022808728</v>
      </c>
      <c r="M47" s="8">
        <f t="shared" si="6"/>
        <v>1136962.2905545777</v>
      </c>
      <c r="N47" s="8">
        <f t="shared" si="6"/>
        <v>1273397.7654211272</v>
      </c>
      <c r="O47" s="8">
        <f t="shared" si="6"/>
        <v>1426205.4972716626</v>
      </c>
      <c r="P47" s="8">
        <f t="shared" si="6"/>
        <v>1597350.1569442623</v>
      </c>
      <c r="Q47" s="8">
        <f t="shared" si="6"/>
        <v>1789032.1757775741</v>
      </c>
      <c r="R47" s="8">
        <f t="shared" si="6"/>
        <v>2003716.0368708831</v>
      </c>
      <c r="S47" s="8">
        <f t="shared" si="6"/>
        <v>2244161.9612953891</v>
      </c>
    </row>
    <row r="48" spans="1:34" x14ac:dyDescent="0.2">
      <c r="D48" s="9"/>
    </row>
    <row r="49" spans="3:19" x14ac:dyDescent="0.2">
      <c r="C49" t="s">
        <v>28</v>
      </c>
      <c r="D49">
        <f>(D3-D6+D7)*D4</f>
        <v>185920</v>
      </c>
      <c r="E49">
        <f t="shared" ref="E49:N49" si="7">+D53*$D$4</f>
        <v>178294.7266032979</v>
      </c>
      <c r="F49">
        <f t="shared" si="7"/>
        <v>176779.43133485963</v>
      </c>
      <c r="G49">
        <f t="shared" si="7"/>
        <v>175142.9124449463</v>
      </c>
      <c r="H49">
        <f t="shared" si="7"/>
        <v>173375.47204383989</v>
      </c>
      <c r="I49">
        <f t="shared" si="7"/>
        <v>171466.63641064495</v>
      </c>
      <c r="J49">
        <f t="shared" si="7"/>
        <v>169405.09392679445</v>
      </c>
      <c r="K49">
        <f t="shared" si="7"/>
        <v>167178.62804423593</v>
      </c>
      <c r="L49">
        <f t="shared" si="7"/>
        <v>164774.04489107267</v>
      </c>
      <c r="M49">
        <f t="shared" si="7"/>
        <v>162177.09508565639</v>
      </c>
      <c r="N49">
        <f t="shared" si="7"/>
        <v>159372.38929580679</v>
      </c>
      <c r="O49">
        <f>+N53*$D$4</f>
        <v>156343.30704276924</v>
      </c>
      <c r="P49">
        <f>+O53*$D$4</f>
        <v>153071.89820948869</v>
      </c>
      <c r="Q49">
        <f>+P53*$D$4</f>
        <v>149538.77666954565</v>
      </c>
      <c r="R49">
        <f>+Q53*$D$4</f>
        <v>145723.0054064072</v>
      </c>
      <c r="S49">
        <f>+R53*$D$4</f>
        <v>141601.97244221767</v>
      </c>
    </row>
    <row r="50" spans="3:19" x14ac:dyDescent="0.2">
      <c r="C50" t="s">
        <v>29</v>
      </c>
      <c r="D50" s="1">
        <f t="shared" ref="D50:N50" si="8">-D33</f>
        <v>197235.91745877633</v>
      </c>
      <c r="E50" s="1">
        <f t="shared" si="8"/>
        <v>197235.91745877633</v>
      </c>
      <c r="F50" s="1">
        <f t="shared" si="8"/>
        <v>197235.91745877633</v>
      </c>
      <c r="G50" s="1">
        <f t="shared" si="8"/>
        <v>197235.91745877633</v>
      </c>
      <c r="H50" s="1">
        <f t="shared" si="8"/>
        <v>197235.91745877633</v>
      </c>
      <c r="I50" s="1">
        <f t="shared" si="8"/>
        <v>197235.91745877633</v>
      </c>
      <c r="J50" s="1">
        <f t="shared" si="8"/>
        <v>197235.91745877633</v>
      </c>
      <c r="K50" s="1">
        <f t="shared" si="8"/>
        <v>197235.91745877633</v>
      </c>
      <c r="L50" s="1">
        <f t="shared" si="8"/>
        <v>197235.91745877633</v>
      </c>
      <c r="M50" s="1">
        <f t="shared" si="8"/>
        <v>197235.91745877633</v>
      </c>
      <c r="N50" s="1">
        <f t="shared" si="8"/>
        <v>197235.91745877633</v>
      </c>
      <c r="O50" s="1">
        <f>-O33</f>
        <v>197235.91745877633</v>
      </c>
      <c r="P50" s="1">
        <f>-P33</f>
        <v>197235.91745877633</v>
      </c>
      <c r="Q50" s="1">
        <f>-Q33</f>
        <v>197235.91745877633</v>
      </c>
      <c r="R50" s="1">
        <f>-R33</f>
        <v>197235.91745877633</v>
      </c>
      <c r="S50" s="1">
        <f>-S33</f>
        <v>197235.91745877633</v>
      </c>
    </row>
    <row r="51" spans="3:19" x14ac:dyDescent="0.2">
      <c r="C51" t="s">
        <v>30</v>
      </c>
      <c r="D51" s="1">
        <f t="shared" ref="D51:N51" si="9">+D50-D49</f>
        <v>11315.917458776326</v>
      </c>
      <c r="E51" s="1">
        <f t="shared" si="9"/>
        <v>18941.190855478431</v>
      </c>
      <c r="F51" s="1">
        <f t="shared" si="9"/>
        <v>20456.486123916693</v>
      </c>
      <c r="G51" s="1">
        <f t="shared" si="9"/>
        <v>22093.005013830028</v>
      </c>
      <c r="H51" s="1">
        <f t="shared" si="9"/>
        <v>23860.445414936432</v>
      </c>
      <c r="I51" s="1">
        <f t="shared" si="9"/>
        <v>25769.281048131379</v>
      </c>
      <c r="J51" s="1">
        <f t="shared" si="9"/>
        <v>27830.823531981878</v>
      </c>
      <c r="K51" s="1">
        <f t="shared" si="9"/>
        <v>30057.289414540399</v>
      </c>
      <c r="L51" s="1">
        <f t="shared" si="9"/>
        <v>32461.872567703656</v>
      </c>
      <c r="M51" s="1">
        <f t="shared" si="9"/>
        <v>35058.82237311994</v>
      </c>
      <c r="N51" s="1">
        <f t="shared" si="9"/>
        <v>37863.528162969538</v>
      </c>
      <c r="O51" s="1">
        <f>+O50-O49</f>
        <v>40892.610416007083</v>
      </c>
      <c r="P51" s="1">
        <f>+P50-P49</f>
        <v>44164.019249287638</v>
      </c>
      <c r="Q51" s="1">
        <f>+Q50-Q49</f>
        <v>47697.140789230674</v>
      </c>
      <c r="R51" s="1">
        <f>+R50-R49</f>
        <v>51512.912052369124</v>
      </c>
      <c r="S51" s="1">
        <f>+S50-S49</f>
        <v>55633.94501655866</v>
      </c>
    </row>
    <row r="53" spans="3:19" x14ac:dyDescent="0.2">
      <c r="C53" t="s">
        <v>31</v>
      </c>
      <c r="D53" s="1">
        <f>+(D3-D6)-D51</f>
        <v>2228684.0825412236</v>
      </c>
      <c r="E53" s="1">
        <f t="shared" ref="E53:N53" si="10">+D53-E51</f>
        <v>2209742.8916857452</v>
      </c>
      <c r="F53" s="1">
        <f t="shared" si="10"/>
        <v>2189286.4055618285</v>
      </c>
      <c r="G53" s="1">
        <f t="shared" si="10"/>
        <v>2167193.4005479985</v>
      </c>
      <c r="H53" s="1">
        <f t="shared" si="10"/>
        <v>2143332.9551330619</v>
      </c>
      <c r="I53" s="1">
        <f t="shared" si="10"/>
        <v>2117563.6740849307</v>
      </c>
      <c r="J53" s="1">
        <f t="shared" si="10"/>
        <v>2089732.8505529489</v>
      </c>
      <c r="K53" s="1">
        <f t="shared" si="10"/>
        <v>2059675.5611384085</v>
      </c>
      <c r="L53" s="1">
        <f t="shared" si="10"/>
        <v>2027213.6885707048</v>
      </c>
      <c r="M53" s="1">
        <f t="shared" si="10"/>
        <v>1992154.8661975849</v>
      </c>
      <c r="N53" s="1">
        <f t="shared" si="10"/>
        <v>1954291.3380346154</v>
      </c>
      <c r="O53" s="1">
        <f>+N53-O51</f>
        <v>1913398.7276186084</v>
      </c>
      <c r="P53" s="1">
        <f>+O53-P51</f>
        <v>1869234.7083693207</v>
      </c>
      <c r="Q53" s="1">
        <f>+P53-Q51</f>
        <v>1821537.5675800901</v>
      </c>
      <c r="R53" s="1">
        <f>+Q53-R51</f>
        <v>1770024.6555277209</v>
      </c>
      <c r="S53" s="1">
        <f>+R53-S51</f>
        <v>1714390.7105111622</v>
      </c>
    </row>
    <row r="56" spans="3:19" x14ac:dyDescent="0.2">
      <c r="C56" t="s">
        <v>33</v>
      </c>
      <c r="D56" s="8" t="e">
        <f>D31+D34+#REF!+D37+D38</f>
        <v>#REF!</v>
      </c>
      <c r="E56" s="8" t="e">
        <f>E31+E34+#REF!+E37+E38</f>
        <v>#REF!</v>
      </c>
      <c r="F56" s="8" t="e">
        <f>F31+F34+#REF!+F37+F38</f>
        <v>#REF!</v>
      </c>
      <c r="G56" s="8" t="e">
        <f>G31+G34+#REF!+G37+G38</f>
        <v>#REF!</v>
      </c>
      <c r="H56" s="8" t="e">
        <f>H31+H34+#REF!+H37+H38</f>
        <v>#REF!</v>
      </c>
      <c r="I56" s="8" t="e">
        <f>I31+I34+#REF!+I37+I38</f>
        <v>#REF!</v>
      </c>
      <c r="J56" s="8" t="e">
        <f>J31+J34+#REF!+J37+J38</f>
        <v>#REF!</v>
      </c>
      <c r="K56" s="8" t="e">
        <f>K31+K34+#REF!+K37+K38</f>
        <v>#REF!</v>
      </c>
      <c r="L56" s="8" t="e">
        <f>L31+L34+#REF!+L37+L38</f>
        <v>#REF!</v>
      </c>
      <c r="M56" s="8" t="e">
        <f>M31+M34+#REF!+M37+M38</f>
        <v>#REF!</v>
      </c>
      <c r="N56" s="8" t="e">
        <f>N31+N34+#REF!+N37+N38</f>
        <v>#REF!</v>
      </c>
      <c r="O56" s="8" t="e">
        <f>O31+O34+#REF!+O37+O38</f>
        <v>#REF!</v>
      </c>
      <c r="P56" s="8" t="e">
        <f>P31+P34+#REF!+P37+P38</f>
        <v>#REF!</v>
      </c>
      <c r="Q56" s="8" t="e">
        <f>Q31+Q34+#REF!+Q37+Q38</f>
        <v>#REF!</v>
      </c>
      <c r="R56" s="8" t="e">
        <f>R31+R34+#REF!+R37+R38</f>
        <v>#REF!</v>
      </c>
      <c r="S56" s="8" t="e">
        <f>S31+S34+#REF!+S37+S38</f>
        <v>#REF!</v>
      </c>
    </row>
    <row r="57" spans="3:19" x14ac:dyDescent="0.2">
      <c r="C57" t="s">
        <v>34</v>
      </c>
      <c r="D57" s="1">
        <f t="shared" ref="D57:S57" si="11">D33+D51</f>
        <v>-185920</v>
      </c>
      <c r="E57" s="1">
        <f t="shared" si="11"/>
        <v>-178294.7266032979</v>
      </c>
      <c r="F57" s="1">
        <f t="shared" si="11"/>
        <v>-176779.43133485963</v>
      </c>
      <c r="G57" s="1">
        <f t="shared" si="11"/>
        <v>-175142.9124449463</v>
      </c>
      <c r="H57" s="1">
        <f t="shared" si="11"/>
        <v>-173375.47204383989</v>
      </c>
      <c r="I57" s="1">
        <f t="shared" si="11"/>
        <v>-171466.63641064495</v>
      </c>
      <c r="J57" s="1">
        <f t="shared" si="11"/>
        <v>-169405.09392679445</v>
      </c>
      <c r="K57" s="1">
        <f t="shared" si="11"/>
        <v>-167178.62804423593</v>
      </c>
      <c r="L57" s="1">
        <f t="shared" si="11"/>
        <v>-164774.04489107267</v>
      </c>
      <c r="M57" s="1">
        <f t="shared" si="11"/>
        <v>-162177.09508565639</v>
      </c>
      <c r="N57" s="1">
        <f t="shared" si="11"/>
        <v>-159372.38929580679</v>
      </c>
      <c r="O57" s="1">
        <f t="shared" si="11"/>
        <v>-156343.30704276924</v>
      </c>
      <c r="P57" s="1">
        <f t="shared" si="11"/>
        <v>-153071.89820948869</v>
      </c>
      <c r="Q57" s="1">
        <f t="shared" si="11"/>
        <v>-149538.77666954565</v>
      </c>
      <c r="R57" s="1">
        <f t="shared" si="11"/>
        <v>-145723.0054064072</v>
      </c>
      <c r="S57" s="1">
        <f t="shared" si="11"/>
        <v>-141601.97244221767</v>
      </c>
    </row>
    <row r="58" spans="3:19" x14ac:dyDescent="0.2">
      <c r="C58" t="s">
        <v>35</v>
      </c>
      <c r="D58" s="11">
        <f>-$D$3/15</f>
        <v>-186666.66666666666</v>
      </c>
      <c r="E58" s="11">
        <f t="shared" ref="E58:S58" si="12">-$D$3/15</f>
        <v>-186666.66666666666</v>
      </c>
      <c r="F58" s="11">
        <f t="shared" si="12"/>
        <v>-186666.66666666666</v>
      </c>
      <c r="G58" s="11">
        <f t="shared" si="12"/>
        <v>-186666.66666666666</v>
      </c>
      <c r="H58" s="11">
        <f t="shared" si="12"/>
        <v>-186666.66666666666</v>
      </c>
      <c r="I58" s="11">
        <f t="shared" si="12"/>
        <v>-186666.66666666666</v>
      </c>
      <c r="J58" s="11">
        <f t="shared" si="12"/>
        <v>-186666.66666666666</v>
      </c>
      <c r="K58" s="11">
        <f t="shared" si="12"/>
        <v>-186666.66666666666</v>
      </c>
      <c r="L58" s="11">
        <f t="shared" si="12"/>
        <v>-186666.66666666666</v>
      </c>
      <c r="M58" s="11">
        <f t="shared" si="12"/>
        <v>-186666.66666666666</v>
      </c>
      <c r="N58" s="11">
        <f t="shared" si="12"/>
        <v>-186666.66666666666</v>
      </c>
      <c r="O58" s="11">
        <f t="shared" si="12"/>
        <v>-186666.66666666666</v>
      </c>
      <c r="P58" s="11">
        <f t="shared" si="12"/>
        <v>-186666.66666666666</v>
      </c>
      <c r="Q58" s="11">
        <f t="shared" si="12"/>
        <v>-186666.66666666666</v>
      </c>
      <c r="R58" s="11">
        <f t="shared" si="12"/>
        <v>-186666.66666666666</v>
      </c>
      <c r="S58" s="11">
        <f t="shared" si="12"/>
        <v>-186666.66666666666</v>
      </c>
    </row>
    <row r="60" spans="3:19" x14ac:dyDescent="0.2">
      <c r="C60" t="s">
        <v>36</v>
      </c>
      <c r="D60" s="8" t="e">
        <f>SUM(D56:D58)</f>
        <v>#REF!</v>
      </c>
      <c r="E60" s="8" t="e">
        <f t="shared" ref="E60:S60" si="13">SUM(E56:E58)</f>
        <v>#REF!</v>
      </c>
      <c r="F60" s="8" t="e">
        <f t="shared" si="13"/>
        <v>#REF!</v>
      </c>
      <c r="G60" s="8" t="e">
        <f t="shared" si="13"/>
        <v>#REF!</v>
      </c>
      <c r="H60" s="8" t="e">
        <f t="shared" si="13"/>
        <v>#REF!</v>
      </c>
      <c r="I60" s="8" t="e">
        <f t="shared" si="13"/>
        <v>#REF!</v>
      </c>
      <c r="J60" s="8" t="e">
        <f t="shared" si="13"/>
        <v>#REF!</v>
      </c>
      <c r="K60" s="8" t="e">
        <f t="shared" si="13"/>
        <v>#REF!</v>
      </c>
      <c r="L60" s="8" t="e">
        <f t="shared" si="13"/>
        <v>#REF!</v>
      </c>
      <c r="M60" s="8" t="e">
        <f t="shared" si="13"/>
        <v>#REF!</v>
      </c>
      <c r="N60" s="8" t="e">
        <f t="shared" si="13"/>
        <v>#REF!</v>
      </c>
      <c r="O60" s="8" t="e">
        <f t="shared" si="13"/>
        <v>#REF!</v>
      </c>
      <c r="P60" s="8" t="e">
        <f t="shared" si="13"/>
        <v>#REF!</v>
      </c>
      <c r="Q60" s="8" t="e">
        <f t="shared" si="13"/>
        <v>#REF!</v>
      </c>
      <c r="R60" s="8" t="e">
        <f t="shared" si="13"/>
        <v>#REF!</v>
      </c>
      <c r="S60" s="8" t="e">
        <f t="shared" si="13"/>
        <v>#REF!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Goals</vt:lpstr>
      <vt:lpstr>Sheet1</vt:lpstr>
      <vt:lpstr>npv</vt:lpstr>
      <vt:lpstr>riddle</vt:lpstr>
      <vt:lpstr>Sheet11</vt:lpstr>
      <vt:lpstr>Sheet15</vt:lpstr>
      <vt:lpstr>Sheet16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1999-04-13T21:56:44Z</cp:lastPrinted>
  <dcterms:created xsi:type="dcterms:W3CDTF">1998-09-21T21:07:47Z</dcterms:created>
  <dcterms:modified xsi:type="dcterms:W3CDTF">2014-09-04T09:39:53Z</dcterms:modified>
</cp:coreProperties>
</file>