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305" yWindow="5565" windowWidth="7335" windowHeight="5580" tabRatio="577"/>
  </bookViews>
  <sheets>
    <sheet name="Unit Costs" sheetId="6" r:id="rId1"/>
  </sheets>
  <definedNames>
    <definedName name="CMF">'Unit Costs'!$L$1</definedName>
    <definedName name="CTime">#REF!</definedName>
    <definedName name="_xlnm.Print_Area" localSheetId="0">'Unit Costs'!$P$9:$AD$88</definedName>
    <definedName name="_xlnm.Print_Titles" localSheetId="0">'Unit Costs'!$B:$B,'Unit Costs'!$5:$8</definedName>
    <definedName name="SM134Units">'Unit Costs'!$Q$2</definedName>
    <definedName name="TRUnits">'Unit Costs'!$L$2</definedName>
  </definedNames>
  <calcPr calcId="152511" fullCalcOnLoad="1"/>
</workbook>
</file>

<file path=xl/calcChain.xml><?xml version="1.0" encoding="utf-8"?>
<calcChain xmlns="http://schemas.openxmlformats.org/spreadsheetml/2006/main">
  <c r="L7" i="6" l="1"/>
  <c r="AB7" i="6"/>
  <c r="AK7" i="6" s="1"/>
  <c r="R8" i="6"/>
  <c r="V8" i="6"/>
  <c r="Z8" i="6"/>
  <c r="AC8" i="6"/>
  <c r="AL7" i="6" s="1"/>
  <c r="M9" i="6"/>
  <c r="Q10" i="6"/>
  <c r="P10" i="6" s="1"/>
  <c r="U10" i="6"/>
  <c r="T10" i="6" s="1"/>
  <c r="Y10" i="6"/>
  <c r="M11" i="6"/>
  <c r="AK11" i="6"/>
  <c r="AL11" i="6"/>
  <c r="L12" i="6"/>
  <c r="M12" i="6"/>
  <c r="Q12" i="6" s="1"/>
  <c r="N12" i="6"/>
  <c r="T12" i="6"/>
  <c r="U12" i="6"/>
  <c r="V12" i="6"/>
  <c r="Y12" i="6"/>
  <c r="X12" i="6" s="1"/>
  <c r="Z12" i="6"/>
  <c r="M13" i="6"/>
  <c r="N13" i="6"/>
  <c r="U13" i="6"/>
  <c r="X13" i="6"/>
  <c r="Y13" i="6"/>
  <c r="Z13" i="6" s="1"/>
  <c r="M15" i="6"/>
  <c r="L15" i="6" s="1"/>
  <c r="U15" i="6"/>
  <c r="V15" i="6" s="1"/>
  <c r="Y15" i="6"/>
  <c r="L16" i="6"/>
  <c r="M16" i="6"/>
  <c r="N16" i="6"/>
  <c r="R16" i="6"/>
  <c r="V16" i="6"/>
  <c r="Z16" i="6"/>
  <c r="AB16" i="6"/>
  <c r="AC16" i="6" s="1"/>
  <c r="AD16" i="6" s="1"/>
  <c r="L17" i="6"/>
  <c r="M17" i="6"/>
  <c r="N17" i="6"/>
  <c r="R17" i="6"/>
  <c r="V17" i="6"/>
  <c r="Z17" i="6"/>
  <c r="AB17" i="6"/>
  <c r="AC17" i="6"/>
  <c r="AD17" i="6" s="1"/>
  <c r="L18" i="6"/>
  <c r="N18" i="6"/>
  <c r="M19" i="6"/>
  <c r="N19" i="6" s="1"/>
  <c r="Q19" i="6"/>
  <c r="T19" i="6"/>
  <c r="U19" i="6"/>
  <c r="V19" i="6"/>
  <c r="X19" i="6"/>
  <c r="Y19" i="6"/>
  <c r="Z19" i="6"/>
  <c r="L20" i="6"/>
  <c r="M20" i="6"/>
  <c r="N20" i="6"/>
  <c r="Q20" i="6"/>
  <c r="P20" i="6" s="1"/>
  <c r="U20" i="6"/>
  <c r="Y20" i="6"/>
  <c r="X20" i="6" s="1"/>
  <c r="M21" i="6"/>
  <c r="Q21" i="6"/>
  <c r="T21" i="6"/>
  <c r="U21" i="6"/>
  <c r="V21" i="6"/>
  <c r="X21" i="6"/>
  <c r="Y21" i="6"/>
  <c r="Z21" i="6"/>
  <c r="N22" i="6"/>
  <c r="L23" i="6"/>
  <c r="M23" i="6"/>
  <c r="N23" i="6"/>
  <c r="Q23" i="6" s="1"/>
  <c r="P23" i="6"/>
  <c r="R23" i="6"/>
  <c r="U23" i="6"/>
  <c r="M24" i="6"/>
  <c r="AK24" i="6"/>
  <c r="M25" i="6"/>
  <c r="L26" i="6"/>
  <c r="M26" i="6"/>
  <c r="N26" i="6" s="1"/>
  <c r="M28" i="6"/>
  <c r="L28" i="6" s="1"/>
  <c r="L29" i="6"/>
  <c r="M29" i="6"/>
  <c r="N29" i="6"/>
  <c r="M30" i="6"/>
  <c r="L30" i="6" s="1"/>
  <c r="N30" i="6"/>
  <c r="Q30" i="6" s="1"/>
  <c r="T30" i="6"/>
  <c r="U30" i="6"/>
  <c r="V30" i="6" s="1"/>
  <c r="X30" i="6"/>
  <c r="Y30" i="6"/>
  <c r="Z30" i="6" s="1"/>
  <c r="L31" i="6"/>
  <c r="N31" i="6"/>
  <c r="Q31" i="6"/>
  <c r="R31" i="6" s="1"/>
  <c r="U31" i="6"/>
  <c r="V31" i="6" s="1"/>
  <c r="X31" i="6"/>
  <c r="Y31" i="6"/>
  <c r="Z31" i="6"/>
  <c r="L32" i="6"/>
  <c r="N32" i="6"/>
  <c r="Q32" i="6"/>
  <c r="U32" i="6"/>
  <c r="X32" i="6"/>
  <c r="Y32" i="6"/>
  <c r="Z32" i="6" s="1"/>
  <c r="L33" i="6"/>
  <c r="N33" i="6"/>
  <c r="U33" i="6" s="1"/>
  <c r="Q33" i="6"/>
  <c r="Y33" i="6"/>
  <c r="X33" i="6" s="1"/>
  <c r="Z33" i="6"/>
  <c r="M34" i="6"/>
  <c r="Q34" i="6"/>
  <c r="U34" i="6"/>
  <c r="X34" i="6"/>
  <c r="Y34" i="6"/>
  <c r="Z34" i="6"/>
  <c r="L35" i="6"/>
  <c r="M35" i="6"/>
  <c r="N35" i="6"/>
  <c r="P35" i="6"/>
  <c r="Q35" i="6"/>
  <c r="R35" i="6"/>
  <c r="U35" i="6"/>
  <c r="T35" i="6" s="1"/>
  <c r="Y35" i="6"/>
  <c r="X35" i="6" s="1"/>
  <c r="Z35" i="6"/>
  <c r="AB35" i="6"/>
  <c r="P37" i="6"/>
  <c r="Q37" i="6"/>
  <c r="R37" i="6" s="1"/>
  <c r="U37" i="6"/>
  <c r="V37" i="6" s="1"/>
  <c r="X37" i="6"/>
  <c r="Y37" i="6"/>
  <c r="Z37" i="6"/>
  <c r="Q38" i="6"/>
  <c r="T38" i="6"/>
  <c r="U38" i="6"/>
  <c r="V38" i="6" s="1"/>
  <c r="X38" i="6"/>
  <c r="Y38" i="6"/>
  <c r="Z38" i="6" s="1"/>
  <c r="M40" i="6"/>
  <c r="T40" i="6"/>
  <c r="U40" i="6"/>
  <c r="V40" i="6"/>
  <c r="AK40" i="6"/>
  <c r="AL40" i="6"/>
  <c r="L41" i="6"/>
  <c r="M41" i="6"/>
  <c r="N41" i="6" s="1"/>
  <c r="U41" i="6"/>
  <c r="AJ42" i="6"/>
  <c r="M43" i="6"/>
  <c r="P43" i="6"/>
  <c r="AB43" i="6" s="1"/>
  <c r="Q43" i="6"/>
  <c r="R43" i="6" s="1"/>
  <c r="T43" i="6"/>
  <c r="U43" i="6"/>
  <c r="V43" i="6" s="1"/>
  <c r="X43" i="6"/>
  <c r="Y43" i="6"/>
  <c r="Z43" i="6"/>
  <c r="M44" i="6"/>
  <c r="P44" i="6"/>
  <c r="Q44" i="6"/>
  <c r="R44" i="6" s="1"/>
  <c r="U44" i="6"/>
  <c r="T44" i="6" s="1"/>
  <c r="V44" i="6"/>
  <c r="Y44" i="6"/>
  <c r="X44" i="6" s="1"/>
  <c r="AB44" i="6" s="1"/>
  <c r="AC44" i="6" s="1"/>
  <c r="AD44" i="6" s="1"/>
  <c r="Z44" i="6"/>
  <c r="L45" i="6"/>
  <c r="M45" i="6"/>
  <c r="N45" i="6" s="1"/>
  <c r="P45" i="6"/>
  <c r="Q45" i="6"/>
  <c r="R45" i="6" s="1"/>
  <c r="U45" i="6"/>
  <c r="T45" i="6" s="1"/>
  <c r="X45" i="6"/>
  <c r="Y45" i="6"/>
  <c r="Z45" i="6"/>
  <c r="L47" i="6"/>
  <c r="N47" i="6"/>
  <c r="Q47" i="6"/>
  <c r="P47" i="6" s="1"/>
  <c r="R47" i="6"/>
  <c r="T47" i="6"/>
  <c r="U47" i="6"/>
  <c r="V47" i="6" s="1"/>
  <c r="X47" i="6"/>
  <c r="AB47" i="6" s="1"/>
  <c r="AC47" i="6" s="1"/>
  <c r="AD47" i="6" s="1"/>
  <c r="Y47" i="6"/>
  <c r="Z47" i="6" s="1"/>
  <c r="M48" i="6"/>
  <c r="N48" i="6"/>
  <c r="L49" i="6"/>
  <c r="L50" i="6"/>
  <c r="M50" i="6"/>
  <c r="N50" i="6" s="1"/>
  <c r="P50" i="6"/>
  <c r="Q50" i="6"/>
  <c r="R50" i="6"/>
  <c r="T50" i="6"/>
  <c r="U50" i="6"/>
  <c r="V50" i="6" s="1"/>
  <c r="X50" i="6"/>
  <c r="Y50" i="6"/>
  <c r="Z50" i="6"/>
  <c r="L51" i="6"/>
  <c r="M51" i="6"/>
  <c r="N51" i="6"/>
  <c r="Q51" i="6"/>
  <c r="P51" i="6" s="1"/>
  <c r="R51" i="6"/>
  <c r="U51" i="6"/>
  <c r="X51" i="6"/>
  <c r="Y51" i="6"/>
  <c r="Z51" i="6"/>
  <c r="L52" i="6"/>
  <c r="M52" i="6"/>
  <c r="N52" i="6" s="1"/>
  <c r="Q52" i="6"/>
  <c r="P52" i="6" s="1"/>
  <c r="R52" i="6"/>
  <c r="T52" i="6"/>
  <c r="U52" i="6"/>
  <c r="V52" i="6" s="1"/>
  <c r="X52" i="6"/>
  <c r="AB52" i="6" s="1"/>
  <c r="Y52" i="6"/>
  <c r="Z52" i="6"/>
  <c r="L54" i="6"/>
  <c r="M54" i="6"/>
  <c r="N54" i="6" s="1"/>
  <c r="Y54" i="6" s="1"/>
  <c r="Q54" i="6"/>
  <c r="U54" i="6"/>
  <c r="V54" i="6" s="1"/>
  <c r="X54" i="6"/>
  <c r="Z54" i="6"/>
  <c r="M55" i="6"/>
  <c r="L56" i="6"/>
  <c r="M56" i="6"/>
  <c r="N56" i="6" s="1"/>
  <c r="Q56" i="6"/>
  <c r="T56" i="6"/>
  <c r="V56" i="6"/>
  <c r="X56" i="6"/>
  <c r="Y56" i="6"/>
  <c r="Z56" i="6" s="1"/>
  <c r="L58" i="6"/>
  <c r="M58" i="6"/>
  <c r="N58" i="6" s="1"/>
  <c r="P58" i="6"/>
  <c r="Q58" i="6"/>
  <c r="R58" i="6" s="1"/>
  <c r="U58" i="6"/>
  <c r="X58" i="6"/>
  <c r="Y58" i="6"/>
  <c r="Z58" i="6" s="1"/>
  <c r="L59" i="6"/>
  <c r="M59" i="6"/>
  <c r="N59" i="6" s="1"/>
  <c r="Y59" i="6" s="1"/>
  <c r="Q59" i="6"/>
  <c r="P59" i="6" s="1"/>
  <c r="R59" i="6"/>
  <c r="T59" i="6"/>
  <c r="U59" i="6"/>
  <c r="V59" i="6" s="1"/>
  <c r="L60" i="6"/>
  <c r="M60" i="6"/>
  <c r="N60" i="6" s="1"/>
  <c r="Y60" i="6" s="1"/>
  <c r="U60" i="6"/>
  <c r="AJ60" i="6"/>
  <c r="AK60" i="6"/>
  <c r="AJ61" i="6"/>
  <c r="AL61" i="6"/>
  <c r="AN61" i="6"/>
  <c r="L62" i="6"/>
  <c r="M62" i="6"/>
  <c r="N62" i="6" s="1"/>
  <c r="Y62" i="6" s="1"/>
  <c r="Q62" i="6"/>
  <c r="P62" i="6" s="1"/>
  <c r="U62" i="6"/>
  <c r="AJ62" i="6"/>
  <c r="AL62" i="6" s="1"/>
  <c r="AN62" i="6"/>
  <c r="L63" i="6"/>
  <c r="M63" i="6"/>
  <c r="N63" i="6"/>
  <c r="P63" i="6"/>
  <c r="Q63" i="6"/>
  <c r="R63" i="6" s="1"/>
  <c r="AJ63" i="6"/>
  <c r="AK63" i="6"/>
  <c r="M64" i="6"/>
  <c r="L64" i="6" s="1"/>
  <c r="N64" i="6"/>
  <c r="U64" i="6"/>
  <c r="V64" i="6" s="1"/>
  <c r="AJ64" i="6"/>
  <c r="AK64" i="6"/>
  <c r="N65" i="6"/>
  <c r="L66" i="6"/>
  <c r="M66" i="6"/>
  <c r="N66" i="6" s="1"/>
  <c r="Q66" i="6"/>
  <c r="U66" i="6"/>
  <c r="V66" i="6" s="1"/>
  <c r="X66" i="6"/>
  <c r="Y66" i="6"/>
  <c r="Z66" i="6"/>
  <c r="AJ66" i="6"/>
  <c r="L67" i="6"/>
  <c r="M67" i="6"/>
  <c r="N67" i="6"/>
  <c r="P67" i="6"/>
  <c r="Q67" i="6"/>
  <c r="R67" i="6"/>
  <c r="T67" i="6"/>
  <c r="AB67" i="6" s="1"/>
  <c r="U67" i="6"/>
  <c r="V67" i="6" s="1"/>
  <c r="Y67" i="6"/>
  <c r="X67" i="6" s="1"/>
  <c r="AC67" i="6"/>
  <c r="AD67" i="6" s="1"/>
  <c r="L68" i="6"/>
  <c r="M68" i="6"/>
  <c r="N68" i="6"/>
  <c r="Q68" i="6"/>
  <c r="P68" i="6" s="1"/>
  <c r="R68" i="6"/>
  <c r="U68" i="6"/>
  <c r="Y68" i="6"/>
  <c r="M69" i="6"/>
  <c r="L69" i="6" s="1"/>
  <c r="N69" i="6"/>
  <c r="AL69" i="6"/>
  <c r="M70" i="6"/>
  <c r="Q70" i="6"/>
  <c r="R70" i="6" s="1"/>
  <c r="U70" i="6"/>
  <c r="T70" i="6" s="1"/>
  <c r="Y70" i="6"/>
  <c r="X70" i="6" s="1"/>
  <c r="Z70" i="6"/>
  <c r="AL70" i="6"/>
  <c r="L71" i="6"/>
  <c r="M71" i="6"/>
  <c r="N71" i="6"/>
  <c r="P71" i="6"/>
  <c r="Q71" i="6"/>
  <c r="R71" i="6"/>
  <c r="T71" i="6"/>
  <c r="U71" i="6"/>
  <c r="V71" i="6" s="1"/>
  <c r="Y71" i="6"/>
  <c r="Z71" i="6" s="1"/>
  <c r="AJ71" i="6"/>
  <c r="L72" i="6"/>
  <c r="M72" i="6"/>
  <c r="N72" i="6" s="1"/>
  <c r="Y72" i="6" s="1"/>
  <c r="Z72" i="6" s="1"/>
  <c r="X72" i="6"/>
  <c r="L73" i="6"/>
  <c r="M73" i="6"/>
  <c r="N73" i="6" s="1"/>
  <c r="P73" i="6"/>
  <c r="Q73" i="6"/>
  <c r="R73" i="6" s="1"/>
  <c r="U73" i="6"/>
  <c r="T73" i="6" s="1"/>
  <c r="AB73" i="6" s="1"/>
  <c r="V73" i="6"/>
  <c r="X73" i="6"/>
  <c r="Y73" i="6"/>
  <c r="Z73" i="6"/>
  <c r="L74" i="6"/>
  <c r="N74" i="6"/>
  <c r="P74" i="6"/>
  <c r="Q74" i="6"/>
  <c r="R74" i="6" s="1"/>
  <c r="U74" i="6"/>
  <c r="T74" i="6" s="1"/>
  <c r="V74" i="6"/>
  <c r="X74" i="6"/>
  <c r="Y74" i="6"/>
  <c r="Z74" i="6"/>
  <c r="L75" i="6"/>
  <c r="N75" i="6"/>
  <c r="Q75" i="6"/>
  <c r="P75" i="6" s="1"/>
  <c r="T75" i="6"/>
  <c r="U75" i="6"/>
  <c r="V75" i="6" s="1"/>
  <c r="X75" i="6"/>
  <c r="Y75" i="6"/>
  <c r="Z75" i="6" s="1"/>
  <c r="L76" i="6"/>
  <c r="N76" i="6"/>
  <c r="Q76" i="6"/>
  <c r="R76" i="6" s="1"/>
  <c r="T76" i="6"/>
  <c r="U76" i="6"/>
  <c r="V76" i="6"/>
  <c r="Y76" i="6"/>
  <c r="M77" i="6"/>
  <c r="P77" i="6"/>
  <c r="Q77" i="6"/>
  <c r="R77" i="6" s="1"/>
  <c r="T77" i="6"/>
  <c r="U77" i="6"/>
  <c r="V77" i="6"/>
  <c r="X77" i="6"/>
  <c r="AB77" i="6" s="1"/>
  <c r="Y77" i="6"/>
  <c r="Z77" i="6"/>
  <c r="M78" i="6"/>
  <c r="P78" i="6"/>
  <c r="R78" i="6"/>
  <c r="L79" i="6"/>
  <c r="M79" i="6"/>
  <c r="N79" i="6"/>
  <c r="P79" i="6"/>
  <c r="R79" i="6"/>
  <c r="T79" i="6"/>
  <c r="V79" i="6"/>
  <c r="X79" i="6"/>
  <c r="Z79" i="6"/>
  <c r="N80" i="6"/>
  <c r="L81" i="6"/>
  <c r="M81" i="6"/>
  <c r="U81" i="6" s="1"/>
  <c r="T81" i="6" s="1"/>
  <c r="V81" i="6"/>
  <c r="X81" i="6"/>
  <c r="Y81" i="6"/>
  <c r="Z81" i="6" s="1"/>
  <c r="M82" i="6"/>
  <c r="L82" i="6" s="1"/>
  <c r="N82" i="6"/>
  <c r="Y82" i="6"/>
  <c r="X82" i="6" s="1"/>
  <c r="Z82" i="6"/>
  <c r="AJ82" i="6"/>
  <c r="M83" i="6"/>
  <c r="AJ83" i="6"/>
  <c r="M84" i="6"/>
  <c r="N84" i="6"/>
  <c r="U84" i="6"/>
  <c r="X84" i="6"/>
  <c r="Y84" i="6"/>
  <c r="Z84" i="6" s="1"/>
  <c r="AJ84" i="6"/>
  <c r="AJ85" i="6" s="1"/>
  <c r="AJ86" i="6" s="1"/>
  <c r="L85" i="6"/>
  <c r="M85" i="6"/>
  <c r="L86" i="6"/>
  <c r="M86" i="6"/>
  <c r="N86" i="6" s="1"/>
  <c r="U86" i="6"/>
  <c r="T86" i="6" s="1"/>
  <c r="V86" i="6"/>
  <c r="L87" i="6"/>
  <c r="M87" i="6"/>
  <c r="N87" i="6" s="1"/>
  <c r="Q87" i="6"/>
  <c r="U87" i="6"/>
  <c r="V87" i="6" s="1"/>
  <c r="X87" i="6"/>
  <c r="Y87" i="6"/>
  <c r="Z87" i="6"/>
  <c r="L91" i="6"/>
  <c r="M91" i="6" s="1"/>
  <c r="Q91" i="6"/>
  <c r="U91" i="6"/>
  <c r="V91" i="6" s="1"/>
  <c r="M95" i="6"/>
  <c r="Y95" i="6"/>
  <c r="L96" i="6"/>
  <c r="M96" i="6" s="1"/>
  <c r="Q96" i="6"/>
  <c r="T96" i="6"/>
  <c r="U96" i="6"/>
  <c r="V96" i="6" s="1"/>
  <c r="M99" i="6"/>
  <c r="Q99" i="6"/>
  <c r="P99" i="6" s="1"/>
  <c r="R99" i="6"/>
  <c r="L100" i="6"/>
  <c r="M100" i="6" s="1"/>
  <c r="Q100" i="6"/>
  <c r="U100" i="6"/>
  <c r="V100" i="6" s="1"/>
  <c r="L101" i="6"/>
  <c r="L102" i="6"/>
  <c r="M102" i="6"/>
  <c r="P102" i="6"/>
  <c r="Q102" i="6"/>
  <c r="R102" i="6" s="1"/>
  <c r="U102" i="6"/>
  <c r="T102" i="6" s="1"/>
  <c r="V102" i="6"/>
  <c r="Y102" i="6"/>
  <c r="X102" i="6" s="1"/>
  <c r="Z102" i="6"/>
  <c r="U104" i="6"/>
  <c r="Y104" i="6"/>
  <c r="U105" i="6"/>
  <c r="Y105" i="6"/>
  <c r="L106" i="6"/>
  <c r="M106" i="6"/>
  <c r="M109" i="6" s="1"/>
  <c r="Q106" i="6"/>
  <c r="U106" i="6"/>
  <c r="T106" i="6" s="1"/>
  <c r="V106" i="6"/>
  <c r="Y106" i="6"/>
  <c r="X106" i="6" s="1"/>
  <c r="L107" i="6"/>
  <c r="M107" i="6"/>
  <c r="Q107" i="6"/>
  <c r="P107" i="6" s="1"/>
  <c r="T107" i="6"/>
  <c r="U107" i="6"/>
  <c r="V107" i="6" s="1"/>
  <c r="Y107" i="6"/>
  <c r="L108" i="6"/>
  <c r="M108" i="6" s="1"/>
  <c r="Q108" i="6"/>
  <c r="U108" i="6"/>
  <c r="T108" i="6" s="1"/>
  <c r="L109" i="6"/>
  <c r="Q116" i="6"/>
  <c r="U116" i="6"/>
  <c r="T116" i="6" s="1"/>
  <c r="X116" i="6"/>
  <c r="Y116" i="6"/>
  <c r="Z116" i="6"/>
  <c r="L117" i="6"/>
  <c r="Y117" i="6" s="1"/>
  <c r="L118" i="6"/>
  <c r="Y118" i="6" s="1"/>
  <c r="Q118" i="6"/>
  <c r="P118" i="6" s="1"/>
  <c r="L119" i="6"/>
  <c r="Q119" i="6" s="1"/>
  <c r="P119" i="6" s="1"/>
  <c r="L134" i="6"/>
  <c r="L135" i="6" s="1"/>
  <c r="P134" i="6"/>
  <c r="T134" i="6"/>
  <c r="X134" i="6"/>
  <c r="P135" i="6"/>
  <c r="P136" i="6" s="1"/>
  <c r="T135" i="6"/>
  <c r="T136" i="6" s="1"/>
  <c r="X135" i="6"/>
  <c r="X136" i="6" s="1"/>
  <c r="N136" i="6"/>
  <c r="N138" i="6"/>
  <c r="N139" i="6"/>
  <c r="N142" i="6"/>
  <c r="L143" i="6"/>
  <c r="L146" i="6"/>
  <c r="L95" i="6" s="1"/>
  <c r="U95" i="6" s="1"/>
  <c r="L147" i="6"/>
  <c r="L93" i="6" s="1"/>
  <c r="L148" i="6"/>
  <c r="M150" i="6"/>
  <c r="L152" i="6"/>
  <c r="L157" i="6"/>
  <c r="L98" i="6" s="1"/>
  <c r="L160" i="6"/>
  <c r="L99" i="6" s="1"/>
  <c r="U99" i="6" s="1"/>
  <c r="X118" i="6" l="1"/>
  <c r="Z118" i="6"/>
  <c r="Z117" i="6"/>
  <c r="X117" i="6"/>
  <c r="AC77" i="6"/>
  <c r="AD77" i="6" s="1"/>
  <c r="L136" i="6"/>
  <c r="L137" i="6" s="1"/>
  <c r="M135" i="6"/>
  <c r="N135" i="6" s="1"/>
  <c r="N137" i="6" s="1"/>
  <c r="N140" i="6" s="1"/>
  <c r="T109" i="6"/>
  <c r="AJ20" i="6"/>
  <c r="AC43" i="6"/>
  <c r="AD43" i="6" s="1"/>
  <c r="M93" i="6"/>
  <c r="Y93" i="6"/>
  <c r="Q93" i="6"/>
  <c r="U93" i="6"/>
  <c r="Q98" i="6"/>
  <c r="U98" i="6"/>
  <c r="T23" i="6"/>
  <c r="V23" i="6"/>
  <c r="AD8" i="6"/>
  <c r="Y41" i="6"/>
  <c r="Y40" i="6"/>
  <c r="P96" i="6"/>
  <c r="R96" i="6"/>
  <c r="X76" i="6"/>
  <c r="AB76" i="6" s="1"/>
  <c r="AC76" i="6" s="1"/>
  <c r="AD76" i="6" s="1"/>
  <c r="Z76" i="6"/>
  <c r="U118" i="6"/>
  <c r="X95" i="6"/>
  <c r="Z95" i="6"/>
  <c r="Q83" i="6"/>
  <c r="U83" i="6"/>
  <c r="L83" i="6"/>
  <c r="U69" i="6"/>
  <c r="Q69" i="6"/>
  <c r="L44" i="6"/>
  <c r="N44" i="6"/>
  <c r="AC35" i="6"/>
  <c r="AD35" i="6" s="1"/>
  <c r="T95" i="6"/>
  <c r="V95" i="6"/>
  <c r="U119" i="6"/>
  <c r="U117" i="6"/>
  <c r="M101" i="6"/>
  <c r="Y101" i="6"/>
  <c r="Q101" i="6"/>
  <c r="U101" i="6"/>
  <c r="T91" i="6"/>
  <c r="T87" i="6"/>
  <c r="Q84" i="6"/>
  <c r="L84" i="6"/>
  <c r="L77" i="6"/>
  <c r="N77" i="6"/>
  <c r="P76" i="6"/>
  <c r="P70" i="6"/>
  <c r="T60" i="6"/>
  <c r="V60" i="6"/>
  <c r="P56" i="6"/>
  <c r="AB56" i="6" s="1"/>
  <c r="R56" i="6"/>
  <c r="N43" i="6"/>
  <c r="L43" i="6"/>
  <c r="T32" i="6"/>
  <c r="AB32" i="6" s="1"/>
  <c r="AC32" i="6" s="1"/>
  <c r="AD32" i="6" s="1"/>
  <c r="V32" i="6"/>
  <c r="T99" i="6"/>
  <c r="V99" i="6"/>
  <c r="R119" i="6"/>
  <c r="R118" i="6"/>
  <c r="Q117" i="6"/>
  <c r="Q120" i="6" s="1"/>
  <c r="V116" i="6"/>
  <c r="V108" i="6"/>
  <c r="V109" i="6" s="1"/>
  <c r="X107" i="6"/>
  <c r="AB107" i="6" s="1"/>
  <c r="AC107" i="6" s="1"/>
  <c r="AD107" i="6" s="1"/>
  <c r="Z107" i="6"/>
  <c r="Z106" i="6"/>
  <c r="Y99" i="6"/>
  <c r="M98" i="6"/>
  <c r="Q95" i="6"/>
  <c r="P91" i="6"/>
  <c r="R91" i="6"/>
  <c r="P87" i="6"/>
  <c r="R87" i="6"/>
  <c r="N85" i="6"/>
  <c r="Y85" i="6"/>
  <c r="Q85" i="6"/>
  <c r="U85" i="6"/>
  <c r="AB79" i="6"/>
  <c r="AC79" i="6" s="1"/>
  <c r="AD79" i="6" s="1"/>
  <c r="R75" i="6"/>
  <c r="AB74" i="6"/>
  <c r="AC74" i="6" s="1"/>
  <c r="AD74" i="6" s="1"/>
  <c r="L70" i="6"/>
  <c r="N70" i="6"/>
  <c r="U48" i="6"/>
  <c r="Q48" i="6"/>
  <c r="Y48" i="6"/>
  <c r="L48" i="6"/>
  <c r="V45" i="6"/>
  <c r="AL42" i="6"/>
  <c r="AJ50" i="6"/>
  <c r="AK42" i="6"/>
  <c r="R21" i="6"/>
  <c r="P21" i="6"/>
  <c r="AB21" i="6" s="1"/>
  <c r="L120" i="6"/>
  <c r="AJ36" i="6"/>
  <c r="AC73" i="6"/>
  <c r="AD73" i="6" s="1"/>
  <c r="P116" i="6"/>
  <c r="R116" i="6"/>
  <c r="P108" i="6"/>
  <c r="R108" i="6"/>
  <c r="R107" i="6"/>
  <c r="T100" i="6"/>
  <c r="Y83" i="6"/>
  <c r="P66" i="6"/>
  <c r="R66" i="6"/>
  <c r="T64" i="6"/>
  <c r="T62" i="6"/>
  <c r="V62" i="6"/>
  <c r="T54" i="6"/>
  <c r="T41" i="6"/>
  <c r="V41" i="6"/>
  <c r="T37" i="6"/>
  <c r="AB37" i="6" s="1"/>
  <c r="X68" i="6"/>
  <c r="AB68" i="6" s="1"/>
  <c r="Z68" i="6"/>
  <c r="P33" i="6"/>
  <c r="R33" i="6"/>
  <c r="U82" i="6"/>
  <c r="Q82" i="6"/>
  <c r="AB70" i="6"/>
  <c r="Y69" i="6"/>
  <c r="Q64" i="6"/>
  <c r="Y64" i="6"/>
  <c r="U63" i="6"/>
  <c r="Y63" i="6"/>
  <c r="T58" i="6"/>
  <c r="AB58" i="6" s="1"/>
  <c r="AC58" i="6" s="1"/>
  <c r="AD58" i="6" s="1"/>
  <c r="V58" i="6"/>
  <c r="P54" i="6"/>
  <c r="R54" i="6"/>
  <c r="AJ23" i="6"/>
  <c r="AC52" i="6"/>
  <c r="AD52" i="6" s="1"/>
  <c r="R38" i="6"/>
  <c r="P38" i="6"/>
  <c r="AB38" i="6" s="1"/>
  <c r="AC38" i="6" s="1"/>
  <c r="AD38" i="6" s="1"/>
  <c r="V34" i="6"/>
  <c r="T34" i="6"/>
  <c r="AB34" i="6" s="1"/>
  <c r="U120" i="6"/>
  <c r="V68" i="6"/>
  <c r="T68" i="6"/>
  <c r="T66" i="6"/>
  <c r="Y119" i="6"/>
  <c r="R106" i="6"/>
  <c r="R109" i="6" s="1"/>
  <c r="Q109" i="6"/>
  <c r="AB102" i="6"/>
  <c r="AC102" i="6" s="1"/>
  <c r="AD102" i="6" s="1"/>
  <c r="P100" i="6"/>
  <c r="R100" i="6"/>
  <c r="L149" i="6"/>
  <c r="L150" i="6" s="1"/>
  <c r="L94" i="6"/>
  <c r="P106" i="6"/>
  <c r="P109" i="6" s="1"/>
  <c r="Y98" i="6"/>
  <c r="T84" i="6"/>
  <c r="V84" i="6"/>
  <c r="N83" i="6"/>
  <c r="U78" i="6"/>
  <c r="L78" i="6"/>
  <c r="Y78" i="6"/>
  <c r="N78" i="6"/>
  <c r="AB75" i="6"/>
  <c r="AC75" i="6" s="1"/>
  <c r="AD75" i="6" s="1"/>
  <c r="L55" i="6"/>
  <c r="N55" i="6"/>
  <c r="L40" i="6"/>
  <c r="N40" i="6"/>
  <c r="R34" i="6"/>
  <c r="P34" i="6"/>
  <c r="R12" i="6"/>
  <c r="P12" i="6"/>
  <c r="AB12" i="6" s="1"/>
  <c r="N21" i="6"/>
  <c r="L21" i="6"/>
  <c r="L9" i="6"/>
  <c r="N9" i="6"/>
  <c r="U109" i="6"/>
  <c r="U72" i="6"/>
  <c r="X59" i="6"/>
  <c r="AB59" i="6" s="1"/>
  <c r="AC59" i="6" s="1"/>
  <c r="AD59" i="6" s="1"/>
  <c r="Z59" i="6"/>
  <c r="P32" i="6"/>
  <c r="R32" i="6"/>
  <c r="R19" i="6"/>
  <c r="P19" i="6"/>
  <c r="AB19" i="6" s="1"/>
  <c r="Z10" i="6"/>
  <c r="X10" i="6"/>
  <c r="AB10" i="6" s="1"/>
  <c r="AL24" i="6"/>
  <c r="AL31" i="6"/>
  <c r="AL33" i="6"/>
  <c r="AL27" i="6"/>
  <c r="Q86" i="6"/>
  <c r="Q81" i="6"/>
  <c r="V33" i="6"/>
  <c r="T33" i="6"/>
  <c r="AB33" i="6" s="1"/>
  <c r="AC33" i="6" s="1"/>
  <c r="AD33" i="6" s="1"/>
  <c r="Z15" i="6"/>
  <c r="X15" i="6"/>
  <c r="V13" i="6"/>
  <c r="T13" i="6"/>
  <c r="Y108" i="6"/>
  <c r="Y100" i="6"/>
  <c r="Y96" i="6"/>
  <c r="Y91" i="6"/>
  <c r="M88" i="6"/>
  <c r="N88" i="6" s="1"/>
  <c r="Q72" i="6"/>
  <c r="X71" i="6"/>
  <c r="AB71" i="6" s="1"/>
  <c r="Z67" i="6"/>
  <c r="R62" i="6"/>
  <c r="AL60" i="6"/>
  <c r="AM62" i="6" s="1"/>
  <c r="AJ69" i="6" s="1"/>
  <c r="AN60" i="6"/>
  <c r="AB50" i="6"/>
  <c r="N34" i="6"/>
  <c r="L34" i="6"/>
  <c r="P31" i="6"/>
  <c r="T20" i="6"/>
  <c r="AB20" i="6" s="1"/>
  <c r="AC20" i="6" s="1"/>
  <c r="AD20" i="6" s="1"/>
  <c r="V20" i="6"/>
  <c r="Q15" i="6"/>
  <c r="Q40" i="6"/>
  <c r="Q41" i="6"/>
  <c r="Y86" i="6"/>
  <c r="N81" i="6"/>
  <c r="V70" i="6"/>
  <c r="Q60" i="6"/>
  <c r="P30" i="6"/>
  <c r="AB30" i="6" s="1"/>
  <c r="AC30" i="6" s="1"/>
  <c r="AD30" i="6" s="1"/>
  <c r="R30" i="6"/>
  <c r="N28" i="6"/>
  <c r="L25" i="6"/>
  <c r="N25" i="6"/>
  <c r="N15" i="6"/>
  <c r="X62" i="6"/>
  <c r="AB62" i="6" s="1"/>
  <c r="Z62" i="6"/>
  <c r="X60" i="6"/>
  <c r="Z60" i="6"/>
  <c r="T51" i="6"/>
  <c r="AB51" i="6" s="1"/>
  <c r="V51" i="6"/>
  <c r="AB45" i="6"/>
  <c r="N11" i="6"/>
  <c r="L11" i="6"/>
  <c r="U29" i="6"/>
  <c r="Q29" i="6"/>
  <c r="R20" i="6"/>
  <c r="Q13" i="6"/>
  <c r="L13" i="6"/>
  <c r="R10" i="6"/>
  <c r="V35" i="6"/>
  <c r="Y29" i="6"/>
  <c r="Y23" i="6"/>
  <c r="AK31" i="6"/>
  <c r="AK27" i="6"/>
  <c r="AK33" i="6"/>
  <c r="T31" i="6"/>
  <c r="Y26" i="6"/>
  <c r="Q26" i="6"/>
  <c r="U26" i="6"/>
  <c r="L24" i="6"/>
  <c r="N24" i="6"/>
  <c r="L19" i="6"/>
  <c r="T15" i="6"/>
  <c r="Z20" i="6"/>
  <c r="V10" i="6"/>
  <c r="AC19" i="6" l="1"/>
  <c r="AD19" i="6" s="1"/>
  <c r="AJ14" i="6"/>
  <c r="AB13" i="6"/>
  <c r="AC13" i="6" s="1"/>
  <c r="AD13" i="6" s="1"/>
  <c r="AC12" i="6"/>
  <c r="AD12" i="6" s="1"/>
  <c r="X23" i="6"/>
  <c r="AB23" i="6" s="1"/>
  <c r="Z23" i="6"/>
  <c r="AJ19" i="6"/>
  <c r="AC62" i="6"/>
  <c r="AD62" i="6" s="1"/>
  <c r="P60" i="6"/>
  <c r="AB60" i="6" s="1"/>
  <c r="AC60" i="6" s="1"/>
  <c r="AD60" i="6" s="1"/>
  <c r="R60" i="6"/>
  <c r="X108" i="6"/>
  <c r="AB108" i="6" s="1"/>
  <c r="AC108" i="6" s="1"/>
  <c r="AD108" i="6" s="1"/>
  <c r="Z108" i="6"/>
  <c r="Q28" i="6"/>
  <c r="U28" i="6"/>
  <c r="Y28" i="6"/>
  <c r="R40" i="6"/>
  <c r="P40" i="6"/>
  <c r="AC50" i="6"/>
  <c r="AD50" i="6" s="1"/>
  <c r="AJ21" i="6"/>
  <c r="X91" i="6"/>
  <c r="AB91" i="6" s="1"/>
  <c r="AC91" i="6" s="1"/>
  <c r="AD91" i="6" s="1"/>
  <c r="Z91" i="6"/>
  <c r="AC70" i="6"/>
  <c r="AD70" i="6" s="1"/>
  <c r="AJ34" i="6"/>
  <c r="AC68" i="6"/>
  <c r="AD68" i="6" s="1"/>
  <c r="AJ37" i="6"/>
  <c r="R69" i="6"/>
  <c r="P69" i="6"/>
  <c r="Z93" i="6"/>
  <c r="X93" i="6"/>
  <c r="P13" i="6"/>
  <c r="R13" i="6"/>
  <c r="P15" i="6"/>
  <c r="AB15" i="6" s="1"/>
  <c r="R15" i="6"/>
  <c r="X96" i="6"/>
  <c r="AB96" i="6" s="1"/>
  <c r="AC96" i="6" s="1"/>
  <c r="AD96" i="6" s="1"/>
  <c r="Z96" i="6"/>
  <c r="AJ10" i="6"/>
  <c r="AC10" i="6"/>
  <c r="AD10" i="6" s="1"/>
  <c r="AC34" i="6"/>
  <c r="AD34" i="6" s="1"/>
  <c r="AJ18" i="6"/>
  <c r="AC37" i="6"/>
  <c r="AD37" i="6" s="1"/>
  <c r="AJ26" i="6"/>
  <c r="AC21" i="6"/>
  <c r="AD21" i="6" s="1"/>
  <c r="AJ25" i="6"/>
  <c r="X48" i="6"/>
  <c r="Z48" i="6"/>
  <c r="V101" i="6"/>
  <c r="T101" i="6"/>
  <c r="V69" i="6"/>
  <c r="T69" i="6"/>
  <c r="AB116" i="6"/>
  <c r="AB106" i="6"/>
  <c r="Y24" i="6"/>
  <c r="Q24" i="6"/>
  <c r="U24" i="6"/>
  <c r="Y11" i="6"/>
  <c r="Q11" i="6"/>
  <c r="U11" i="6"/>
  <c r="AJ75" i="6"/>
  <c r="AO75" i="6" s="1"/>
  <c r="AL75" i="6" s="1"/>
  <c r="AL76" i="6" s="1"/>
  <c r="AJ70" i="6"/>
  <c r="AJ72" i="6" s="1"/>
  <c r="X100" i="6"/>
  <c r="AB100" i="6" s="1"/>
  <c r="AC100" i="6" s="1"/>
  <c r="AD100" i="6" s="1"/>
  <c r="Z100" i="6"/>
  <c r="T72" i="6"/>
  <c r="AB72" i="6" s="1"/>
  <c r="AC72" i="6" s="1"/>
  <c r="AD72" i="6" s="1"/>
  <c r="V72" i="6"/>
  <c r="X98" i="6"/>
  <c r="Z98" i="6"/>
  <c r="P82" i="6"/>
  <c r="R82" i="6"/>
  <c r="R48" i="6"/>
  <c r="P48" i="6"/>
  <c r="Y109" i="6"/>
  <c r="P101" i="6"/>
  <c r="R101" i="6"/>
  <c r="X109" i="6"/>
  <c r="T82" i="6"/>
  <c r="AB82" i="6" s="1"/>
  <c r="AC82" i="6" s="1"/>
  <c r="AD82" i="6" s="1"/>
  <c r="V82" i="6"/>
  <c r="T98" i="6"/>
  <c r="V98" i="6"/>
  <c r="AK20" i="6"/>
  <c r="AL20" i="6"/>
  <c r="V26" i="6"/>
  <c r="T26" i="6"/>
  <c r="P86" i="6"/>
  <c r="R86" i="6"/>
  <c r="U9" i="6"/>
  <c r="Q9" i="6"/>
  <c r="Y9" i="6"/>
  <c r="AB54" i="6"/>
  <c r="P85" i="6"/>
  <c r="R85" i="6"/>
  <c r="P83" i="6"/>
  <c r="R83" i="6"/>
  <c r="AJ35" i="6"/>
  <c r="AC71" i="6"/>
  <c r="AD71" i="6" s="1"/>
  <c r="L88" i="6"/>
  <c r="D44" i="6" s="1"/>
  <c r="D40" i="6"/>
  <c r="T78" i="6"/>
  <c r="V78" i="6"/>
  <c r="Q94" i="6"/>
  <c r="U94" i="6"/>
  <c r="Y94" i="6"/>
  <c r="M94" i="6"/>
  <c r="AB66" i="6"/>
  <c r="X64" i="6"/>
  <c r="Z64" i="6"/>
  <c r="AK50" i="6"/>
  <c r="AL50" i="6" s="1"/>
  <c r="Z85" i="6"/>
  <c r="X85" i="6"/>
  <c r="X99" i="6"/>
  <c r="AB99" i="6" s="1"/>
  <c r="AC99" i="6" s="1"/>
  <c r="AD99" i="6" s="1"/>
  <c r="Z99" i="6"/>
  <c r="D84" i="6"/>
  <c r="X41" i="6"/>
  <c r="Z41" i="6"/>
  <c r="V93" i="6"/>
  <c r="T93" i="6"/>
  <c r="P81" i="6"/>
  <c r="AB81" i="6" s="1"/>
  <c r="R81" i="6"/>
  <c r="X78" i="6"/>
  <c r="AB78" i="6" s="1"/>
  <c r="Z78" i="6"/>
  <c r="P95" i="6"/>
  <c r="R95" i="6"/>
  <c r="L97" i="6"/>
  <c r="L151" i="6"/>
  <c r="M160" i="6" s="1"/>
  <c r="N160" i="6" s="1"/>
  <c r="N141" i="6"/>
  <c r="D78" i="6"/>
  <c r="AL36" i="6"/>
  <c r="AK36" i="6"/>
  <c r="R117" i="6"/>
  <c r="R120" i="6" s="1"/>
  <c r="P117" i="6"/>
  <c r="P120" i="6" s="1"/>
  <c r="R98" i="6"/>
  <c r="P98" i="6"/>
  <c r="P29" i="6"/>
  <c r="R29" i="6"/>
  <c r="X86" i="6"/>
  <c r="AB86" i="6" s="1"/>
  <c r="AC86" i="6" s="1"/>
  <c r="AD86" i="6" s="1"/>
  <c r="Z86" i="6"/>
  <c r="P72" i="6"/>
  <c r="R72" i="6"/>
  <c r="D21" i="6"/>
  <c r="U55" i="6"/>
  <c r="Q55" i="6"/>
  <c r="Y55" i="6"/>
  <c r="N150" i="6"/>
  <c r="AK23" i="6"/>
  <c r="AL23" i="6"/>
  <c r="R64" i="6"/>
  <c r="P64" i="6"/>
  <c r="Z109" i="6"/>
  <c r="AC56" i="6"/>
  <c r="AD56" i="6" s="1"/>
  <c r="P84" i="6"/>
  <c r="AB84" i="6" s="1"/>
  <c r="AC84" i="6" s="1"/>
  <c r="AD84" i="6" s="1"/>
  <c r="R84" i="6"/>
  <c r="T117" i="6"/>
  <c r="AB117" i="6" s="1"/>
  <c r="AC117" i="6" s="1"/>
  <c r="AD117" i="6" s="1"/>
  <c r="V117" i="6"/>
  <c r="V120" i="6" s="1"/>
  <c r="AB95" i="6"/>
  <c r="AC95" i="6" s="1"/>
  <c r="AD95" i="6" s="1"/>
  <c r="L103" i="6"/>
  <c r="L110" i="6" s="1"/>
  <c r="AB118" i="6"/>
  <c r="AC118" i="6" s="1"/>
  <c r="AD118" i="6" s="1"/>
  <c r="D24" i="6"/>
  <c r="X63" i="6"/>
  <c r="AB63" i="6" s="1"/>
  <c r="Z63" i="6"/>
  <c r="X83" i="6"/>
  <c r="Z83" i="6"/>
  <c r="T48" i="6"/>
  <c r="V48" i="6"/>
  <c r="T85" i="6"/>
  <c r="V85" i="6"/>
  <c r="D43" i="6"/>
  <c r="Z101" i="6"/>
  <c r="X101" i="6"/>
  <c r="T83" i="6"/>
  <c r="V83" i="6"/>
  <c r="Z120" i="6"/>
  <c r="X29" i="6"/>
  <c r="Z29" i="6"/>
  <c r="AC45" i="6"/>
  <c r="AD45" i="6" s="1"/>
  <c r="Z119" i="6"/>
  <c r="X119" i="6"/>
  <c r="T63" i="6"/>
  <c r="V63" i="6"/>
  <c r="D77" i="6"/>
  <c r="X40" i="6"/>
  <c r="Z40" i="6"/>
  <c r="Y120" i="6"/>
  <c r="P26" i="6"/>
  <c r="R26" i="6"/>
  <c r="X26" i="6"/>
  <c r="Z26" i="6"/>
  <c r="AJ22" i="6"/>
  <c r="AC51" i="6"/>
  <c r="AD51" i="6" s="1"/>
  <c r="Y25" i="6"/>
  <c r="Q25" i="6"/>
  <c r="U25" i="6"/>
  <c r="AB31" i="6"/>
  <c r="AC31" i="6" s="1"/>
  <c r="AD31" i="6" s="1"/>
  <c r="V29" i="6"/>
  <c r="T29" i="6"/>
  <c r="D25" i="6"/>
  <c r="R41" i="6"/>
  <c r="P41" i="6"/>
  <c r="X69" i="6"/>
  <c r="AB69" i="6" s="1"/>
  <c r="AC69" i="6" s="1"/>
  <c r="AD69" i="6" s="1"/>
  <c r="Z69" i="6"/>
  <c r="AB87" i="6"/>
  <c r="T119" i="6"/>
  <c r="V119" i="6"/>
  <c r="V118" i="6"/>
  <c r="T118" i="6"/>
  <c r="P93" i="6"/>
  <c r="R93" i="6"/>
  <c r="M103" i="6" l="1"/>
  <c r="M110" i="6" s="1"/>
  <c r="M111" i="6" s="1"/>
  <c r="AC15" i="6"/>
  <c r="AD15" i="6" s="1"/>
  <c r="AJ13" i="6"/>
  <c r="X55" i="6"/>
  <c r="Z55" i="6"/>
  <c r="Z11" i="6"/>
  <c r="X11" i="6"/>
  <c r="AL26" i="6"/>
  <c r="AK26" i="6"/>
  <c r="P55" i="6"/>
  <c r="R55" i="6"/>
  <c r="AB64" i="6"/>
  <c r="AC64" i="6" s="1"/>
  <c r="AD64" i="6" s="1"/>
  <c r="AJ45" i="6"/>
  <c r="AC87" i="6"/>
  <c r="AD87" i="6" s="1"/>
  <c r="AB85" i="6"/>
  <c r="AC85" i="6" s="1"/>
  <c r="AD85" i="6" s="1"/>
  <c r="D55" i="6"/>
  <c r="D34" i="6"/>
  <c r="AB119" i="6"/>
  <c r="AC119" i="6" s="1"/>
  <c r="AD119" i="6" s="1"/>
  <c r="X120" i="6"/>
  <c r="L112" i="6"/>
  <c r="L113" i="6" s="1"/>
  <c r="L122" i="6" s="1"/>
  <c r="L111" i="6"/>
  <c r="M163" i="6"/>
  <c r="N163" i="6" s="1"/>
  <c r="D70" i="6"/>
  <c r="T94" i="6"/>
  <c r="V94" i="6"/>
  <c r="AK35" i="6"/>
  <c r="AL35" i="6"/>
  <c r="T9" i="6"/>
  <c r="V9" i="6"/>
  <c r="U88" i="6"/>
  <c r="V88" i="6" s="1"/>
  <c r="D83" i="6"/>
  <c r="AC116" i="6"/>
  <c r="AB120" i="6"/>
  <c r="AK25" i="6"/>
  <c r="AL25" i="6"/>
  <c r="AK10" i="6"/>
  <c r="AL10" i="6"/>
  <c r="D48" i="6"/>
  <c r="D13" i="6"/>
  <c r="AC23" i="6"/>
  <c r="AD23" i="6" s="1"/>
  <c r="T25" i="6"/>
  <c r="V25" i="6"/>
  <c r="AB101" i="6"/>
  <c r="AC101" i="6" s="1"/>
  <c r="AD101" i="6" s="1"/>
  <c r="AB83" i="6"/>
  <c r="AC83" i="6" s="1"/>
  <c r="AD83" i="6" s="1"/>
  <c r="R94" i="6"/>
  <c r="P94" i="6"/>
  <c r="T11" i="6"/>
  <c r="V11" i="6"/>
  <c r="D19" i="6"/>
  <c r="AL21" i="6"/>
  <c r="AK21" i="6"/>
  <c r="P25" i="6"/>
  <c r="R25" i="6"/>
  <c r="AB41" i="6"/>
  <c r="AC41" i="6" s="1"/>
  <c r="AD41" i="6" s="1"/>
  <c r="AB98" i="6"/>
  <c r="AC98" i="6" s="1"/>
  <c r="AD98" i="6" s="1"/>
  <c r="P11" i="6"/>
  <c r="R11" i="6"/>
  <c r="AK37" i="6"/>
  <c r="AL37" i="6"/>
  <c r="AJ12" i="6"/>
  <c r="AC78" i="6"/>
  <c r="AD78" i="6" s="1"/>
  <c r="AJ38" i="6"/>
  <c r="AK22" i="6"/>
  <c r="AL22" i="6"/>
  <c r="T55" i="6"/>
  <c r="V55" i="6"/>
  <c r="AC81" i="6"/>
  <c r="AD81" i="6" s="1"/>
  <c r="AJ30" i="6"/>
  <c r="AC66" i="6"/>
  <c r="AD66" i="6" s="1"/>
  <c r="D51" i="6"/>
  <c r="D54" i="6"/>
  <c r="D17" i="6"/>
  <c r="D23" i="6"/>
  <c r="D35" i="6"/>
  <c r="D61" i="6"/>
  <c r="D41" i="6"/>
  <c r="D45" i="6"/>
  <c r="D47" i="6"/>
  <c r="D56" i="6"/>
  <c r="D66" i="6"/>
  <c r="D67" i="6"/>
  <c r="D71" i="6"/>
  <c r="D79" i="6"/>
  <c r="D50" i="6"/>
  <c r="D76" i="6"/>
  <c r="D72" i="6"/>
  <c r="D74" i="6"/>
  <c r="D30" i="6"/>
  <c r="D87" i="6"/>
  <c r="D28" i="6"/>
  <c r="D15" i="6"/>
  <c r="D68" i="6"/>
  <c r="D73" i="6"/>
  <c r="D58" i="6"/>
  <c r="D63" i="6"/>
  <c r="D59" i="6"/>
  <c r="D52" i="6"/>
  <c r="D26" i="6"/>
  <c r="D62" i="6"/>
  <c r="D86" i="6"/>
  <c r="D82" i="6"/>
  <c r="D60" i="6"/>
  <c r="D12" i="6"/>
  <c r="D29" i="6"/>
  <c r="D33" i="6"/>
  <c r="D32" i="6"/>
  <c r="D75" i="6"/>
  <c r="D85" i="6"/>
  <c r="D81" i="6"/>
  <c r="D69" i="6"/>
  <c r="D20" i="6"/>
  <c r="D64" i="6"/>
  <c r="D31" i="6"/>
  <c r="D16" i="6"/>
  <c r="AC54" i="6"/>
  <c r="AD54" i="6" s="1"/>
  <c r="R24" i="6"/>
  <c r="P24" i="6"/>
  <c r="AK18" i="6"/>
  <c r="AL18" i="6"/>
  <c r="Z28" i="6"/>
  <c r="X28" i="6"/>
  <c r="AJ32" i="6"/>
  <c r="AC63" i="6"/>
  <c r="AD63" i="6" s="1"/>
  <c r="AB40" i="6"/>
  <c r="AB93" i="6"/>
  <c r="AL34" i="6"/>
  <c r="AK34" i="6"/>
  <c r="Z9" i="6"/>
  <c r="Y88" i="6"/>
  <c r="Z88" i="6" s="1"/>
  <c r="X9" i="6"/>
  <c r="X24" i="6"/>
  <c r="Z24" i="6"/>
  <c r="D11" i="6"/>
  <c r="V28" i="6"/>
  <c r="T28" i="6"/>
  <c r="AL19" i="6"/>
  <c r="AK19" i="6"/>
  <c r="AK14" i="6"/>
  <c r="AL14" i="6"/>
  <c r="Z25" i="6"/>
  <c r="X25" i="6"/>
  <c r="AB25" i="6" s="1"/>
  <c r="AC25" i="6" s="1"/>
  <c r="AD25" i="6" s="1"/>
  <c r="T120" i="6"/>
  <c r="V24" i="6"/>
  <c r="T24" i="6"/>
  <c r="AB29" i="6"/>
  <c r="AC29" i="6" s="1"/>
  <c r="AD29" i="6" s="1"/>
  <c r="D9" i="6"/>
  <c r="AB26" i="6"/>
  <c r="AJ29" i="6"/>
  <c r="M97" i="6"/>
  <c r="Y97" i="6"/>
  <c r="Q97" i="6"/>
  <c r="U97" i="6"/>
  <c r="X94" i="6"/>
  <c r="Z94" i="6"/>
  <c r="P9" i="6"/>
  <c r="R9" i="6"/>
  <c r="Q88" i="6"/>
  <c r="R88" i="6" s="1"/>
  <c r="AC106" i="6"/>
  <c r="AB109" i="6"/>
  <c r="AB48" i="6"/>
  <c r="P28" i="6"/>
  <c r="R28" i="6"/>
  <c r="Z103" i="6" l="1"/>
  <c r="Z110" i="6" s="1"/>
  <c r="X103" i="6"/>
  <c r="X110" i="6" s="1"/>
  <c r="AC48" i="6"/>
  <c r="AD48" i="6" s="1"/>
  <c r="AJ44" i="6"/>
  <c r="AJ17" i="6"/>
  <c r="AC26" i="6"/>
  <c r="AD26" i="6" s="1"/>
  <c r="AL32" i="6"/>
  <c r="AK32" i="6"/>
  <c r="D88" i="6"/>
  <c r="T97" i="6"/>
  <c r="T103" i="6" s="1"/>
  <c r="T110" i="6" s="1"/>
  <c r="V97" i="6"/>
  <c r="V103" i="6" s="1"/>
  <c r="V110" i="6" s="1"/>
  <c r="U103" i="6"/>
  <c r="U110" i="6" s="1"/>
  <c r="AJ39" i="6"/>
  <c r="Z97" i="6"/>
  <c r="X97" i="6"/>
  <c r="Y103" i="6"/>
  <c r="Y110" i="6" s="1"/>
  <c r="AB24" i="6"/>
  <c r="AB9" i="6"/>
  <c r="X88" i="6"/>
  <c r="AC93" i="6"/>
  <c r="AB55" i="6"/>
  <c r="P88" i="6"/>
  <c r="AK29" i="6"/>
  <c r="AL29" i="6"/>
  <c r="AC40" i="6"/>
  <c r="AD40" i="6" s="1"/>
  <c r="AJ16" i="6"/>
  <c r="AD116" i="6"/>
  <c r="AD120" i="6" s="1"/>
  <c r="AC120" i="6"/>
  <c r="AB28" i="6"/>
  <c r="AC28" i="6" s="1"/>
  <c r="AD28" i="6" s="1"/>
  <c r="AK30" i="6"/>
  <c r="AL30" i="6"/>
  <c r="AK38" i="6"/>
  <c r="AL38" i="6"/>
  <c r="AB94" i="6"/>
  <c r="AC94" i="6" s="1"/>
  <c r="AD94" i="6" s="1"/>
  <c r="AK13" i="6"/>
  <c r="AL13" i="6"/>
  <c r="T88" i="6"/>
  <c r="AB11" i="6"/>
  <c r="AD106" i="6"/>
  <c r="AD109" i="6" s="1"/>
  <c r="AC109" i="6"/>
  <c r="P97" i="6"/>
  <c r="P103" i="6" s="1"/>
  <c r="P110" i="6" s="1"/>
  <c r="R97" i="6"/>
  <c r="R103" i="6" s="1"/>
  <c r="R110" i="6" s="1"/>
  <c r="Q103" i="6"/>
  <c r="Q110" i="6" s="1"/>
  <c r="AK12" i="6"/>
  <c r="AL12" i="6"/>
  <c r="AL45" i="6"/>
  <c r="AK45" i="6"/>
  <c r="T112" i="6" l="1"/>
  <c r="T111" i="6"/>
  <c r="R111" i="6"/>
  <c r="R112" i="6"/>
  <c r="R113" i="6" s="1"/>
  <c r="R122" i="6" s="1"/>
  <c r="R124" i="6" s="1"/>
  <c r="AJ9" i="6"/>
  <c r="AC9" i="6"/>
  <c r="AB88" i="6"/>
  <c r="AK44" i="6"/>
  <c r="AL44" i="6"/>
  <c r="AC24" i="6"/>
  <c r="AD24" i="6" s="1"/>
  <c r="AJ15" i="6"/>
  <c r="AC55" i="6"/>
  <c r="AD55" i="6" s="1"/>
  <c r="AJ28" i="6"/>
  <c r="Y112" i="6"/>
  <c r="Y111" i="6"/>
  <c r="X111" i="6"/>
  <c r="X112" i="6"/>
  <c r="AC11" i="6"/>
  <c r="AD11" i="6" s="1"/>
  <c r="AJ43" i="6"/>
  <c r="AL16" i="6"/>
  <c r="AK16" i="6"/>
  <c r="AB97" i="6"/>
  <c r="AC97" i="6" s="1"/>
  <c r="AD97" i="6" s="1"/>
  <c r="Z112" i="6"/>
  <c r="Z111" i="6"/>
  <c r="AD93" i="6"/>
  <c r="AK39" i="6"/>
  <c r="AL39" i="6"/>
  <c r="Q112" i="6"/>
  <c r="Q111" i="6"/>
  <c r="U111" i="6"/>
  <c r="U112" i="6"/>
  <c r="U113" i="6" s="1"/>
  <c r="U122" i="6" s="1"/>
  <c r="U124" i="6" s="1"/>
  <c r="AK17" i="6"/>
  <c r="AL17" i="6"/>
  <c r="V111" i="6"/>
  <c r="V112" i="6"/>
  <c r="V113" i="6" s="1"/>
  <c r="V122" i="6" s="1"/>
  <c r="V124" i="6" s="1"/>
  <c r="P112" i="6"/>
  <c r="P111" i="6"/>
  <c r="Y113" i="6" l="1"/>
  <c r="Y122" i="6" s="1"/>
  <c r="Y124" i="6" s="1"/>
  <c r="AD103" i="6"/>
  <c r="AD110" i="6" s="1"/>
  <c r="AC103" i="6"/>
  <c r="AC110" i="6" s="1"/>
  <c r="AL43" i="6"/>
  <c r="AJ46" i="6"/>
  <c r="AJ47" i="6"/>
  <c r="AK43" i="6"/>
  <c r="AB103" i="6"/>
  <c r="AB110" i="6" s="1"/>
  <c r="AD9" i="6"/>
  <c r="AC88" i="6"/>
  <c r="AD88" i="6" s="1"/>
  <c r="P113" i="6"/>
  <c r="P122" i="6" s="1"/>
  <c r="P127" i="6"/>
  <c r="Z113" i="6"/>
  <c r="Z122" i="6" s="1"/>
  <c r="Z124" i="6" s="1"/>
  <c r="X127" i="6"/>
  <c r="X113" i="6"/>
  <c r="X122" i="6" s="1"/>
  <c r="AL9" i="6"/>
  <c r="AJ41" i="6"/>
  <c r="AK9" i="6"/>
  <c r="AK15" i="6"/>
  <c r="AL15" i="6"/>
  <c r="Q113" i="6"/>
  <c r="Q122" i="6" s="1"/>
  <c r="Q124" i="6" s="1"/>
  <c r="AK28" i="6"/>
  <c r="AL28" i="6"/>
  <c r="T113" i="6"/>
  <c r="T122" i="6" s="1"/>
  <c r="T127" i="6"/>
  <c r="T124" i="6" l="1"/>
  <c r="T126" i="6"/>
  <c r="T128" i="6" s="1"/>
  <c r="AL41" i="6"/>
  <c r="AI41" i="6"/>
  <c r="AK41" i="6"/>
  <c r="AJ51" i="6"/>
  <c r="P124" i="6"/>
  <c r="P126" i="6" s="1"/>
  <c r="P128" i="6" s="1"/>
  <c r="AJ48" i="6"/>
  <c r="AC112" i="6"/>
  <c r="AC111" i="6"/>
  <c r="AD112" i="6"/>
  <c r="AD113" i="6" s="1"/>
  <c r="AD122" i="6" s="1"/>
  <c r="AD124" i="6" s="1"/>
  <c r="AD111" i="6"/>
  <c r="AB112" i="6"/>
  <c r="AB111" i="6"/>
  <c r="X124" i="6"/>
  <c r="X126" i="6"/>
  <c r="X128" i="6"/>
  <c r="AI47" i="6"/>
  <c r="AK47" i="6"/>
  <c r="AJ53" i="6"/>
  <c r="AL47" i="6"/>
  <c r="AK46" i="6"/>
  <c r="AL46" i="6"/>
  <c r="AJ52" i="6"/>
  <c r="AI46" i="6"/>
  <c r="AI52" i="6" l="1"/>
  <c r="AK52" i="6"/>
  <c r="AL52" i="6" s="1"/>
  <c r="AC113" i="6"/>
  <c r="AC122" i="6" s="1"/>
  <c r="AC124" i="6" s="1"/>
  <c r="AI11" i="6"/>
  <c r="AJ56" i="6"/>
  <c r="AJ57" i="6" s="1"/>
  <c r="AJ58" i="6" s="1"/>
  <c r="AI40" i="6"/>
  <c r="AI33" i="6"/>
  <c r="AI31" i="6"/>
  <c r="AK48" i="6"/>
  <c r="AL48" i="6"/>
  <c r="AI27" i="6"/>
  <c r="AJ54" i="6"/>
  <c r="AJ68" i="6"/>
  <c r="AI42" i="6"/>
  <c r="AI23" i="6"/>
  <c r="AI20" i="6"/>
  <c r="AI36" i="6"/>
  <c r="AI50" i="6"/>
  <c r="AI35" i="6"/>
  <c r="AI26" i="6"/>
  <c r="AI21" i="6"/>
  <c r="AI10" i="6"/>
  <c r="AI34" i="6"/>
  <c r="AI22" i="6"/>
  <c r="AI25" i="6"/>
  <c r="AI37" i="6"/>
  <c r="AI18" i="6"/>
  <c r="AI14" i="6"/>
  <c r="AI19" i="6"/>
  <c r="AI13" i="6"/>
  <c r="AI30" i="6"/>
  <c r="AI12" i="6"/>
  <c r="AI32" i="6"/>
  <c r="AI38" i="6"/>
  <c r="AI45" i="6"/>
  <c r="AI29" i="6"/>
  <c r="AI39" i="6"/>
  <c r="AI44" i="6"/>
  <c r="AI16" i="6"/>
  <c r="AI17" i="6"/>
  <c r="AI15" i="6"/>
  <c r="AI9" i="6"/>
  <c r="AI28" i="6"/>
  <c r="AI43" i="6"/>
  <c r="AB127" i="6"/>
  <c r="AB113" i="6"/>
  <c r="AB122" i="6" s="1"/>
  <c r="AK51" i="6"/>
  <c r="AL51" i="6" s="1"/>
  <c r="AI51" i="6"/>
  <c r="AI53" i="6"/>
  <c r="AK53" i="6"/>
  <c r="AL53" i="6" s="1"/>
  <c r="AB124" i="6" l="1"/>
  <c r="AB126" i="6"/>
  <c r="AB128" i="6"/>
  <c r="AJ76" i="6"/>
  <c r="AJ77" i="6" s="1"/>
  <c r="AJ78" i="6" s="1"/>
  <c r="AJ73" i="6"/>
  <c r="AL54" i="6"/>
  <c r="AK54" i="6"/>
  <c r="AI54" i="6"/>
  <c r="AI48" i="6"/>
  <c r="AJ79" i="6" l="1"/>
  <c r="AJ87" i="6"/>
  <c r="AJ88" i="6" s="1"/>
</calcChain>
</file>

<file path=xl/sharedStrings.xml><?xml version="1.0" encoding="utf-8"?>
<sst xmlns="http://schemas.openxmlformats.org/spreadsheetml/2006/main" count="718" uniqueCount="270">
  <si>
    <t>Per SF</t>
  </si>
  <si>
    <t>Total Rental Units</t>
  </si>
  <si>
    <t>TOTALS</t>
  </si>
  <si>
    <t>Permits</t>
  </si>
  <si>
    <t>FOUNDATION</t>
  </si>
  <si>
    <t>Setup</t>
  </si>
  <si>
    <t>Concrete</t>
  </si>
  <si>
    <t>Finish</t>
  </si>
  <si>
    <t>PLUMBING</t>
  </si>
  <si>
    <t>Rough</t>
  </si>
  <si>
    <t>Top Out</t>
  </si>
  <si>
    <t>Set Out</t>
  </si>
  <si>
    <t>FRAMING LABOR</t>
  </si>
  <si>
    <t>1st Floor Walls</t>
  </si>
  <si>
    <t>2nd Floor Walls</t>
  </si>
  <si>
    <t>Roof-Decking-Subfascia</t>
  </si>
  <si>
    <t>Cornice</t>
  </si>
  <si>
    <t>FRAMING MATERIALS</t>
  </si>
  <si>
    <t>1st Floor Material</t>
  </si>
  <si>
    <t>2nd Floor Materials</t>
  </si>
  <si>
    <t>Roof System Materials</t>
  </si>
  <si>
    <t>Cornice Materials</t>
  </si>
  <si>
    <t>Windows</t>
  </si>
  <si>
    <t>Exterior Doors</t>
  </si>
  <si>
    <t>ROOFING</t>
  </si>
  <si>
    <t>Materials</t>
  </si>
  <si>
    <t>Labor</t>
  </si>
  <si>
    <t>ELECTRIC</t>
  </si>
  <si>
    <t>Temp Set</t>
  </si>
  <si>
    <t>Trim</t>
  </si>
  <si>
    <t>PREWIRE</t>
  </si>
  <si>
    <t>HVAC</t>
  </si>
  <si>
    <t>Set</t>
  </si>
  <si>
    <t>INSULATION</t>
  </si>
  <si>
    <t>SHEETROCK</t>
  </si>
  <si>
    <t>Stock</t>
  </si>
  <si>
    <t>GARAGE DOORS</t>
  </si>
  <si>
    <t>INTERIOR TRIM</t>
  </si>
  <si>
    <t>Doors</t>
  </si>
  <si>
    <t>Millwork</t>
  </si>
  <si>
    <t>PAINT</t>
  </si>
  <si>
    <t>Exterior</t>
  </si>
  <si>
    <t>Interior Trim</t>
  </si>
  <si>
    <t>Touch Up</t>
  </si>
  <si>
    <t>FINISH ITEMS</t>
  </si>
  <si>
    <t>Cabinets</t>
  </si>
  <si>
    <t>Hardware</t>
  </si>
  <si>
    <t>Electrical Fixtures</t>
  </si>
  <si>
    <t>Appliances</t>
  </si>
  <si>
    <t>FLATWORK</t>
  </si>
  <si>
    <t>Curb Cut</t>
  </si>
  <si>
    <t>Drives</t>
  </si>
  <si>
    <t>Walks</t>
  </si>
  <si>
    <t>CLEAN UP</t>
  </si>
  <si>
    <t>Site</t>
  </si>
  <si>
    <t>Interior</t>
  </si>
  <si>
    <t>Final Grade</t>
  </si>
  <si>
    <t>Dumpster</t>
  </si>
  <si>
    <t>Job Toilet</t>
  </si>
  <si>
    <t>MISCELLANEOUS</t>
  </si>
  <si>
    <t>SUPERVISION</t>
  </si>
  <si>
    <t>Sprinklers - Front &amp; Rear</t>
  </si>
  <si>
    <t>Flooring</t>
  </si>
  <si>
    <t>Specialty Items - Mini-Blinds</t>
  </si>
  <si>
    <t>Countertops</t>
  </si>
  <si>
    <t>DRAW ALLOW</t>
  </si>
  <si>
    <t>Trusses - Roof</t>
  </si>
  <si>
    <t>7</t>
  </si>
  <si>
    <t>Appraisal</t>
  </si>
  <si>
    <t>Supervision</t>
  </si>
  <si>
    <t xml:space="preserve"> </t>
  </si>
  <si>
    <t>Hang, Tape, Float &amp; Texture</t>
  </si>
  <si>
    <t>Per Unit</t>
  </si>
  <si>
    <t>Totals</t>
  </si>
  <si>
    <t>Description</t>
  </si>
  <si>
    <t>1.</t>
  </si>
  <si>
    <t>2.</t>
  </si>
  <si>
    <t>3.</t>
  </si>
  <si>
    <t>4.</t>
  </si>
  <si>
    <t>Permits/Fees</t>
  </si>
  <si>
    <t>Water/Sewer Con.</t>
  </si>
  <si>
    <t>Site Work</t>
  </si>
  <si>
    <t>Foundation</t>
  </si>
  <si>
    <t>Plumbing Rough</t>
  </si>
  <si>
    <t>Windows/Mirrors</t>
  </si>
  <si>
    <t>Painting-Outside</t>
  </si>
  <si>
    <t>Electric-Rough</t>
  </si>
  <si>
    <t>Roof (Matl &amp; Labor)</t>
  </si>
  <si>
    <t>Framing &amp; Sheeting (M&amp;L)</t>
  </si>
  <si>
    <t>Cornice (M&amp;L)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</si>
  <si>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</si>
  <si>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</si>
  <si>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</si>
  <si>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</si>
  <si>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</si>
  <si>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</si>
  <si>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</si>
  <si>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</si>
  <si>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</si>
  <si>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</si>
  <si>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</si>
  <si>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</si>
  <si>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</si>
  <si>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</si>
  <si>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</si>
  <si>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</si>
  <si>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</si>
  <si>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</si>
  <si>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</si>
  <si>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</si>
  <si>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</si>
  <si>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</si>
  <si>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</si>
  <si>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</si>
  <si>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</si>
  <si>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</si>
  <si>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</si>
  <si>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</si>
  <si>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</si>
  <si>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</si>
  <si>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</si>
  <si>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</si>
  <si>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Other Costs</t>
  </si>
  <si>
    <t>Lot</t>
  </si>
  <si>
    <t>Interest &amp; Fees</t>
  </si>
  <si>
    <t>Septic</t>
  </si>
  <si>
    <t>Ducts</t>
  </si>
  <si>
    <t>Heat/Air-Units</t>
  </si>
  <si>
    <t>Insulation-Walls</t>
  </si>
  <si>
    <t>Insulation-Ceiling</t>
  </si>
  <si>
    <t>Plumbing - Top Out</t>
  </si>
  <si>
    <t>Fireplace</t>
  </si>
  <si>
    <t>Shrck/Tape/Float</t>
  </si>
  <si>
    <t>Cabinets/Formica</t>
  </si>
  <si>
    <t>Tile</t>
  </si>
  <si>
    <t>Painting-Interior</t>
  </si>
  <si>
    <t>Wallpaper</t>
  </si>
  <si>
    <t>Carpet/Vinyl</t>
  </si>
  <si>
    <t>Drives &amp; Sidewalks</t>
  </si>
  <si>
    <t>Masonry/Siding</t>
  </si>
  <si>
    <t>Included in Insulation- Walls, Line #15</t>
  </si>
  <si>
    <t>Clean Up &amp; Temps</t>
  </si>
  <si>
    <t>Electric - Trim,Pre-Wire &amp; Fix.</t>
  </si>
  <si>
    <t>Ldscp., Fencing &amp; Clean Up</t>
  </si>
  <si>
    <t>Trim Work W/Garage Drs.</t>
  </si>
  <si>
    <t>Builder's Risk</t>
  </si>
  <si>
    <t>Temp Electic &amp; Utilities</t>
  </si>
  <si>
    <t>Sitework</t>
  </si>
  <si>
    <t>L#1</t>
  </si>
  <si>
    <t>L#4</t>
  </si>
  <si>
    <t>L#35</t>
  </si>
  <si>
    <t>L#31</t>
  </si>
  <si>
    <t>L#29</t>
  </si>
  <si>
    <t>L#28</t>
  </si>
  <si>
    <t>L#30</t>
  </si>
  <si>
    <t>L#26</t>
  </si>
  <si>
    <t>L#27</t>
  </si>
  <si>
    <t>L#36</t>
  </si>
  <si>
    <t>L#21</t>
  </si>
  <si>
    <t>L#22</t>
  </si>
  <si>
    <t>L#5</t>
  </si>
  <si>
    <t>L#6</t>
  </si>
  <si>
    <t>L#17</t>
  </si>
  <si>
    <t>L#7</t>
  </si>
  <si>
    <t>L#9</t>
  </si>
  <si>
    <t>L#10</t>
  </si>
  <si>
    <t>L#8</t>
  </si>
  <si>
    <t>L#12</t>
  </si>
  <si>
    <t>L#13</t>
  </si>
  <si>
    <t>L#14</t>
  </si>
  <si>
    <t>L#15&amp;16</t>
  </si>
  <si>
    <t>L#20</t>
  </si>
  <si>
    <t>L#11</t>
  </si>
  <si>
    <t>L#24</t>
  </si>
  <si>
    <t>FAB L#</t>
  </si>
  <si>
    <t>% Tcost</t>
  </si>
  <si>
    <t>Phase Totals</t>
  </si>
  <si>
    <t>% Of Est.</t>
  </si>
  <si>
    <t>Estimate Totals</t>
  </si>
  <si>
    <t>812/814</t>
  </si>
  <si>
    <t>Construction Sequence</t>
  </si>
  <si>
    <t>1</t>
  </si>
  <si>
    <t>3</t>
  </si>
  <si>
    <t>4</t>
  </si>
  <si>
    <t>5</t>
  </si>
  <si>
    <t>6</t>
  </si>
  <si>
    <t>2</t>
  </si>
  <si>
    <t>820/822</t>
  </si>
  <si>
    <t>826/828</t>
  </si>
  <si>
    <t>832/834</t>
  </si>
  <si>
    <t>838/840</t>
  </si>
  <si>
    <t>861/863</t>
  </si>
  <si>
    <t>867/869</t>
  </si>
  <si>
    <t>X</t>
  </si>
  <si>
    <t>N/A</t>
  </si>
  <si>
    <t>FENCING</t>
  </si>
  <si>
    <t>LANDSCAPING</t>
  </si>
  <si>
    <t>CofO</t>
  </si>
  <si>
    <t>x</t>
  </si>
  <si>
    <t>Floor Joists</t>
  </si>
  <si>
    <t>MIX</t>
  </si>
  <si>
    <t>SM134Units</t>
  </si>
  <si>
    <t>Heated/Total SF</t>
  </si>
  <si>
    <t>PLAN A - 2+2+1</t>
  </si>
  <si>
    <t>Architecture</t>
  </si>
  <si>
    <t>L#2</t>
  </si>
  <si>
    <t>Less:</t>
  </si>
  <si>
    <t>Land &amp; Improvments</t>
  </si>
  <si>
    <t>Interest</t>
  </si>
  <si>
    <t>37.</t>
  </si>
  <si>
    <t>Per A/C SF</t>
  </si>
  <si>
    <t>Arch &amp; Eng &amp; Replat</t>
  </si>
  <si>
    <t>L#37</t>
  </si>
  <si>
    <t>Board &amp; Nail Total</t>
  </si>
  <si>
    <t>Contractor Profit</t>
  </si>
  <si>
    <t>Construction Management</t>
  </si>
  <si>
    <t>Construction Profit</t>
  </si>
  <si>
    <t>MASONRY/SIDING</t>
  </si>
  <si>
    <t>L#18</t>
  </si>
  <si>
    <t>Construction Management Fee</t>
  </si>
  <si>
    <t>ESW PHASE 2 COST DATA - FAB LOAN</t>
  </si>
  <si>
    <t>PLAN B - 2+2.5+2</t>
  </si>
  <si>
    <t>PLAN B - 3+3.5+2</t>
  </si>
  <si>
    <t>Water</t>
  </si>
  <si>
    <t>Sewer</t>
  </si>
  <si>
    <t>TV&amp;Cable</t>
  </si>
  <si>
    <t>Elec</t>
  </si>
  <si>
    <t>Lighting</t>
  </si>
  <si>
    <t>Gates</t>
  </si>
  <si>
    <t>Hardware With VING Card)</t>
  </si>
  <si>
    <t>Office FF&amp;E</t>
  </si>
  <si>
    <t>Signage</t>
  </si>
  <si>
    <t>Wall On Bishop</t>
  </si>
  <si>
    <t>Pool</t>
  </si>
  <si>
    <t>Volleyball Court</t>
  </si>
  <si>
    <t>Baths</t>
  </si>
  <si>
    <t>Rent</t>
  </si>
  <si>
    <t>Land</t>
  </si>
  <si>
    <t>Improvements</t>
  </si>
  <si>
    <t>Utilities</t>
  </si>
  <si>
    <t>Landscaping</t>
  </si>
  <si>
    <t>Entry Gates</t>
  </si>
  <si>
    <t>Perimeter Wall-Bishop</t>
  </si>
  <si>
    <t>Swimming Pool</t>
  </si>
  <si>
    <t>Vollyball Court</t>
  </si>
  <si>
    <t>Pool Shower/Restroom</t>
  </si>
  <si>
    <t>Common Ammenities</t>
  </si>
  <si>
    <t>Sub Total Comm. Ammenities</t>
  </si>
  <si>
    <t>Parking &amp; Drives</t>
  </si>
  <si>
    <t>Curbing</t>
  </si>
  <si>
    <t>Striping</t>
  </si>
  <si>
    <t>Per Acre</t>
  </si>
  <si>
    <t>Total</t>
  </si>
  <si>
    <t>TOTAL UNIT CONSTRUCTION</t>
  </si>
  <si>
    <t>TOTAL IMPROVED LOT</t>
  </si>
  <si>
    <t>Rental Office FF&amp;E</t>
  </si>
  <si>
    <t>Finance Cost</t>
  </si>
  <si>
    <t>Origination</t>
  </si>
  <si>
    <t>Interest Reserve</t>
  </si>
  <si>
    <t>Total Finance Cost</t>
  </si>
  <si>
    <t>TOTAL COST</t>
  </si>
  <si>
    <t>Closing Costs</t>
  </si>
  <si>
    <t>Sub Total</t>
  </si>
  <si>
    <t>Total Imp. &amp; Ammenities</t>
  </si>
  <si>
    <t>TOTAL DIRECT COST</t>
  </si>
  <si>
    <t>Interim Loan Amount</t>
  </si>
  <si>
    <t>LTC</t>
  </si>
  <si>
    <t>Equity Required</t>
  </si>
  <si>
    <t>Less Defferred C. Profit</t>
  </si>
  <si>
    <t>Cash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</si>
</sst>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0.0%"/>
    <numFmt numFmtId="175" formatCode="_(* #,##0.0000_);_(* \(#,##0.0000\);_(* &quot;-&quot;??_);_(@_)"/>
    <numFmt numFmtId="197" formatCode="#,##0.000_);[Red]\(#,##0.000\)"/>
    <numFmt numFmtId="203" formatCode="_(* #,##0.00_);_(* \(#,##0.00\);_(* &quot;-&quot;_);_(@_)"/>
  </numFmts>
  <fonts count="16">
    <font>
      <sz val="9"/>
      <name val="Arial"/>
      <family val="2"/>
    </font>
    <font>
      <b/>
      <sz val="10"/>
      <name val="AmeriGarmnd BT"/>
      <family val="1"/>
    </font>
    <font>
      <b/>
      <sz val="10"/>
      <name val="Goudy"/>
      <family val="1"/>
    </font>
    <font>
      <b/>
      <sz val="8"/>
      <name val="Goudy"/>
      <family val="1"/>
    </font>
    <font>
      <sz val="10"/>
      <name val="Goudy"/>
      <family val="1"/>
    </font>
    <font>
      <b/>
      <sz val="1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sz val="9"/>
      <name val="Goudy"/>
      <family val="1"/>
    </font>
    <font>
      <sz val="9"/>
      <name val="Arial"/>
      <family val="2"/>
    </font>
    <font>
      <u/>
      <sz val="9"/>
      <name val="Abadi MT Condensed Light"/>
      <family val="2"/>
    </font>
    <font>
      <b/>
      <sz val="9"/>
      <name val="Arial"/>
    </font>
    <font>
      <u/>
      <sz val="9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0"/>
      </patternFill>
    </fill>
    <fill>
      <patternFill patternType="solid">
        <fgColor indexed="2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38" fontId="0" fillId="0" borderId="0"/>
    <xf numFmtId="0" fontId="1" fillId="0" borderId="1" applyNumberFormat="0" applyFill="0" applyBorder="0" applyAlignment="0" applyProtection="0">
      <protection locked="0"/>
    </xf>
    <xf numFmtId="43" fontId="6" fillId="0" borderId="0" applyFill="0" applyBorder="0" applyAlignment="0" applyProtection="0"/>
    <xf numFmtId="41" fontId="6" fillId="0" borderId="0" applyFill="0" applyBorder="0" applyAlignment="0" applyProtection="0"/>
    <xf numFmtId="44" fontId="6" fillId="0" borderId="0" applyFill="0" applyBorder="0" applyAlignment="0" applyProtection="0"/>
    <xf numFmtId="42" fontId="6" fillId="0" borderId="0" applyFill="0" applyBorder="0" applyAlignment="0" applyProtection="0"/>
    <xf numFmtId="0" fontId="5" fillId="0" borderId="2" applyBorder="0">
      <alignment horizontal="center"/>
    </xf>
    <xf numFmtId="0" fontId="3" fillId="0" borderId="0" applyNumberFormat="0" applyFill="0" applyBorder="0" applyProtection="0"/>
    <xf numFmtId="0" fontId="2" fillId="0" borderId="3"/>
    <xf numFmtId="168" fontId="4" fillId="0" borderId="0" applyFill="0" applyBorder="0" applyAlignment="0" applyProtection="0"/>
  </cellStyleXfs>
  <cellXfs count="97">
    <xf numFmtId="38" fontId="0" fillId="0" borderId="0" xfId="0"/>
    <xf numFmtId="44" fontId="7" fillId="0" borderId="4" xfId="4" applyFont="1" applyBorder="1"/>
    <xf numFmtId="165" fontId="7" fillId="0" borderId="4" xfId="4" applyNumberFormat="1" applyFont="1" applyBorder="1"/>
    <xf numFmtId="0" fontId="8" fillId="0" borderId="0" xfId="7" applyFont="1" applyFill="1" applyBorder="1" applyProtection="1">
      <protection locked="0"/>
    </xf>
    <xf numFmtId="0" fontId="8" fillId="0" borderId="0" xfId="7" applyFont="1" applyFill="1" applyBorder="1" applyAlignment="1" applyProtection="1">
      <alignment horizontal="center" wrapText="1"/>
      <protection locked="0"/>
    </xf>
    <xf numFmtId="0" fontId="9" fillId="0" borderId="0" xfId="7" applyFont="1" applyFill="1" applyBorder="1" applyAlignment="1" applyProtection="1">
      <alignment horizontal="center" wrapText="1"/>
      <protection locked="0"/>
    </xf>
    <xf numFmtId="167" fontId="9" fillId="0" borderId="0" xfId="2" applyNumberFormat="1" applyFont="1" applyFill="1" applyBorder="1" applyAlignment="1" applyProtection="1">
      <alignment horizontal="center" wrapText="1"/>
      <protection locked="0"/>
    </xf>
    <xf numFmtId="38" fontId="9" fillId="0" borderId="0" xfId="0" applyFont="1"/>
    <xf numFmtId="10" fontId="9" fillId="0" borderId="0" xfId="9" applyNumberFormat="1" applyFont="1"/>
    <xf numFmtId="167" fontId="9" fillId="0" borderId="0" xfId="0" applyNumberFormat="1" applyFont="1"/>
    <xf numFmtId="44" fontId="9" fillId="0" borderId="0" xfId="4" applyFont="1"/>
    <xf numFmtId="43" fontId="9" fillId="0" borderId="0" xfId="2" applyFont="1"/>
    <xf numFmtId="0" fontId="9" fillId="0" borderId="0" xfId="7" applyFont="1" applyFill="1" applyBorder="1" applyProtection="1">
      <protection locked="0"/>
    </xf>
    <xf numFmtId="38" fontId="7" fillId="0" borderId="4" xfId="0" applyFont="1" applyBorder="1"/>
    <xf numFmtId="10" fontId="7" fillId="0" borderId="4" xfId="9" applyNumberFormat="1" applyFont="1" applyBorder="1"/>
    <xf numFmtId="167" fontId="9" fillId="0" borderId="0" xfId="0" applyNumberFormat="1" applyFont="1" applyFill="1"/>
    <xf numFmtId="38" fontId="9" fillId="0" borderId="0" xfId="0" applyFont="1" applyFill="1"/>
    <xf numFmtId="40" fontId="9" fillId="0" borderId="0" xfId="0" applyNumberFormat="1" applyFont="1"/>
    <xf numFmtId="38" fontId="9" fillId="0" borderId="0" xfId="0" applyNumberFormat="1" applyFont="1"/>
    <xf numFmtId="38" fontId="6" fillId="0" borderId="0" xfId="0" applyFont="1"/>
    <xf numFmtId="44" fontId="7" fillId="0" borderId="5" xfId="4" applyFont="1" applyBorder="1"/>
    <xf numFmtId="165" fontId="7" fillId="0" borderId="5" xfId="4" applyNumberFormat="1" applyFont="1" applyBorder="1"/>
    <xf numFmtId="38" fontId="7" fillId="0" borderId="0" xfId="0" applyFont="1"/>
    <xf numFmtId="38" fontId="9" fillId="0" borderId="0" xfId="0" applyFont="1" applyFill="1" applyBorder="1"/>
    <xf numFmtId="38" fontId="7" fillId="0" borderId="0" xfId="0" applyFont="1" applyFill="1"/>
    <xf numFmtId="38" fontId="7" fillId="0" borderId="5" xfId="0" applyFont="1" applyBorder="1"/>
    <xf numFmtId="38" fontId="8" fillId="0" borderId="0" xfId="0" applyFont="1"/>
    <xf numFmtId="38" fontId="9" fillId="0" borderId="6" xfId="0" applyFont="1" applyBorder="1"/>
    <xf numFmtId="38" fontId="8" fillId="0" borderId="0" xfId="0" applyFont="1" applyAlignment="1">
      <alignment horizontal="center"/>
    </xf>
    <xf numFmtId="38" fontId="9" fillId="0" borderId="7" xfId="0" applyFont="1" applyBorder="1"/>
    <xf numFmtId="168" fontId="10" fillId="0" borderId="0" xfId="9" applyFont="1"/>
    <xf numFmtId="43" fontId="11" fillId="0" borderId="0" xfId="2" applyFont="1"/>
    <xf numFmtId="38" fontId="11" fillId="0" borderId="0" xfId="0" applyNumberFormat="1" applyFont="1"/>
    <xf numFmtId="41" fontId="11" fillId="0" borderId="0" xfId="3" applyFont="1"/>
    <xf numFmtId="167" fontId="11" fillId="0" borderId="0" xfId="2" applyNumberFormat="1" applyFont="1"/>
    <xf numFmtId="38" fontId="11" fillId="0" borderId="0" xfId="0" applyFont="1"/>
    <xf numFmtId="8" fontId="7" fillId="0" borderId="5" xfId="4" applyNumberFormat="1" applyFont="1" applyBorder="1"/>
    <xf numFmtId="8" fontId="7" fillId="0" borderId="8" xfId="4" applyNumberFormat="1" applyFont="1" applyBorder="1"/>
    <xf numFmtId="165" fontId="9" fillId="0" borderId="0" xfId="4" applyNumberFormat="1" applyFont="1"/>
    <xf numFmtId="41" fontId="9" fillId="0" borderId="0" xfId="3" applyFont="1"/>
    <xf numFmtId="167" fontId="9" fillId="0" borderId="0" xfId="2" applyNumberFormat="1" applyFont="1"/>
    <xf numFmtId="165" fontId="9" fillId="0" borderId="6" xfId="4" applyNumberFormat="1" applyFont="1" applyBorder="1"/>
    <xf numFmtId="44" fontId="9" fillId="0" borderId="6" xfId="4" applyNumberFormat="1" applyFont="1" applyBorder="1"/>
    <xf numFmtId="44" fontId="9" fillId="0" borderId="7" xfId="4" applyFont="1" applyBorder="1"/>
    <xf numFmtId="6" fontId="7" fillId="0" borderId="5" xfId="4" applyNumberFormat="1" applyFont="1" applyBorder="1"/>
    <xf numFmtId="38" fontId="7" fillId="0" borderId="6" xfId="0" applyFont="1" applyBorder="1"/>
    <xf numFmtId="165" fontId="7" fillId="0" borderId="6" xfId="4" applyNumberFormat="1" applyFont="1" applyBorder="1"/>
    <xf numFmtId="44" fontId="7" fillId="0" borderId="6" xfId="4" applyFont="1" applyBorder="1"/>
    <xf numFmtId="8" fontId="7" fillId="0" borderId="6" xfId="4" applyNumberFormat="1" applyFont="1" applyBorder="1"/>
    <xf numFmtId="6" fontId="7" fillId="0" borderId="6" xfId="4" applyNumberFormat="1" applyFont="1" applyBorder="1"/>
    <xf numFmtId="38" fontId="6" fillId="0" borderId="0" xfId="0" applyFont="1" applyFill="1"/>
    <xf numFmtId="38" fontId="11" fillId="0" borderId="0" xfId="0" applyFont="1" applyFill="1"/>
    <xf numFmtId="38" fontId="7" fillId="2" borderId="9" xfId="0" applyFont="1" applyFill="1" applyBorder="1"/>
    <xf numFmtId="38" fontId="9" fillId="2" borderId="10" xfId="0" applyFont="1" applyFill="1" applyBorder="1"/>
    <xf numFmtId="38" fontId="9" fillId="2" borderId="11" xfId="0" applyFont="1" applyFill="1" applyBorder="1"/>
    <xf numFmtId="49" fontId="9" fillId="0" borderId="0" xfId="0" applyNumberFormat="1" applyFont="1" applyAlignment="1">
      <alignment horizontal="center"/>
    </xf>
    <xf numFmtId="0" fontId="12" fillId="0" borderId="0" xfId="7" applyFont="1" applyFill="1" applyBorder="1" applyAlignment="1" applyProtection="1">
      <alignment horizontal="center" wrapText="1"/>
      <protection locked="0"/>
    </xf>
    <xf numFmtId="38" fontId="7" fillId="0" borderId="0" xfId="0" applyFont="1" applyAlignment="1">
      <alignment horizontal="center"/>
    </xf>
    <xf numFmtId="0" fontId="8" fillId="3" borderId="0" xfId="7" applyFont="1" applyFill="1" applyBorder="1" applyAlignment="1" applyProtection="1">
      <alignment horizontal="center" wrapText="1"/>
      <protection locked="0"/>
    </xf>
    <xf numFmtId="168" fontId="9" fillId="0" borderId="0" xfId="0" applyNumberFormat="1" applyFont="1" applyFill="1" applyBorder="1" applyAlignment="1" applyProtection="1">
      <alignment horizontal="center"/>
      <protection locked="0"/>
    </xf>
    <xf numFmtId="167" fontId="9" fillId="0" borderId="0" xfId="2" applyNumberFormat="1" applyFont="1" applyAlignment="1">
      <alignment horizontal="center"/>
    </xf>
    <xf numFmtId="42" fontId="9" fillId="0" borderId="0" xfId="5" applyFont="1"/>
    <xf numFmtId="38" fontId="9" fillId="4" borderId="0" xfId="0" applyNumberFormat="1" applyFont="1" applyFill="1"/>
    <xf numFmtId="49" fontId="9" fillId="0" borderId="0" xfId="0" applyNumberFormat="1" applyFont="1"/>
    <xf numFmtId="167" fontId="9" fillId="5" borderId="12" xfId="2" applyNumberFormat="1" applyFont="1" applyFill="1" applyBorder="1" applyAlignment="1">
      <alignment horizontal="center"/>
    </xf>
    <xf numFmtId="167" fontId="7" fillId="6" borderId="0" xfId="2" applyNumberFormat="1" applyFont="1" applyFill="1" applyAlignment="1">
      <alignment horizontal="center"/>
    </xf>
    <xf numFmtId="38" fontId="9" fillId="0" borderId="0" xfId="0" applyFont="1" applyAlignment="1">
      <alignment horizontal="center"/>
    </xf>
    <xf numFmtId="203" fontId="9" fillId="0" borderId="0" xfId="3" applyNumberFormat="1" applyFont="1"/>
    <xf numFmtId="38" fontId="9" fillId="7" borderId="0" xfId="0" applyNumberFormat="1" applyFont="1" applyFill="1"/>
    <xf numFmtId="38" fontId="9" fillId="8" borderId="0" xfId="0" applyNumberFormat="1" applyFont="1" applyFill="1"/>
    <xf numFmtId="41" fontId="9" fillId="0" borderId="0" xfId="3" applyNumberFormat="1" applyFont="1"/>
    <xf numFmtId="38" fontId="11" fillId="4" borderId="0" xfId="0" applyNumberFormat="1" applyFont="1" applyFill="1"/>
    <xf numFmtId="49" fontId="11" fillId="0" borderId="0" xfId="0" applyNumberFormat="1" applyFont="1"/>
    <xf numFmtId="10" fontId="11" fillId="0" borderId="0" xfId="9" applyNumberFormat="1" applyFont="1"/>
    <xf numFmtId="167" fontId="11" fillId="0" borderId="0" xfId="0" applyNumberFormat="1" applyFont="1"/>
    <xf numFmtId="168" fontId="11" fillId="0" borderId="0" xfId="0" applyNumberFormat="1" applyFont="1" applyFill="1" applyBorder="1" applyAlignment="1" applyProtection="1">
      <alignment horizontal="center"/>
      <protection locked="0"/>
    </xf>
    <xf numFmtId="167" fontId="11" fillId="0" borderId="0" xfId="2" applyNumberFormat="1" applyFont="1" applyAlignment="1">
      <alignment horizontal="center"/>
    </xf>
    <xf numFmtId="38" fontId="9" fillId="0" borderId="0" xfId="0" applyNumberFormat="1" applyFont="1" applyFill="1"/>
    <xf numFmtId="175" fontId="9" fillId="0" borderId="0" xfId="2" applyNumberFormat="1" applyFont="1"/>
    <xf numFmtId="167" fontId="9" fillId="6" borderId="12" xfId="2" applyNumberFormat="1" applyFont="1" applyFill="1" applyBorder="1" applyAlignment="1">
      <alignment horizontal="center"/>
    </xf>
    <xf numFmtId="197" fontId="9" fillId="0" borderId="0" xfId="0" applyNumberFormat="1" applyFont="1"/>
    <xf numFmtId="38" fontId="9" fillId="0" borderId="4" xfId="0" applyFont="1" applyFill="1" applyBorder="1"/>
    <xf numFmtId="10" fontId="7" fillId="0" borderId="5" xfId="4" applyNumberFormat="1" applyFont="1" applyBorder="1"/>
    <xf numFmtId="10" fontId="9" fillId="0" borderId="5" xfId="4" applyNumberFormat="1" applyFont="1" applyBorder="1" applyAlignment="1">
      <alignment horizontal="center"/>
    </xf>
    <xf numFmtId="43" fontId="13" fillId="0" borderId="5" xfId="2" applyFont="1" applyFill="1" applyBorder="1"/>
    <xf numFmtId="8" fontId="7" fillId="0" borderId="0" xfId="4" applyNumberFormat="1" applyFont="1" applyBorder="1"/>
    <xf numFmtId="8" fontId="7" fillId="4" borderId="0" xfId="4" applyNumberFormat="1" applyFont="1" applyFill="1" applyBorder="1"/>
    <xf numFmtId="38" fontId="14" fillId="0" borderId="0" xfId="0" applyFont="1" applyAlignment="1">
      <alignment horizontal="center"/>
    </xf>
    <xf numFmtId="38" fontId="15" fillId="0" borderId="0" xfId="0" applyFont="1"/>
    <xf numFmtId="38" fontId="15" fillId="0" borderId="0" xfId="0" applyFont="1" applyFill="1"/>
    <xf numFmtId="10" fontId="7" fillId="0" borderId="6" xfId="4" applyNumberFormat="1" applyFont="1" applyBorder="1"/>
    <xf numFmtId="10" fontId="9" fillId="0" borderId="6" xfId="4" applyNumberFormat="1" applyFont="1" applyBorder="1" applyAlignment="1">
      <alignment horizontal="center"/>
    </xf>
    <xf numFmtId="43" fontId="13" fillId="0" borderId="6" xfId="2" applyFont="1" applyFill="1" applyBorder="1"/>
    <xf numFmtId="165" fontId="9" fillId="0" borderId="7" xfId="4" applyNumberFormat="1" applyFont="1" applyBorder="1"/>
    <xf numFmtId="44" fontId="9" fillId="0" borderId="6" xfId="4" applyFont="1" applyBorder="1"/>
    <xf numFmtId="38" fontId="14" fillId="0" borderId="0" xfId="0" applyFont="1"/>
    <xf numFmtId="38" fontId="8" fillId="0" borderId="0" xfId="0" applyFont="1" applyAlignment="1">
      <alignment horizontal="center"/>
    </xf>
  </cellXfs>
  <cellStyles count="10">
    <cellStyle name="Column Headings" xfId="1"/>
    <cellStyle name="Comma" xfId="2" builtinId="3"/>
    <cellStyle name="Comma [0]" xfId="3" builtinId="6"/>
    <cellStyle name="Currency" xfId="4" builtinId="4"/>
    <cellStyle name="Currency [0]" xfId="5" builtinId="7"/>
    <cellStyle name="HEADING" xfId="6"/>
    <cellStyle name="Heading 2" xfId="7" builtinId="17" customBuiltin="1"/>
    <cellStyle name="HEADING2" xfId="8"/>
    <cellStyle name="Normal" xfId="0" builtinId="0"/>
    <cellStyle name="Percent" xfId="9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63"/>
  <sheetViews>
    <sheetView tabSelected="1" topLeftCell="B1" workbookViewId="0">
      <pane xSplit="4650" ySplit="1110" topLeftCell="O88"/>
      <selection activeCell="L2" sqref="L2"/>
      <selection pane="topRight" activeCell="Q8" sqref="Q8"/>
      <selection pane="bottomLeft" activeCell="B128" sqref="B128"/>
      <selection pane="bottomRight" activeCell="AB130" sqref="AB130:AB132"/>
    </sheetView>
  </sheetViews>
  <sheetFormatPr defaultColWidth="7.5703125" defaultRowHeight="12"/>
  <cols>
    <col min="1" max="1" width="8.42578125" style="51" customWidth="1"/>
    <col min="2" max="2" width="22.85546875" style="35" customWidth="1"/>
    <col min="3" max="3" width="5.85546875" style="35" hidden="1" customWidth="1"/>
    <col min="4" max="4" width="5.42578125" style="35" hidden="1" customWidth="1"/>
    <col min="5" max="11" width="7.5703125" style="35" hidden="1" customWidth="1"/>
    <col min="12" max="12" width="11.42578125" style="35" customWidth="1"/>
    <col min="13" max="14" width="9.85546875" style="35" customWidth="1"/>
    <col min="15" max="15" width="1" style="35" customWidth="1"/>
    <col min="16" max="16" width="12" style="35" customWidth="1"/>
    <col min="17" max="17" width="11" style="35" customWidth="1"/>
    <col min="18" max="18" width="12.42578125" style="35" customWidth="1"/>
    <col min="19" max="19" width="1" style="35" customWidth="1"/>
    <col min="20" max="20" width="13.5703125" style="35" customWidth="1"/>
    <col min="21" max="22" width="11.42578125" style="35" customWidth="1"/>
    <col min="23" max="23" width="1" style="35" customWidth="1"/>
    <col min="24" max="26" width="11.42578125" style="35" customWidth="1"/>
    <col min="27" max="27" width="1" style="35" customWidth="1"/>
    <col min="28" max="28" width="12" style="35" customWidth="1"/>
    <col min="29" max="29" width="8.5703125" style="35" customWidth="1"/>
    <col min="30" max="30" width="7.5703125" style="35" customWidth="1"/>
    <col min="31" max="31" width="1" style="35" customWidth="1"/>
    <col min="32" max="32" width="11.42578125" style="35" customWidth="1"/>
    <col min="33" max="33" width="3.5703125" style="35" customWidth="1"/>
    <col min="34" max="34" width="24" style="35" customWidth="1"/>
    <col min="35" max="35" width="7.7109375" style="35" customWidth="1"/>
    <col min="36" max="36" width="13.7109375" style="35" customWidth="1"/>
    <col min="37" max="37" width="9.5703125" style="35" bestFit="1" customWidth="1"/>
    <col min="38" max="38" width="9.42578125" style="35" customWidth="1"/>
    <col min="39" max="39" width="7.5703125" style="35" customWidth="1"/>
    <col min="40" max="40" width="11.42578125" style="35" customWidth="1"/>
    <col min="41" max="41" width="19" style="35" customWidth="1"/>
    <col min="42" max="42" width="16.28515625" style="35" customWidth="1"/>
    <col min="43" max="43" width="20" style="35" customWidth="1"/>
    <col min="44" max="16384" width="7.5703125" style="35"/>
  </cols>
  <sheetData>
    <row r="1" spans="1:38">
      <c r="A1" s="50"/>
      <c r="B1" s="19" t="s">
        <v>219</v>
      </c>
      <c r="C1" s="19"/>
      <c r="D1" s="19"/>
      <c r="E1" s="19"/>
      <c r="F1" s="19"/>
      <c r="G1" s="19"/>
      <c r="H1" s="19"/>
      <c r="I1" s="19"/>
      <c r="J1" s="19"/>
      <c r="K1" s="19"/>
      <c r="L1" s="30">
        <v>1.125</v>
      </c>
    </row>
    <row r="2" spans="1:38">
      <c r="B2" s="35" t="s">
        <v>1</v>
      </c>
      <c r="L2" s="34">
        <v>14</v>
      </c>
      <c r="P2" s="35" t="s">
        <v>201</v>
      </c>
      <c r="Q2" s="35">
        <v>134</v>
      </c>
    </row>
    <row r="3" spans="1:38" ht="12.75" thickBot="1">
      <c r="A3" s="51" t="s">
        <v>174</v>
      </c>
      <c r="B3" s="35" t="s">
        <v>180</v>
      </c>
      <c r="L3" s="35" t="s">
        <v>176</v>
      </c>
    </row>
    <row r="4" spans="1:38" s="7" customFormat="1" ht="12.75" thickBot="1">
      <c r="A4" s="51"/>
      <c r="B4" s="52" t="s">
        <v>220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4"/>
    </row>
    <row r="5" spans="1:38" s="7" customFormat="1">
      <c r="A5" s="16"/>
      <c r="E5" s="55" t="s">
        <v>181</v>
      </c>
      <c r="F5" s="55" t="s">
        <v>186</v>
      </c>
      <c r="G5" s="55" t="s">
        <v>67</v>
      </c>
      <c r="H5" s="55" t="s">
        <v>182</v>
      </c>
      <c r="I5" s="55" t="s">
        <v>183</v>
      </c>
      <c r="J5" s="55" t="s">
        <v>184</v>
      </c>
      <c r="K5" s="55" t="s">
        <v>185</v>
      </c>
      <c r="P5" s="96" t="s">
        <v>203</v>
      </c>
      <c r="Q5" s="96"/>
      <c r="R5" s="96"/>
      <c r="T5" s="96" t="s">
        <v>221</v>
      </c>
      <c r="U5" s="96"/>
      <c r="V5" s="96"/>
      <c r="W5" s="28"/>
      <c r="X5" s="96" t="s">
        <v>222</v>
      </c>
      <c r="Y5" s="96"/>
      <c r="Z5" s="96"/>
      <c r="AA5" s="28"/>
      <c r="AB5" s="96" t="s">
        <v>2</v>
      </c>
      <c r="AC5" s="96"/>
      <c r="AD5" s="96"/>
      <c r="AE5" s="28"/>
      <c r="AF5" s="28"/>
    </row>
    <row r="6" spans="1:38" s="7" customFormat="1" ht="22.9" customHeight="1">
      <c r="A6" s="16"/>
      <c r="B6" s="22" t="s">
        <v>74</v>
      </c>
      <c r="C6" s="56" t="s">
        <v>65</v>
      </c>
      <c r="D6" s="57" t="s">
        <v>175</v>
      </c>
      <c r="E6" s="55" t="s">
        <v>179</v>
      </c>
      <c r="F6" s="55" t="s">
        <v>187</v>
      </c>
      <c r="G6" s="55" t="s">
        <v>188</v>
      </c>
      <c r="H6" s="55" t="s">
        <v>189</v>
      </c>
      <c r="I6" s="55" t="s">
        <v>190</v>
      </c>
      <c r="J6" s="55" t="s">
        <v>191</v>
      </c>
      <c r="K6" s="55" t="s">
        <v>192</v>
      </c>
      <c r="L6" s="4" t="s">
        <v>73</v>
      </c>
      <c r="M6" s="4" t="s">
        <v>72</v>
      </c>
      <c r="N6" s="4" t="s">
        <v>0</v>
      </c>
      <c r="O6" s="4"/>
      <c r="P6" s="4" t="s">
        <v>73</v>
      </c>
      <c r="Q6" s="4" t="s">
        <v>72</v>
      </c>
      <c r="R6" s="4" t="s">
        <v>0</v>
      </c>
      <c r="T6" s="4" t="s">
        <v>73</v>
      </c>
      <c r="U6" s="4" t="s">
        <v>72</v>
      </c>
      <c r="V6" s="4" t="s">
        <v>0</v>
      </c>
      <c r="W6" s="4"/>
      <c r="X6" s="4" t="s">
        <v>73</v>
      </c>
      <c r="Y6" s="4" t="s">
        <v>72</v>
      </c>
      <c r="Z6" s="4" t="s">
        <v>0</v>
      </c>
      <c r="AA6" s="4"/>
      <c r="AB6" s="4" t="s">
        <v>73</v>
      </c>
      <c r="AC6" s="4" t="s">
        <v>72</v>
      </c>
      <c r="AD6" s="4" t="s">
        <v>0</v>
      </c>
      <c r="AE6" s="4"/>
      <c r="AF6" s="58"/>
      <c r="AH6" s="3" t="s">
        <v>74</v>
      </c>
      <c r="AI6" s="4" t="s">
        <v>177</v>
      </c>
      <c r="AJ6" s="4" t="s">
        <v>178</v>
      </c>
      <c r="AK6" s="4" t="s">
        <v>72</v>
      </c>
      <c r="AL6" s="4" t="s">
        <v>210</v>
      </c>
    </row>
    <row r="7" spans="1:38" s="7" customFormat="1" ht="22.9" customHeight="1">
      <c r="A7" s="16"/>
      <c r="B7" s="22" t="s">
        <v>200</v>
      </c>
      <c r="C7" s="56"/>
      <c r="D7" s="57"/>
      <c r="E7" s="55"/>
      <c r="F7" s="55"/>
      <c r="G7" s="55"/>
      <c r="H7" s="55"/>
      <c r="I7" s="55"/>
      <c r="J7" s="55"/>
      <c r="K7" s="55"/>
      <c r="L7" s="5">
        <f>TRUnits</f>
        <v>14</v>
      </c>
      <c r="M7" s="4"/>
      <c r="N7" s="4"/>
      <c r="O7" s="4"/>
      <c r="P7" s="5">
        <v>3</v>
      </c>
      <c r="Q7" s="4"/>
      <c r="R7" s="4"/>
      <c r="T7" s="5">
        <v>73</v>
      </c>
      <c r="U7" s="4"/>
      <c r="V7" s="4"/>
      <c r="W7" s="4"/>
      <c r="X7" s="5">
        <v>58</v>
      </c>
      <c r="Y7" s="4"/>
      <c r="Z7" s="4"/>
      <c r="AA7" s="4"/>
      <c r="AB7" s="5">
        <f>ROUND(X7+T7+P7,0)</f>
        <v>134</v>
      </c>
      <c r="AC7" s="4"/>
      <c r="AD7" s="4"/>
      <c r="AE7" s="4"/>
      <c r="AF7" s="58"/>
      <c r="AH7" s="3"/>
      <c r="AI7" s="4"/>
      <c r="AJ7" s="4"/>
      <c r="AK7" s="5">
        <f>+AB7</f>
        <v>134</v>
      </c>
      <c r="AL7" s="6">
        <f>AB7*AC8</f>
        <v>159058</v>
      </c>
    </row>
    <row r="8" spans="1:38" s="7" customFormat="1" ht="22.9" customHeight="1">
      <c r="A8" s="16"/>
      <c r="B8" s="22" t="s">
        <v>202</v>
      </c>
      <c r="C8" s="56"/>
      <c r="D8" s="57"/>
      <c r="E8" s="55"/>
      <c r="F8" s="55"/>
      <c r="G8" s="55"/>
      <c r="H8" s="55"/>
      <c r="I8" s="55"/>
      <c r="J8" s="55"/>
      <c r="K8" s="55"/>
      <c r="L8" s="5"/>
      <c r="M8" s="4"/>
      <c r="N8" s="4"/>
      <c r="O8" s="4"/>
      <c r="P8" s="5"/>
      <c r="Q8" s="5">
        <v>1198</v>
      </c>
      <c r="R8" s="5">
        <f>+Q8+280+67</f>
        <v>1545</v>
      </c>
      <c r="T8" s="5"/>
      <c r="U8" s="5">
        <v>1107</v>
      </c>
      <c r="V8" s="5">
        <f>+U8</f>
        <v>1107</v>
      </c>
      <c r="W8" s="4"/>
      <c r="X8" s="5"/>
      <c r="Y8" s="5">
        <v>1287</v>
      </c>
      <c r="Z8" s="5">
        <f>+Y8+295</f>
        <v>1582</v>
      </c>
      <c r="AA8" s="4"/>
      <c r="AB8" s="4"/>
      <c r="AC8" s="5">
        <f>ROUND((Y8*$X7+U8*$T7+Q8*$P7)/$AB$7,0)</f>
        <v>1187</v>
      </c>
      <c r="AD8" s="5">
        <f>ROUND((Z8*$X7+V8*$T7+R8*$P7)/$AB$7,0)</f>
        <v>1322</v>
      </c>
      <c r="AE8" s="4"/>
      <c r="AF8" s="58"/>
      <c r="AH8" s="3"/>
      <c r="AI8" s="4"/>
      <c r="AJ8" s="4"/>
      <c r="AK8" s="4"/>
      <c r="AL8" s="4"/>
    </row>
    <row r="9" spans="1:38" s="7" customFormat="1">
      <c r="A9" s="16" t="s">
        <v>148</v>
      </c>
      <c r="B9" s="7" t="s">
        <v>3</v>
      </c>
      <c r="C9" s="59"/>
      <c r="D9" s="8">
        <f>L9/$L$88</f>
        <v>2.3716402841308496E-2</v>
      </c>
      <c r="E9" s="60" t="s">
        <v>193</v>
      </c>
      <c r="F9" s="60" t="s">
        <v>193</v>
      </c>
      <c r="G9" s="60" t="s">
        <v>193</v>
      </c>
      <c r="H9" s="60" t="s">
        <v>193</v>
      </c>
      <c r="I9" s="60" t="s">
        <v>193</v>
      </c>
      <c r="J9" s="60" t="s">
        <v>193</v>
      </c>
      <c r="K9" s="60" t="s">
        <v>193</v>
      </c>
      <c r="L9" s="18">
        <f t="shared" ref="L9:L51" si="0">M9*TRUnits</f>
        <v>16673.3</v>
      </c>
      <c r="M9" s="18">
        <f>2381.9/2</f>
        <v>1190.95</v>
      </c>
      <c r="N9" s="11">
        <f>M9/1376</f>
        <v>0.86551598837209309</v>
      </c>
      <c r="O9" s="11"/>
      <c r="P9" s="61">
        <f>Q9*P$7</f>
        <v>3499.4975199854653</v>
      </c>
      <c r="Q9" s="61">
        <f>Q$8*$N9*CMF</f>
        <v>1166.4991733284885</v>
      </c>
      <c r="R9" s="10">
        <f>+Q9/Q$8</f>
        <v>0.9737054869186047</v>
      </c>
      <c r="S9" s="18"/>
      <c r="T9" s="61">
        <f>U9*T$7</f>
        <v>78686.114103379354</v>
      </c>
      <c r="U9" s="61">
        <f>U$8*$N9*CMF</f>
        <v>1077.8919740188953</v>
      </c>
      <c r="V9" s="10">
        <f>+U9/U$8</f>
        <v>0.97370548691860459</v>
      </c>
      <c r="W9" s="18"/>
      <c r="X9" s="61">
        <f>Y9*X$7</f>
        <v>72683.219776526166</v>
      </c>
      <c r="Y9" s="61">
        <f>Y$8*$N9*CMF</f>
        <v>1253.1589616642443</v>
      </c>
      <c r="Z9" s="10">
        <f>+Y9/Y$8</f>
        <v>0.9737054869186047</v>
      </c>
      <c r="AA9" s="18"/>
      <c r="AB9" s="61">
        <f>+X9+T9+P9</f>
        <v>154868.83139989097</v>
      </c>
      <c r="AC9" s="61">
        <f>AB9/AB$7</f>
        <v>1155.7375477603805</v>
      </c>
      <c r="AD9" s="10">
        <f>+AC9/AC$8</f>
        <v>0.97366263501295747</v>
      </c>
      <c r="AE9" s="18"/>
      <c r="AF9" s="62"/>
      <c r="AG9" s="63" t="s">
        <v>75</v>
      </c>
      <c r="AH9" s="7" t="s">
        <v>79</v>
      </c>
      <c r="AI9" s="8">
        <f t="shared" ref="AI9:AI23" si="1">AJ9/$AJ$48</f>
        <v>1.1703917230550144E-2</v>
      </c>
      <c r="AJ9" s="9">
        <f>+AB9</f>
        <v>154868.83139989097</v>
      </c>
      <c r="AK9" s="9">
        <f t="shared" ref="AK9:AK48" si="2">+AJ9/AK$7</f>
        <v>1155.7375477603805</v>
      </c>
      <c r="AL9" s="10">
        <f>+AJ9/AL$7</f>
        <v>0.97366263501295736</v>
      </c>
    </row>
    <row r="10" spans="1:38" s="7" customFormat="1">
      <c r="A10" s="16" t="s">
        <v>205</v>
      </c>
      <c r="B10" s="7" t="s">
        <v>204</v>
      </c>
      <c r="C10" s="59"/>
      <c r="D10" s="8"/>
      <c r="E10" s="60"/>
      <c r="F10" s="60"/>
      <c r="G10" s="60"/>
      <c r="H10" s="60"/>
      <c r="I10" s="60"/>
      <c r="J10" s="60"/>
      <c r="K10" s="60"/>
      <c r="L10" s="18"/>
      <c r="M10" s="18"/>
      <c r="N10" s="11"/>
      <c r="O10" s="11"/>
      <c r="P10" s="39">
        <f>Q10*P$7</f>
        <v>2907.7891791044776</v>
      </c>
      <c r="Q10" s="39">
        <f>((68000+9450+28000+8000+2000)/134)*CMF</f>
        <v>969.26305970149247</v>
      </c>
      <c r="R10" s="11">
        <f>+Q10/Q$8</f>
        <v>0.80906766252211393</v>
      </c>
      <c r="S10" s="18"/>
      <c r="T10" s="39">
        <f>U10*T$7</f>
        <v>70756.20335820895</v>
      </c>
      <c r="U10" s="39">
        <f>((68000+9450+28000+8000+2000)/134)*CMF</f>
        <v>969.26305970149247</v>
      </c>
      <c r="V10" s="11">
        <f>+U10/U$8</f>
        <v>0.87557638636087842</v>
      </c>
      <c r="W10" s="18"/>
      <c r="X10" s="39">
        <f>Y10*X$7</f>
        <v>56217.257462686561</v>
      </c>
      <c r="Y10" s="39">
        <f>((68000+9450+28000+8000+2000)/134)*CMF</f>
        <v>969.26305970149247</v>
      </c>
      <c r="Z10" s="11">
        <f>+Y10/Y$8</f>
        <v>0.75311815050621012</v>
      </c>
      <c r="AA10" s="18"/>
      <c r="AB10" s="39">
        <f t="shared" ref="AB10:AB77" si="3">+X10+T10+P10</f>
        <v>129881.24999999999</v>
      </c>
      <c r="AC10" s="40">
        <f>+AB10/AB$7</f>
        <v>969.26305970149247</v>
      </c>
      <c r="AD10" s="11">
        <f>+AC10/AC$8</f>
        <v>0.81656534094481248</v>
      </c>
      <c r="AE10" s="18"/>
      <c r="AF10" s="62"/>
      <c r="AG10" s="63" t="s">
        <v>76</v>
      </c>
      <c r="AH10" s="7" t="s">
        <v>211</v>
      </c>
      <c r="AI10" s="8">
        <f t="shared" si="1"/>
        <v>9.8155283155411024E-3</v>
      </c>
      <c r="AJ10" s="9">
        <f>+AB10</f>
        <v>129881.24999999999</v>
      </c>
      <c r="AK10" s="9">
        <f t="shared" si="2"/>
        <v>969.26305970149247</v>
      </c>
      <c r="AL10" s="11">
        <f>+AJ10/AL$7</f>
        <v>0.81656534094481248</v>
      </c>
    </row>
    <row r="11" spans="1:38" s="7" customFormat="1">
      <c r="A11" s="16" t="s">
        <v>150</v>
      </c>
      <c r="B11" s="7" t="s">
        <v>145</v>
      </c>
      <c r="C11" s="59"/>
      <c r="D11" s="8">
        <f>L11/$L$88</f>
        <v>2.6186716265435722E-3</v>
      </c>
      <c r="E11" s="60" t="s">
        <v>193</v>
      </c>
      <c r="F11" s="60" t="s">
        <v>193</v>
      </c>
      <c r="G11" s="60" t="s">
        <v>193</v>
      </c>
      <c r="H11" s="60" t="s">
        <v>193</v>
      </c>
      <c r="I11" s="60" t="s">
        <v>193</v>
      </c>
      <c r="J11" s="60" t="s">
        <v>193</v>
      </c>
      <c r="K11" s="60" t="s">
        <v>193</v>
      </c>
      <c r="L11" s="18">
        <f t="shared" si="0"/>
        <v>1841</v>
      </c>
      <c r="M11" s="18">
        <f>263/2</f>
        <v>131.5</v>
      </c>
      <c r="N11" s="11">
        <f t="shared" ref="N11:N77" si="4">M11/1376</f>
        <v>9.5566860465116282E-2</v>
      </c>
      <c r="O11" s="11"/>
      <c r="P11" s="39">
        <f>Q11*P$7</f>
        <v>386.40070857558146</v>
      </c>
      <c r="Q11" s="39">
        <f>Q$8*$N11*CMF</f>
        <v>128.80023619186048</v>
      </c>
      <c r="R11" s="11">
        <f t="shared" ref="R11:R77" si="5">+Q11/Q$8</f>
        <v>0.10751271802325582</v>
      </c>
      <c r="S11" s="18"/>
      <c r="T11" s="39">
        <f>U11*T$7</f>
        <v>8688.2102561773263</v>
      </c>
      <c r="U11" s="39">
        <f>U$8*$N11*CMF</f>
        <v>119.01657885174419</v>
      </c>
      <c r="V11" s="11">
        <f t="shared" ref="V11:V77" si="6">+U11/U$8</f>
        <v>0.10751271802325581</v>
      </c>
      <c r="W11" s="18"/>
      <c r="X11" s="39">
        <f>Y11*X$7</f>
        <v>8025.3943495639533</v>
      </c>
      <c r="Y11" s="39">
        <f>Y$8*$N11*CMF</f>
        <v>138.36886809593022</v>
      </c>
      <c r="Z11" s="11">
        <f t="shared" ref="Z11:Z77" si="7">+Y11/Y$8</f>
        <v>0.10751271802325581</v>
      </c>
      <c r="AA11" s="18"/>
      <c r="AB11" s="39">
        <f t="shared" si="3"/>
        <v>17100.005314316859</v>
      </c>
      <c r="AC11" s="40">
        <f>+AB11/AB$7</f>
        <v>127.6119799575885</v>
      </c>
      <c r="AD11" s="11">
        <f>+AC11/AC$8</f>
        <v>0.10750798648491028</v>
      </c>
      <c r="AE11" s="18"/>
      <c r="AF11" s="62"/>
      <c r="AG11" s="63" t="s">
        <v>77</v>
      </c>
      <c r="AH11" s="7" t="s">
        <v>80</v>
      </c>
      <c r="AI11" s="8">
        <f t="shared" si="1"/>
        <v>0</v>
      </c>
      <c r="AJ11" s="9">
        <v>0</v>
      </c>
      <c r="AK11" s="9">
        <f t="shared" si="2"/>
        <v>0</v>
      </c>
      <c r="AL11" s="11">
        <f t="shared" ref="AL11:AL48" si="8">+AJ11/AL$7</f>
        <v>0</v>
      </c>
    </row>
    <row r="12" spans="1:38" s="7" customFormat="1">
      <c r="A12" s="16" t="s">
        <v>149</v>
      </c>
      <c r="B12" s="7" t="s">
        <v>146</v>
      </c>
      <c r="C12" s="59"/>
      <c r="D12" s="8">
        <f>L12/$L$88</f>
        <v>1.7424621089168256E-3</v>
      </c>
      <c r="E12" s="60"/>
      <c r="F12" s="60"/>
      <c r="G12" s="60"/>
      <c r="H12" s="60"/>
      <c r="I12" s="60"/>
      <c r="J12" s="60"/>
      <c r="K12" s="60"/>
      <c r="L12" s="18">
        <f t="shared" si="0"/>
        <v>1225</v>
      </c>
      <c r="M12" s="18">
        <f>175/2</f>
        <v>87.5</v>
      </c>
      <c r="N12" s="11">
        <f t="shared" si="4"/>
        <v>6.3590116279069769E-2</v>
      </c>
      <c r="O12" s="11"/>
      <c r="P12" s="39">
        <f>Q12*P$7</f>
        <v>295.3125</v>
      </c>
      <c r="Q12" s="39">
        <f>+$M12*CMF</f>
        <v>98.4375</v>
      </c>
      <c r="R12" s="11">
        <f t="shared" si="5"/>
        <v>8.2168196994991657E-2</v>
      </c>
      <c r="S12" s="18"/>
      <c r="T12" s="39">
        <f>U12*T$7</f>
        <v>7185.9375</v>
      </c>
      <c r="U12" s="39">
        <f>+$M12*CMF</f>
        <v>98.4375</v>
      </c>
      <c r="V12" s="11">
        <f t="shared" si="6"/>
        <v>8.8922764227642281E-2</v>
      </c>
      <c r="W12" s="18"/>
      <c r="X12" s="39">
        <f>Y12*X$7</f>
        <v>5709.375</v>
      </c>
      <c r="Y12" s="39">
        <f>+$M12*CMF</f>
        <v>98.4375</v>
      </c>
      <c r="Z12" s="11">
        <f t="shared" si="7"/>
        <v>7.6486013986013984E-2</v>
      </c>
      <c r="AA12" s="18"/>
      <c r="AB12" s="39">
        <f t="shared" si="3"/>
        <v>13190.625</v>
      </c>
      <c r="AC12" s="40">
        <f>+AB12/AB$7</f>
        <v>98.4375</v>
      </c>
      <c r="AD12" s="11">
        <f>+AC12/AC$8</f>
        <v>8.2929654591406915E-2</v>
      </c>
      <c r="AE12" s="18"/>
      <c r="AF12" s="62"/>
      <c r="AG12" s="63" t="s">
        <v>78</v>
      </c>
      <c r="AH12" s="7" t="s">
        <v>81</v>
      </c>
      <c r="AI12" s="8">
        <f t="shared" si="1"/>
        <v>1.5825196811490402E-2</v>
      </c>
      <c r="AJ12" s="9">
        <f>AB12+AB13</f>
        <v>209402.5178571429</v>
      </c>
      <c r="AK12" s="9">
        <f t="shared" si="2"/>
        <v>1562.7053571428576</v>
      </c>
      <c r="AL12" s="11">
        <f t="shared" si="8"/>
        <v>1.3165167288482371</v>
      </c>
    </row>
    <row r="13" spans="1:38" s="7" customFormat="1">
      <c r="A13" s="16" t="s">
        <v>149</v>
      </c>
      <c r="B13" s="7" t="s">
        <v>147</v>
      </c>
      <c r="C13" s="59"/>
      <c r="D13" s="8">
        <f>L13/$L$88</f>
        <v>2.5919301672393792E-2</v>
      </c>
      <c r="E13" s="60" t="s">
        <v>193</v>
      </c>
      <c r="F13" s="60" t="s">
        <v>193</v>
      </c>
      <c r="G13" s="60" t="s">
        <v>193</v>
      </c>
      <c r="H13" s="60" t="s">
        <v>193</v>
      </c>
      <c r="I13" s="60" t="s">
        <v>193</v>
      </c>
      <c r="J13" s="60" t="s">
        <v>193</v>
      </c>
      <c r="K13" s="60" t="s">
        <v>193</v>
      </c>
      <c r="L13" s="18">
        <f t="shared" si="0"/>
        <v>18222</v>
      </c>
      <c r="M13" s="18">
        <f>(6797+11425)/14</f>
        <v>1301.5714285714287</v>
      </c>
      <c r="N13" s="11">
        <f t="shared" si="4"/>
        <v>0.94590946843853829</v>
      </c>
      <c r="O13" s="11"/>
      <c r="P13" s="39">
        <f>Q13*P$7</f>
        <v>4392.8035714285725</v>
      </c>
      <c r="Q13" s="39">
        <f>+$M13*CMF</f>
        <v>1464.2678571428573</v>
      </c>
      <c r="R13" s="11">
        <f t="shared" si="5"/>
        <v>1.2222603148103985</v>
      </c>
      <c r="S13" s="18"/>
      <c r="T13" s="39">
        <f>U13*T$7</f>
        <v>106891.55357142858</v>
      </c>
      <c r="U13" s="39">
        <f>+$M13*CMF</f>
        <v>1464.2678571428573</v>
      </c>
      <c r="V13" s="11">
        <f t="shared" si="6"/>
        <v>1.3227351916376309</v>
      </c>
      <c r="W13" s="18"/>
      <c r="X13" s="39">
        <f>Y13*X$7</f>
        <v>84927.535714285725</v>
      </c>
      <c r="Y13" s="39">
        <f>+$M13*CMF</f>
        <v>1464.2678571428573</v>
      </c>
      <c r="Z13" s="11">
        <f t="shared" si="7"/>
        <v>1.1377372627372628</v>
      </c>
      <c r="AA13" s="18"/>
      <c r="AB13" s="39">
        <f t="shared" si="3"/>
        <v>196211.8928571429</v>
      </c>
      <c r="AC13" s="40">
        <f>+AB13/AB$7</f>
        <v>1464.2678571428576</v>
      </c>
      <c r="AD13" s="11">
        <f>+AC13/AC$8</f>
        <v>1.2335870742568302</v>
      </c>
      <c r="AE13" s="18"/>
      <c r="AF13" s="62"/>
      <c r="AG13" s="63" t="s">
        <v>90</v>
      </c>
      <c r="AH13" s="7" t="s">
        <v>82</v>
      </c>
      <c r="AI13" s="8">
        <f t="shared" si="1"/>
        <v>9.7115279256581616E-2</v>
      </c>
      <c r="AJ13" s="9">
        <f>+AB15</f>
        <v>1285050.9375</v>
      </c>
      <c r="AK13" s="9">
        <f t="shared" si="2"/>
        <v>9589.9323694029845</v>
      </c>
      <c r="AL13" s="11">
        <f t="shared" si="8"/>
        <v>8.079134262344553</v>
      </c>
    </row>
    <row r="14" spans="1:38" s="7" customFormat="1">
      <c r="A14" s="16"/>
      <c r="B14" s="22" t="s">
        <v>4</v>
      </c>
      <c r="C14" s="59"/>
      <c r="E14" s="60"/>
      <c r="F14" s="60"/>
      <c r="G14" s="60"/>
      <c r="H14" s="60"/>
      <c r="I14" s="60"/>
      <c r="J14" s="60"/>
      <c r="K14" s="60"/>
      <c r="L14" s="18"/>
      <c r="M14" s="18"/>
      <c r="N14" s="11"/>
      <c r="O14" s="11"/>
      <c r="P14" s="39"/>
      <c r="Q14" s="39"/>
      <c r="R14" s="11"/>
      <c r="S14" s="18"/>
      <c r="T14" s="39"/>
      <c r="U14" s="39"/>
      <c r="V14" s="11"/>
      <c r="W14" s="18"/>
      <c r="X14" s="39"/>
      <c r="Y14" s="39"/>
      <c r="Z14" s="11"/>
      <c r="AA14" s="18"/>
      <c r="AB14" s="39"/>
      <c r="AC14" s="40"/>
      <c r="AD14" s="11"/>
      <c r="AE14" s="18"/>
      <c r="AF14" s="62"/>
      <c r="AG14" s="63" t="s">
        <v>91</v>
      </c>
      <c r="AH14" s="7" t="s">
        <v>83</v>
      </c>
      <c r="AI14" s="8">
        <f t="shared" si="1"/>
        <v>4.9502910288267116E-2</v>
      </c>
      <c r="AJ14" s="9">
        <f>+AB19+AB20</f>
        <v>655033.5</v>
      </c>
      <c r="AK14" s="9">
        <f t="shared" si="2"/>
        <v>4888.309701492537</v>
      </c>
      <c r="AL14" s="11">
        <f t="shared" si="8"/>
        <v>4.1182053087552966</v>
      </c>
    </row>
    <row r="15" spans="1:38" s="7" customFormat="1">
      <c r="A15" s="16" t="s">
        <v>160</v>
      </c>
      <c r="B15" s="7" t="s">
        <v>5</v>
      </c>
      <c r="C15" s="59"/>
      <c r="D15" s="8">
        <f>L15/$L$88</f>
        <v>2.887508637633597E-3</v>
      </c>
      <c r="E15" s="60" t="s">
        <v>193</v>
      </c>
      <c r="F15" s="60" t="s">
        <v>193</v>
      </c>
      <c r="G15" s="60" t="s">
        <v>193</v>
      </c>
      <c r="H15" s="60" t="s">
        <v>193</v>
      </c>
      <c r="I15" s="60" t="s">
        <v>193</v>
      </c>
      <c r="J15" s="60" t="s">
        <v>193</v>
      </c>
      <c r="K15" s="60" t="s">
        <v>193</v>
      </c>
      <c r="L15" s="18">
        <f t="shared" si="0"/>
        <v>2030</v>
      </c>
      <c r="M15" s="18">
        <f>290/2</f>
        <v>145</v>
      </c>
      <c r="N15" s="11">
        <f t="shared" si="4"/>
        <v>0.10537790697674419</v>
      </c>
      <c r="O15" s="11"/>
      <c r="P15" s="39">
        <f>Q15*P$7</f>
        <v>28679.0625</v>
      </c>
      <c r="Q15" s="39">
        <f>5.5*R8*CMF</f>
        <v>9559.6875</v>
      </c>
      <c r="R15" s="11">
        <f t="shared" si="5"/>
        <v>7.9797057595993319</v>
      </c>
      <c r="S15" s="18"/>
      <c r="T15" s="39">
        <f>U15*T$7</f>
        <v>700115.625</v>
      </c>
      <c r="U15" s="39">
        <f>5.5*1550*CMF</f>
        <v>9590.625</v>
      </c>
      <c r="V15" s="11">
        <f t="shared" si="6"/>
        <v>8.6636178861788622</v>
      </c>
      <c r="W15" s="18"/>
      <c r="X15" s="39">
        <f>Y15*X$7</f>
        <v>556256.25</v>
      </c>
      <c r="Y15" s="39">
        <f>5.5*1550*CMF</f>
        <v>9590.625</v>
      </c>
      <c r="Z15" s="11">
        <f t="shared" si="7"/>
        <v>7.4519230769230766</v>
      </c>
      <c r="AA15" s="18"/>
      <c r="AB15" s="39">
        <f t="shared" si="3"/>
        <v>1285050.9375</v>
      </c>
      <c r="AC15" s="40">
        <f>+AB15/AB$7</f>
        <v>9589.9323694029845</v>
      </c>
      <c r="AD15" s="11">
        <f>+AC15/AC$8</f>
        <v>8.079134262344553</v>
      </c>
      <c r="AE15" s="18"/>
      <c r="AF15" s="62"/>
      <c r="AG15" s="63" t="s">
        <v>92</v>
      </c>
      <c r="AH15" s="7" t="s">
        <v>88</v>
      </c>
      <c r="AI15" s="8">
        <f t="shared" si="1"/>
        <v>0.1627604005656198</v>
      </c>
      <c r="AJ15" s="9">
        <f>SUM(AB23:AB25)+SUM(AB28:AB32)+AB35</f>
        <v>2153681.7577605899</v>
      </c>
      <c r="AK15" s="9">
        <f t="shared" si="2"/>
        <v>16072.251923586493</v>
      </c>
      <c r="AL15" s="11">
        <f t="shared" si="8"/>
        <v>13.540229084740094</v>
      </c>
    </row>
    <row r="16" spans="1:38" s="7" customFormat="1">
      <c r="A16" s="16" t="s">
        <v>160</v>
      </c>
      <c r="B16" s="7" t="s">
        <v>6</v>
      </c>
      <c r="C16" s="59"/>
      <c r="D16" s="8">
        <f>L16/$L$88</f>
        <v>2.5937793107019033E-2</v>
      </c>
      <c r="E16" s="60" t="s">
        <v>193</v>
      </c>
      <c r="F16" s="60" t="s">
        <v>193</v>
      </c>
      <c r="G16" s="60" t="s">
        <v>193</v>
      </c>
      <c r="H16" s="60" t="s">
        <v>193</v>
      </c>
      <c r="I16" s="60" t="s">
        <v>193</v>
      </c>
      <c r="J16" s="60" t="s">
        <v>193</v>
      </c>
      <c r="K16" s="60" t="s">
        <v>193</v>
      </c>
      <c r="L16" s="18">
        <f t="shared" si="0"/>
        <v>18235</v>
      </c>
      <c r="M16" s="18">
        <f>2605/2</f>
        <v>1302.5</v>
      </c>
      <c r="N16" s="11">
        <f t="shared" si="4"/>
        <v>0.94658430232558144</v>
      </c>
      <c r="O16" s="11"/>
      <c r="P16" s="39"/>
      <c r="Q16" s="39"/>
      <c r="R16" s="11">
        <f t="shared" si="5"/>
        <v>0</v>
      </c>
      <c r="S16" s="18"/>
      <c r="T16" s="39"/>
      <c r="U16" s="39"/>
      <c r="V16" s="11">
        <f t="shared" si="6"/>
        <v>0</v>
      </c>
      <c r="W16" s="18"/>
      <c r="X16" s="39"/>
      <c r="Y16" s="39"/>
      <c r="Z16" s="11">
        <f t="shared" si="7"/>
        <v>0</v>
      </c>
      <c r="AA16" s="18"/>
      <c r="AB16" s="39">
        <f t="shared" si="3"/>
        <v>0</v>
      </c>
      <c r="AC16" s="40">
        <f>+AB16/AB$7</f>
        <v>0</v>
      </c>
      <c r="AD16" s="11">
        <f>+AC16/AC$8</f>
        <v>0</v>
      </c>
      <c r="AE16" s="18"/>
      <c r="AF16" s="62"/>
      <c r="AG16" s="63" t="s">
        <v>93</v>
      </c>
      <c r="AH16" s="7" t="s">
        <v>87</v>
      </c>
      <c r="AI16" s="8">
        <f t="shared" si="1"/>
        <v>8.0450661475673854E-3</v>
      </c>
      <c r="AJ16" s="9">
        <f>AB40+AB41</f>
        <v>106454.10149999999</v>
      </c>
      <c r="AK16" s="9">
        <f t="shared" si="2"/>
        <v>794.43359328358201</v>
      </c>
      <c r="AL16" s="11">
        <f t="shared" si="8"/>
        <v>0.66927851161211627</v>
      </c>
    </row>
    <row r="17" spans="1:38" s="7" customFormat="1">
      <c r="A17" s="16" t="s">
        <v>160</v>
      </c>
      <c r="B17" s="7" t="s">
        <v>7</v>
      </c>
      <c r="C17" s="59"/>
      <c r="D17" s="8">
        <f>L17/$L$88</f>
        <v>7.4955741462433501E-2</v>
      </c>
      <c r="E17" s="60" t="s">
        <v>193</v>
      </c>
      <c r="F17" s="60" t="s">
        <v>193</v>
      </c>
      <c r="G17" s="60" t="s">
        <v>193</v>
      </c>
      <c r="H17" s="60" t="s">
        <v>193</v>
      </c>
      <c r="I17" s="60" t="s">
        <v>193</v>
      </c>
      <c r="J17" s="60" t="s">
        <v>193</v>
      </c>
      <c r="K17" s="60" t="s">
        <v>193</v>
      </c>
      <c r="L17" s="18">
        <f t="shared" si="0"/>
        <v>52696</v>
      </c>
      <c r="M17" s="18">
        <f>7528/2</f>
        <v>3764</v>
      </c>
      <c r="N17" s="11">
        <f t="shared" si="4"/>
        <v>2.73546511627907</v>
      </c>
      <c r="O17" s="11"/>
      <c r="P17" s="39"/>
      <c r="Q17" s="39"/>
      <c r="R17" s="11">
        <f t="shared" si="5"/>
        <v>0</v>
      </c>
      <c r="S17" s="18"/>
      <c r="T17" s="39"/>
      <c r="U17" s="39"/>
      <c r="V17" s="11">
        <f t="shared" si="6"/>
        <v>0</v>
      </c>
      <c r="W17" s="18"/>
      <c r="X17" s="39"/>
      <c r="Y17" s="39"/>
      <c r="Z17" s="11">
        <f t="shared" si="7"/>
        <v>0</v>
      </c>
      <c r="AA17" s="18"/>
      <c r="AB17" s="39">
        <f t="shared" si="3"/>
        <v>0</v>
      </c>
      <c r="AC17" s="40">
        <f>+AB17/AB$7</f>
        <v>0</v>
      </c>
      <c r="AD17" s="11">
        <f>+AC17/AC$8</f>
        <v>0</v>
      </c>
      <c r="AE17" s="18"/>
      <c r="AF17" s="62"/>
      <c r="AG17" s="63" t="s">
        <v>94</v>
      </c>
      <c r="AH17" s="7" t="s">
        <v>89</v>
      </c>
      <c r="AI17" s="8">
        <f t="shared" si="1"/>
        <v>1.667706246294437E-2</v>
      </c>
      <c r="AJ17" s="9">
        <f>AB26+AB33</f>
        <v>220674.5932957849</v>
      </c>
      <c r="AK17" s="9">
        <f t="shared" si="2"/>
        <v>1646.8253231028723</v>
      </c>
      <c r="AL17" s="11">
        <f t="shared" si="8"/>
        <v>1.3873844339535573</v>
      </c>
    </row>
    <row r="18" spans="1:38" s="7" customFormat="1">
      <c r="A18" s="16"/>
      <c r="B18" s="22" t="s">
        <v>8</v>
      </c>
      <c r="C18" s="59"/>
      <c r="E18" s="60"/>
      <c r="F18" s="60"/>
      <c r="G18" s="60"/>
      <c r="H18" s="60"/>
      <c r="I18" s="60"/>
      <c r="J18" s="60"/>
      <c r="K18" s="60"/>
      <c r="L18" s="18">
        <f t="shared" si="0"/>
        <v>0</v>
      </c>
      <c r="M18" s="18"/>
      <c r="N18" s="11">
        <f t="shared" si="4"/>
        <v>0</v>
      </c>
      <c r="O18" s="11"/>
      <c r="P18" s="39"/>
      <c r="Q18" s="39"/>
      <c r="R18" s="11"/>
      <c r="S18" s="18"/>
      <c r="T18" s="39"/>
      <c r="U18" s="39"/>
      <c r="V18" s="11"/>
      <c r="W18" s="18"/>
      <c r="X18" s="39"/>
      <c r="Y18" s="39"/>
      <c r="Z18" s="11"/>
      <c r="AA18" s="18"/>
      <c r="AB18" s="39"/>
      <c r="AC18" s="40"/>
      <c r="AD18" s="11"/>
      <c r="AE18" s="18"/>
      <c r="AF18" s="62"/>
      <c r="AG18" s="63" t="s">
        <v>95</v>
      </c>
      <c r="AH18" s="7" t="s">
        <v>84</v>
      </c>
      <c r="AI18" s="8">
        <f t="shared" si="1"/>
        <v>6.7344131474578678E-3</v>
      </c>
      <c r="AJ18" s="9">
        <f>+AB34</f>
        <v>89111.25</v>
      </c>
      <c r="AK18" s="9">
        <f t="shared" si="2"/>
        <v>665.0093283582089</v>
      </c>
      <c r="AL18" s="11">
        <f t="shared" si="8"/>
        <v>0.56024374756378181</v>
      </c>
    </row>
    <row r="19" spans="1:38" s="7" customFormat="1">
      <c r="A19" s="16" t="s">
        <v>161</v>
      </c>
      <c r="B19" s="7" t="s">
        <v>9</v>
      </c>
      <c r="C19" s="59">
        <v>0.33300000000000002</v>
      </c>
      <c r="D19" s="8">
        <f>L19/$L$88</f>
        <v>4.5433454874214144E-2</v>
      </c>
      <c r="E19" s="60" t="s">
        <v>193</v>
      </c>
      <c r="F19" s="60" t="s">
        <v>193</v>
      </c>
      <c r="G19" s="60" t="s">
        <v>193</v>
      </c>
      <c r="H19" s="60" t="s">
        <v>193</v>
      </c>
      <c r="I19" s="60" t="s">
        <v>193</v>
      </c>
      <c r="J19" s="60" t="s">
        <v>193</v>
      </c>
      <c r="K19" s="60" t="s">
        <v>193</v>
      </c>
      <c r="L19" s="18">
        <f t="shared" si="0"/>
        <v>31941</v>
      </c>
      <c r="M19" s="18">
        <f>4563/2</f>
        <v>2281.5</v>
      </c>
      <c r="N19" s="11">
        <f t="shared" si="4"/>
        <v>1.6580668604651163</v>
      </c>
      <c r="O19" s="11"/>
      <c r="P19" s="39">
        <f t="shared" ref="P19:P79" si="9">Q19*P$7</f>
        <v>6849.5625</v>
      </c>
      <c r="Q19" s="39">
        <f>(13500+300-1500)/2*0.33*CMF</f>
        <v>2283.1875</v>
      </c>
      <c r="R19" s="11">
        <f t="shared" si="5"/>
        <v>1.9058326377295491</v>
      </c>
      <c r="S19" s="18"/>
      <c r="T19" s="39">
        <f t="shared" ref="T19:T79" si="10">U19*T$7</f>
        <v>172092.9375</v>
      </c>
      <c r="U19" s="39">
        <f>(13500+300-1100)/2*0.33*CMF</f>
        <v>2357.4375</v>
      </c>
      <c r="V19" s="11">
        <f t="shared" si="6"/>
        <v>2.1295731707317072</v>
      </c>
      <c r="W19" s="18"/>
      <c r="X19" s="39">
        <f t="shared" ref="X19:X79" si="11">Y19*X$7</f>
        <v>148574.25</v>
      </c>
      <c r="Y19" s="39">
        <f>(13500+300)/2*0.33*CMF</f>
        <v>2561.625</v>
      </c>
      <c r="Z19" s="11">
        <f t="shared" si="7"/>
        <v>1.9903846153846154</v>
      </c>
      <c r="AA19" s="18"/>
      <c r="AB19" s="39">
        <f t="shared" si="3"/>
        <v>327516.75</v>
      </c>
      <c r="AC19" s="40">
        <f>+AB19/AB$7</f>
        <v>2444.1548507462685</v>
      </c>
      <c r="AD19" s="11">
        <f>+AC19/AC$8</f>
        <v>2.0591026543776483</v>
      </c>
      <c r="AE19" s="18"/>
      <c r="AF19" s="62"/>
      <c r="AG19" s="63" t="s">
        <v>96</v>
      </c>
      <c r="AH19" s="7" t="s">
        <v>85</v>
      </c>
      <c r="AI19" s="8">
        <f t="shared" si="1"/>
        <v>1.1153618687298798E-2</v>
      </c>
      <c r="AJ19" s="9">
        <f>+AB62</f>
        <v>147587.15889353197</v>
      </c>
      <c r="AK19" s="9">
        <f t="shared" si="2"/>
        <v>1101.3967081606863</v>
      </c>
      <c r="AL19" s="11">
        <f t="shared" si="8"/>
        <v>0.92788265219939881</v>
      </c>
    </row>
    <row r="20" spans="1:38" s="7" customFormat="1" ht="12.75" thickBot="1">
      <c r="A20" s="16" t="s">
        <v>162</v>
      </c>
      <c r="B20" s="7" t="s">
        <v>10</v>
      </c>
      <c r="C20" s="59">
        <v>0.33300000000000002</v>
      </c>
      <c r="D20" s="8">
        <f>L20/$L$88</f>
        <v>4.5433454874214144E-2</v>
      </c>
      <c r="E20" s="60" t="s">
        <v>193</v>
      </c>
      <c r="F20" s="60" t="s">
        <v>193</v>
      </c>
      <c r="G20" s="60" t="s">
        <v>193</v>
      </c>
      <c r="H20" s="60" t="s">
        <v>193</v>
      </c>
      <c r="I20" s="60" t="s">
        <v>193</v>
      </c>
      <c r="J20" s="60" t="s">
        <v>193</v>
      </c>
      <c r="K20" s="60" t="s">
        <v>193</v>
      </c>
      <c r="L20" s="18">
        <f t="shared" si="0"/>
        <v>31941</v>
      </c>
      <c r="M20" s="18">
        <f>4563/2</f>
        <v>2281.5</v>
      </c>
      <c r="N20" s="11">
        <f t="shared" si="4"/>
        <v>1.6580668604651163</v>
      </c>
      <c r="O20" s="11"/>
      <c r="P20" s="39">
        <f t="shared" si="9"/>
        <v>6849.5625</v>
      </c>
      <c r="Q20" s="39">
        <f>(13500+300-1500)/2*0.33*CMF</f>
        <v>2283.1875</v>
      </c>
      <c r="R20" s="11">
        <f t="shared" si="5"/>
        <v>1.9058326377295491</v>
      </c>
      <c r="S20" s="18"/>
      <c r="T20" s="39">
        <f t="shared" si="10"/>
        <v>172092.9375</v>
      </c>
      <c r="U20" s="39">
        <f>(13500+300-1100)/2*0.33*CMF</f>
        <v>2357.4375</v>
      </c>
      <c r="V20" s="11">
        <f t="shared" si="6"/>
        <v>2.1295731707317072</v>
      </c>
      <c r="W20" s="18"/>
      <c r="X20" s="39">
        <f t="shared" si="11"/>
        <v>148574.25</v>
      </c>
      <c r="Y20" s="39">
        <f>(13500+300)/2*0.33*CMF</f>
        <v>2561.625</v>
      </c>
      <c r="Z20" s="11">
        <f t="shared" si="7"/>
        <v>1.9903846153846154</v>
      </c>
      <c r="AA20" s="18"/>
      <c r="AB20" s="39">
        <f t="shared" si="3"/>
        <v>327516.75</v>
      </c>
      <c r="AC20" s="40">
        <f>+AB20/AB$7</f>
        <v>2444.1548507462685</v>
      </c>
      <c r="AD20" s="11">
        <f>+AC20/AC$8</f>
        <v>2.0591026543776483</v>
      </c>
      <c r="AE20" s="18"/>
      <c r="AF20" s="62"/>
      <c r="AG20" s="63" t="s">
        <v>97</v>
      </c>
      <c r="AH20" s="12" t="s">
        <v>86</v>
      </c>
      <c r="AI20" s="8">
        <f t="shared" si="1"/>
        <v>1.7675964928121436E-2</v>
      </c>
      <c r="AJ20" s="9">
        <f>AB43+AB44</f>
        <v>233892.29250000004</v>
      </c>
      <c r="AK20" s="9">
        <f t="shared" si="2"/>
        <v>1745.4648694029854</v>
      </c>
      <c r="AL20" s="11">
        <f t="shared" si="8"/>
        <v>1.4704843044675531</v>
      </c>
    </row>
    <row r="21" spans="1:38" s="7" customFormat="1" ht="12.75" thickBot="1">
      <c r="A21" s="16" t="s">
        <v>162</v>
      </c>
      <c r="B21" s="7" t="s">
        <v>11</v>
      </c>
      <c r="C21" s="59">
        <v>0.33300000000000002</v>
      </c>
      <c r="D21" s="8">
        <f>L21/$L$88</f>
        <v>4.5433454874214144E-2</v>
      </c>
      <c r="E21" s="60" t="s">
        <v>193</v>
      </c>
      <c r="F21" s="60" t="s">
        <v>193</v>
      </c>
      <c r="G21" s="64"/>
      <c r="H21" s="60" t="s">
        <v>193</v>
      </c>
      <c r="I21" s="60" t="s">
        <v>193</v>
      </c>
      <c r="J21" s="64"/>
      <c r="K21" s="65" t="s">
        <v>193</v>
      </c>
      <c r="L21" s="18">
        <f t="shared" si="0"/>
        <v>31941</v>
      </c>
      <c r="M21" s="18">
        <f>4563/2</f>
        <v>2281.5</v>
      </c>
      <c r="N21" s="11">
        <f t="shared" si="4"/>
        <v>1.6580668604651163</v>
      </c>
      <c r="O21" s="11"/>
      <c r="P21" s="39">
        <f t="shared" si="9"/>
        <v>6849.5625</v>
      </c>
      <c r="Q21" s="39">
        <f>(13500+300-1500)/2*0.33*CMF</f>
        <v>2283.1875</v>
      </c>
      <c r="R21" s="11">
        <f t="shared" si="5"/>
        <v>1.9058326377295491</v>
      </c>
      <c r="S21" s="18"/>
      <c r="T21" s="39">
        <f t="shared" si="10"/>
        <v>172092.9375</v>
      </c>
      <c r="U21" s="39">
        <f>(13500+300-1100)/2*0.33*CMF</f>
        <v>2357.4375</v>
      </c>
      <c r="V21" s="11">
        <f t="shared" si="6"/>
        <v>2.1295731707317072</v>
      </c>
      <c r="W21" s="18"/>
      <c r="X21" s="39">
        <f t="shared" si="11"/>
        <v>148574.25</v>
      </c>
      <c r="Y21" s="39">
        <f>(13500+300)/2*0.33*CMF</f>
        <v>2561.625</v>
      </c>
      <c r="Z21" s="11">
        <f t="shared" si="7"/>
        <v>1.9903846153846154</v>
      </c>
      <c r="AA21" s="18"/>
      <c r="AB21" s="39">
        <f t="shared" si="3"/>
        <v>327516.75</v>
      </c>
      <c r="AC21" s="40">
        <f>+AB21/AB$7</f>
        <v>2444.1548507462685</v>
      </c>
      <c r="AD21" s="11">
        <f>+AC21/AC$8</f>
        <v>2.0591026543776483</v>
      </c>
      <c r="AE21" s="18"/>
      <c r="AF21" s="62"/>
      <c r="AG21" s="63" t="s">
        <v>98</v>
      </c>
      <c r="AH21" s="7" t="s">
        <v>126</v>
      </c>
      <c r="AI21" s="8">
        <f t="shared" si="1"/>
        <v>1.3522473747207692E-2</v>
      </c>
      <c r="AJ21" s="9">
        <f>AB50</f>
        <v>178932.375</v>
      </c>
      <c r="AK21" s="9">
        <f t="shared" si="2"/>
        <v>1335.3162313432836</v>
      </c>
      <c r="AL21" s="11">
        <f t="shared" si="8"/>
        <v>1.1249504897584528</v>
      </c>
    </row>
    <row r="22" spans="1:38" s="7" customFormat="1">
      <c r="A22" s="16"/>
      <c r="B22" s="22" t="s">
        <v>12</v>
      </c>
      <c r="C22" s="59"/>
      <c r="E22" s="60"/>
      <c r="F22" s="60"/>
      <c r="G22" s="60"/>
      <c r="H22" s="60"/>
      <c r="I22" s="60"/>
      <c r="J22" s="60"/>
      <c r="K22" s="60"/>
      <c r="L22" s="18"/>
      <c r="M22" s="18"/>
      <c r="N22" s="11">
        <f t="shared" si="4"/>
        <v>0</v>
      </c>
      <c r="O22" s="11"/>
      <c r="P22" s="39"/>
      <c r="Q22" s="39"/>
      <c r="R22" s="11"/>
      <c r="S22" s="18"/>
      <c r="T22" s="39"/>
      <c r="U22" s="39"/>
      <c r="V22" s="11"/>
      <c r="W22" s="18"/>
      <c r="X22" s="39"/>
      <c r="Y22" s="39"/>
      <c r="Z22" s="11"/>
      <c r="AA22" s="18"/>
      <c r="AB22" s="39"/>
      <c r="AC22" s="40"/>
      <c r="AD22" s="11"/>
      <c r="AE22" s="18"/>
      <c r="AF22" s="62"/>
      <c r="AG22" s="63" t="s">
        <v>99</v>
      </c>
      <c r="AH22" s="7" t="s">
        <v>127</v>
      </c>
      <c r="AI22" s="8">
        <f t="shared" si="1"/>
        <v>1.3522473747207692E-2</v>
      </c>
      <c r="AJ22" s="9">
        <f>AB51</f>
        <v>178932.375</v>
      </c>
      <c r="AK22" s="9">
        <f t="shared" si="2"/>
        <v>1335.3162313432836</v>
      </c>
      <c r="AL22" s="11">
        <f t="shared" si="8"/>
        <v>1.1249504897584528</v>
      </c>
    </row>
    <row r="23" spans="1:38" s="7" customFormat="1">
      <c r="A23" s="16" t="s">
        <v>163</v>
      </c>
      <c r="B23" s="7" t="s">
        <v>13</v>
      </c>
      <c r="C23" s="59">
        <v>0.15</v>
      </c>
      <c r="D23" s="8">
        <f>L23/$L$88</f>
        <v>1.4487327819851322E-2</v>
      </c>
      <c r="E23" s="60" t="s">
        <v>193</v>
      </c>
      <c r="F23" s="60" t="s">
        <v>193</v>
      </c>
      <c r="G23" s="60" t="s">
        <v>193</v>
      </c>
      <c r="H23" s="60" t="s">
        <v>193</v>
      </c>
      <c r="I23" s="60" t="s">
        <v>193</v>
      </c>
      <c r="J23" s="60" t="s">
        <v>193</v>
      </c>
      <c r="K23" s="60" t="s">
        <v>193</v>
      </c>
      <c r="L23" s="18">
        <f t="shared" si="0"/>
        <v>10185</v>
      </c>
      <c r="M23" s="18">
        <f>1455/2</f>
        <v>727.5</v>
      </c>
      <c r="N23" s="11">
        <f t="shared" si="4"/>
        <v>0.52870639534883723</v>
      </c>
      <c r="O23" s="11"/>
      <c r="P23" s="39">
        <f t="shared" si="9"/>
        <v>2137.6921329941861</v>
      </c>
      <c r="Q23" s="39">
        <f>Q$8*$N23*CMF</f>
        <v>712.56404433139528</v>
      </c>
      <c r="R23" s="11">
        <f t="shared" si="5"/>
        <v>0.59479469476744184</v>
      </c>
      <c r="S23" s="18"/>
      <c r="T23" s="39">
        <f t="shared" si="10"/>
        <v>48065.954078851748</v>
      </c>
      <c r="U23" s="39">
        <f>U$8*$N23*CMF</f>
        <v>658.4377271075582</v>
      </c>
      <c r="V23" s="11">
        <f t="shared" si="6"/>
        <v>0.59479469476744196</v>
      </c>
      <c r="W23" s="18"/>
      <c r="X23" s="39">
        <f t="shared" si="11"/>
        <v>44399.044785610466</v>
      </c>
      <c r="Y23" s="39">
        <f>Y$8*$N23*CMF</f>
        <v>765.50077216569764</v>
      </c>
      <c r="Z23" s="11">
        <f t="shared" si="7"/>
        <v>0.59479469476744184</v>
      </c>
      <c r="AA23" s="18"/>
      <c r="AB23" s="39">
        <f t="shared" si="3"/>
        <v>94602.690997456404</v>
      </c>
      <c r="AC23" s="40">
        <f>+AB23/AB$7</f>
        <v>705.99023132430148</v>
      </c>
      <c r="AD23" s="11">
        <f>+AC23/AC$8</f>
        <v>0.59476851838610068</v>
      </c>
      <c r="AE23" s="18"/>
      <c r="AF23" s="62"/>
      <c r="AG23" s="63" t="s">
        <v>100</v>
      </c>
      <c r="AH23" s="7" t="s">
        <v>128</v>
      </c>
      <c r="AI23" s="8">
        <f t="shared" si="1"/>
        <v>1.1494102685126538E-2</v>
      </c>
      <c r="AJ23" s="15">
        <f>AB52</f>
        <v>152092.51874999999</v>
      </c>
      <c r="AK23" s="9">
        <f t="shared" si="2"/>
        <v>1135.0187966417909</v>
      </c>
      <c r="AL23" s="11">
        <f t="shared" si="8"/>
        <v>0.95620791629468493</v>
      </c>
    </row>
    <row r="24" spans="1:38" s="7" customFormat="1">
      <c r="A24" s="16" t="s">
        <v>163</v>
      </c>
      <c r="B24" s="7" t="s">
        <v>14</v>
      </c>
      <c r="C24" s="59">
        <v>0.25</v>
      </c>
      <c r="D24" s="8">
        <f>L24/$L$88</f>
        <v>2.4145546366418868E-2</v>
      </c>
      <c r="E24" s="60" t="s">
        <v>193</v>
      </c>
      <c r="F24" s="60" t="s">
        <v>193</v>
      </c>
      <c r="G24" s="60" t="s">
        <v>193</v>
      </c>
      <c r="H24" s="60" t="s">
        <v>193</v>
      </c>
      <c r="I24" s="60" t="s">
        <v>193</v>
      </c>
      <c r="J24" s="60" t="s">
        <v>193</v>
      </c>
      <c r="K24" s="60" t="s">
        <v>193</v>
      </c>
      <c r="L24" s="18">
        <f t="shared" si="0"/>
        <v>16975</v>
      </c>
      <c r="M24" s="18">
        <f>2425/2</f>
        <v>1212.5</v>
      </c>
      <c r="N24" s="11">
        <f t="shared" si="4"/>
        <v>0.88117732558139539</v>
      </c>
      <c r="O24" s="11"/>
      <c r="P24" s="39">
        <f t="shared" si="9"/>
        <v>3562.8202216569771</v>
      </c>
      <c r="Q24" s="39">
        <f t="shared" ref="Q24:Q33" si="12">Q$8*$N24*CMF</f>
        <v>1187.6067405523256</v>
      </c>
      <c r="R24" s="11">
        <f t="shared" si="5"/>
        <v>0.99132449127906985</v>
      </c>
      <c r="S24" s="18"/>
      <c r="T24" s="39">
        <f t="shared" si="10"/>
        <v>80109.923464752908</v>
      </c>
      <c r="U24" s="39">
        <f t="shared" ref="U24:U33" si="13">U$8*$N24*CMF</f>
        <v>1097.3962118459303</v>
      </c>
      <c r="V24" s="11">
        <f t="shared" si="6"/>
        <v>0.99132449127906985</v>
      </c>
      <c r="W24" s="18"/>
      <c r="X24" s="39">
        <f t="shared" si="11"/>
        <v>73998.40797601745</v>
      </c>
      <c r="Y24" s="39">
        <f t="shared" ref="Y24:Y33" si="14">Y$8*$N24*CMF</f>
        <v>1275.8346202761629</v>
      </c>
      <c r="Z24" s="11">
        <f t="shared" si="7"/>
        <v>0.99132449127906985</v>
      </c>
      <c r="AA24" s="18"/>
      <c r="AB24" s="39">
        <f t="shared" si="3"/>
        <v>157671.15166242735</v>
      </c>
      <c r="AC24" s="40">
        <f>+AB24/AB$7</f>
        <v>1176.6503855405026</v>
      </c>
      <c r="AD24" s="11">
        <f>+AC24/AC$8</f>
        <v>0.99128086397683457</v>
      </c>
      <c r="AE24" s="18"/>
      <c r="AF24" s="62"/>
      <c r="AG24" s="63" t="s">
        <v>101</v>
      </c>
      <c r="AH24" s="7" t="s">
        <v>129</v>
      </c>
      <c r="AI24" s="7" t="s">
        <v>140</v>
      </c>
      <c r="AJ24" s="9"/>
      <c r="AK24" s="9">
        <f t="shared" si="2"/>
        <v>0</v>
      </c>
      <c r="AL24" s="11">
        <f t="shared" si="8"/>
        <v>0</v>
      </c>
    </row>
    <row r="25" spans="1:38" s="7" customFormat="1">
      <c r="A25" s="16" t="s">
        <v>163</v>
      </c>
      <c r="B25" s="7" t="s">
        <v>15</v>
      </c>
      <c r="C25" s="59">
        <v>0.25</v>
      </c>
      <c r="D25" s="8">
        <f>L25/$L$88</f>
        <v>2.4145546366418868E-2</v>
      </c>
      <c r="E25" s="60" t="s">
        <v>193</v>
      </c>
      <c r="F25" s="60" t="s">
        <v>193</v>
      </c>
      <c r="G25" s="60" t="s">
        <v>193</v>
      </c>
      <c r="H25" s="60" t="s">
        <v>193</v>
      </c>
      <c r="I25" s="60" t="s">
        <v>193</v>
      </c>
      <c r="J25" s="60" t="s">
        <v>193</v>
      </c>
      <c r="K25" s="60" t="s">
        <v>193</v>
      </c>
      <c r="L25" s="18">
        <f t="shared" si="0"/>
        <v>16975</v>
      </c>
      <c r="M25" s="18">
        <f>2425/2</f>
        <v>1212.5</v>
      </c>
      <c r="N25" s="11">
        <f t="shared" si="4"/>
        <v>0.88117732558139539</v>
      </c>
      <c r="O25" s="11"/>
      <c r="P25" s="39">
        <f t="shared" si="9"/>
        <v>3562.8202216569771</v>
      </c>
      <c r="Q25" s="39">
        <f t="shared" si="12"/>
        <v>1187.6067405523256</v>
      </c>
      <c r="R25" s="11">
        <f t="shared" si="5"/>
        <v>0.99132449127906985</v>
      </c>
      <c r="S25" s="18"/>
      <c r="T25" s="39">
        <f t="shared" si="10"/>
        <v>80109.923464752908</v>
      </c>
      <c r="U25" s="39">
        <f t="shared" si="13"/>
        <v>1097.3962118459303</v>
      </c>
      <c r="V25" s="11">
        <f t="shared" si="6"/>
        <v>0.99132449127906985</v>
      </c>
      <c r="W25" s="18"/>
      <c r="X25" s="39">
        <f t="shared" si="11"/>
        <v>73998.40797601745</v>
      </c>
      <c r="Y25" s="39">
        <f t="shared" si="14"/>
        <v>1275.8346202761629</v>
      </c>
      <c r="Z25" s="11">
        <f t="shared" si="7"/>
        <v>0.99132449127906985</v>
      </c>
      <c r="AA25" s="18"/>
      <c r="AB25" s="39">
        <f t="shared" si="3"/>
        <v>157671.15166242735</v>
      </c>
      <c r="AC25" s="40">
        <f>+AB25/AB$7</f>
        <v>1176.6503855405026</v>
      </c>
      <c r="AD25" s="11">
        <f>+AC25/AC$8</f>
        <v>0.99128086397683457</v>
      </c>
      <c r="AE25" s="18"/>
      <c r="AF25" s="62"/>
      <c r="AG25" s="63" t="s">
        <v>102</v>
      </c>
      <c r="AH25" s="7" t="s">
        <v>130</v>
      </c>
      <c r="AI25" s="8">
        <f t="shared" ref="AI25:AI47" si="15">AJ25/$AJ$48</f>
        <v>2.4751455144133558E-2</v>
      </c>
      <c r="AJ25" s="9">
        <f>+AB21</f>
        <v>327516.75</v>
      </c>
      <c r="AK25" s="9">
        <f t="shared" si="2"/>
        <v>2444.1548507462685</v>
      </c>
      <c r="AL25" s="11">
        <f t="shared" si="8"/>
        <v>2.0591026543776483</v>
      </c>
    </row>
    <row r="26" spans="1:38" s="7" customFormat="1">
      <c r="A26" s="16" t="s">
        <v>164</v>
      </c>
      <c r="B26" s="7" t="s">
        <v>16</v>
      </c>
      <c r="C26" s="59">
        <v>0.35</v>
      </c>
      <c r="D26" s="8">
        <f>L26/$L$88</f>
        <v>3.379380798664975E-2</v>
      </c>
      <c r="E26" s="60" t="s">
        <v>193</v>
      </c>
      <c r="F26" s="60" t="s">
        <v>193</v>
      </c>
      <c r="G26" s="60" t="s">
        <v>193</v>
      </c>
      <c r="H26" s="60" t="s">
        <v>193</v>
      </c>
      <c r="I26" s="60" t="s">
        <v>193</v>
      </c>
      <c r="J26" s="60" t="s">
        <v>193</v>
      </c>
      <c r="K26" s="60" t="s">
        <v>193</v>
      </c>
      <c r="L26" s="18">
        <f t="shared" si="0"/>
        <v>23758</v>
      </c>
      <c r="M26" s="18">
        <f>3394/2</f>
        <v>1697</v>
      </c>
      <c r="N26" s="11">
        <f t="shared" si="4"/>
        <v>1.2332848837209303</v>
      </c>
      <c r="O26" s="11"/>
      <c r="P26" s="39">
        <f t="shared" si="9"/>
        <v>4986.4791061046508</v>
      </c>
      <c r="Q26" s="39">
        <f t="shared" si="12"/>
        <v>1662.1597020348836</v>
      </c>
      <c r="R26" s="11">
        <f t="shared" si="5"/>
        <v>1.3874454941860463</v>
      </c>
      <c r="S26" s="18"/>
      <c r="T26" s="39">
        <f t="shared" si="10"/>
        <v>112120.85783066862</v>
      </c>
      <c r="U26" s="39">
        <f t="shared" si="13"/>
        <v>1535.9021620639537</v>
      </c>
      <c r="V26" s="11">
        <f t="shared" si="6"/>
        <v>1.3874454941860468</v>
      </c>
      <c r="W26" s="18"/>
      <c r="X26" s="39">
        <f t="shared" si="11"/>
        <v>103567.25635901163</v>
      </c>
      <c r="Y26" s="39">
        <f t="shared" si="14"/>
        <v>1785.642351017442</v>
      </c>
      <c r="Z26" s="11">
        <f t="shared" si="7"/>
        <v>1.3874454941860466</v>
      </c>
      <c r="AA26" s="18"/>
      <c r="AB26" s="39">
        <f t="shared" si="3"/>
        <v>220674.5932957849</v>
      </c>
      <c r="AC26" s="40">
        <f>+AB26/AB$7</f>
        <v>1646.8253231028723</v>
      </c>
      <c r="AD26" s="11">
        <f>+AC26/AC$8</f>
        <v>1.387384433953557</v>
      </c>
      <c r="AE26" s="18"/>
      <c r="AF26" s="62"/>
      <c r="AG26" s="63" t="s">
        <v>103</v>
      </c>
      <c r="AH26" s="7" t="s">
        <v>139</v>
      </c>
      <c r="AI26" s="8">
        <f t="shared" si="15"/>
        <v>4.6994658089349025E-3</v>
      </c>
      <c r="AJ26" s="7">
        <f>+AB37+AB38</f>
        <v>62184.375</v>
      </c>
      <c r="AK26" s="9">
        <f t="shared" si="2"/>
        <v>464.0625</v>
      </c>
      <c r="AL26" s="11">
        <f t="shared" si="8"/>
        <v>0.39095408593091829</v>
      </c>
    </row>
    <row r="27" spans="1:38" s="7" customFormat="1">
      <c r="A27" s="16"/>
      <c r="B27" s="22" t="s">
        <v>17</v>
      </c>
      <c r="C27" s="59"/>
      <c r="E27" s="66"/>
      <c r="F27" s="66"/>
      <c r="G27" s="66"/>
      <c r="H27" s="66"/>
      <c r="I27" s="66"/>
      <c r="J27" s="66"/>
      <c r="K27" s="66"/>
      <c r="L27" s="18"/>
      <c r="M27" s="18"/>
      <c r="N27" s="11"/>
      <c r="O27" s="11"/>
      <c r="P27" s="39"/>
      <c r="Q27" s="67"/>
      <c r="R27" s="11"/>
      <c r="S27" s="18"/>
      <c r="T27" s="39"/>
      <c r="U27" s="39"/>
      <c r="V27" s="11"/>
      <c r="W27" s="18"/>
      <c r="X27" s="39"/>
      <c r="Y27" s="39"/>
      <c r="Z27" s="11"/>
      <c r="AA27" s="18"/>
      <c r="AB27" s="39"/>
      <c r="AC27" s="40"/>
      <c r="AD27" s="11"/>
      <c r="AE27" s="18"/>
      <c r="AF27" s="62"/>
      <c r="AG27" s="63" t="s">
        <v>104</v>
      </c>
      <c r="AH27" s="7" t="s">
        <v>131</v>
      </c>
      <c r="AI27" s="8">
        <f t="shared" si="15"/>
        <v>0</v>
      </c>
      <c r="AJ27" s="9">
        <v>0</v>
      </c>
      <c r="AK27" s="9">
        <f t="shared" si="2"/>
        <v>0</v>
      </c>
      <c r="AL27" s="11">
        <f t="shared" si="8"/>
        <v>0</v>
      </c>
    </row>
    <row r="28" spans="1:38" s="7" customFormat="1">
      <c r="A28" s="16" t="s">
        <v>163</v>
      </c>
      <c r="B28" s="7" t="s">
        <v>66</v>
      </c>
      <c r="C28" s="59"/>
      <c r="D28" s="8">
        <f t="shared" ref="D28:D35" si="16">L28/$L$88</f>
        <v>6.4909202788735923E-2</v>
      </c>
      <c r="E28" s="60" t="s">
        <v>193</v>
      </c>
      <c r="F28" s="60" t="s">
        <v>193</v>
      </c>
      <c r="G28" s="60" t="s">
        <v>193</v>
      </c>
      <c r="H28" s="60" t="s">
        <v>193</v>
      </c>
      <c r="I28" s="60" t="s">
        <v>193</v>
      </c>
      <c r="J28" s="60" t="s">
        <v>193</v>
      </c>
      <c r="K28" s="60" t="s">
        <v>193</v>
      </c>
      <c r="L28" s="18">
        <f t="shared" si="0"/>
        <v>45633</v>
      </c>
      <c r="M28" s="68">
        <f>(2975+(24808/7))/2</f>
        <v>3259.5</v>
      </c>
      <c r="N28" s="11">
        <f t="shared" si="4"/>
        <v>2.3688226744186047</v>
      </c>
      <c r="O28" s="11"/>
      <c r="P28" s="39">
        <f t="shared" si="9"/>
        <v>9577.7422783430229</v>
      </c>
      <c r="Q28" s="39">
        <f t="shared" si="12"/>
        <v>3192.5807594476746</v>
      </c>
      <c r="R28" s="11">
        <f t="shared" si="5"/>
        <v>2.6649255087209305</v>
      </c>
      <c r="S28" s="18"/>
      <c r="T28" s="39">
        <f t="shared" si="10"/>
        <v>215355.29528524712</v>
      </c>
      <c r="U28" s="39">
        <f t="shared" si="13"/>
        <v>2950.0725381540701</v>
      </c>
      <c r="V28" s="11">
        <f t="shared" si="6"/>
        <v>2.6649255087209305</v>
      </c>
      <c r="W28" s="18"/>
      <c r="X28" s="39">
        <f t="shared" si="11"/>
        <v>198926.02952398255</v>
      </c>
      <c r="Y28" s="39">
        <f t="shared" si="14"/>
        <v>3429.7591297238373</v>
      </c>
      <c r="Z28" s="11">
        <f t="shared" si="7"/>
        <v>2.6649255087209305</v>
      </c>
      <c r="AA28" s="18"/>
      <c r="AB28" s="39">
        <f t="shared" si="3"/>
        <v>423859.06708757271</v>
      </c>
      <c r="AC28" s="40">
        <f t="shared" ref="AC28:AC35" si="17">+AB28/AB$7</f>
        <v>3163.1273663251695</v>
      </c>
      <c r="AD28" s="11">
        <f t="shared" ref="AD28:AD35" si="18">+AC28/AC$8</f>
        <v>2.664808227738138</v>
      </c>
      <c r="AE28" s="18"/>
      <c r="AF28" s="62"/>
      <c r="AG28" s="63" t="s">
        <v>105</v>
      </c>
      <c r="AH28" s="7" t="s">
        <v>132</v>
      </c>
      <c r="AI28" s="8">
        <f t="shared" si="15"/>
        <v>4.859147633943927E-2</v>
      </c>
      <c r="AJ28" s="9">
        <f>+AB54+AB55</f>
        <v>642973.20362463663</v>
      </c>
      <c r="AK28" s="9">
        <f t="shared" si="2"/>
        <v>4798.3074897360939</v>
      </c>
      <c r="AL28" s="11">
        <f t="shared" si="8"/>
        <v>4.0423820469554288</v>
      </c>
    </row>
    <row r="29" spans="1:38" s="7" customFormat="1">
      <c r="A29" s="16" t="s">
        <v>163</v>
      </c>
      <c r="B29" s="7" t="s">
        <v>199</v>
      </c>
      <c r="C29" s="59"/>
      <c r="D29" s="8">
        <f t="shared" si="16"/>
        <v>5.8226682798783881E-2</v>
      </c>
      <c r="E29" s="60" t="s">
        <v>193</v>
      </c>
      <c r="F29" s="60" t="s">
        <v>193</v>
      </c>
      <c r="G29" s="60" t="s">
        <v>193</v>
      </c>
      <c r="H29" s="60" t="s">
        <v>193</v>
      </c>
      <c r="I29" s="60" t="s">
        <v>193</v>
      </c>
      <c r="J29" s="60" t="s">
        <v>193</v>
      </c>
      <c r="K29" s="60" t="s">
        <v>193</v>
      </c>
      <c r="L29" s="18">
        <f t="shared" si="0"/>
        <v>40935</v>
      </c>
      <c r="M29" s="68">
        <f>(2465+(23680/7))/2</f>
        <v>2923.9285714285716</v>
      </c>
      <c r="N29" s="11">
        <f t="shared" si="4"/>
        <v>2.1249480897009967</v>
      </c>
      <c r="O29" s="11"/>
      <c r="P29" s="39">
        <f t="shared" si="9"/>
        <v>8591.6963636835535</v>
      </c>
      <c r="Q29" s="39">
        <f t="shared" si="12"/>
        <v>2863.8987878945181</v>
      </c>
      <c r="R29" s="11">
        <f t="shared" si="5"/>
        <v>2.3905666009136213</v>
      </c>
      <c r="S29" s="18"/>
      <c r="T29" s="39">
        <f t="shared" si="10"/>
        <v>193184.07758643065</v>
      </c>
      <c r="U29" s="39">
        <f t="shared" si="13"/>
        <v>2646.3572272113788</v>
      </c>
      <c r="V29" s="11">
        <f t="shared" si="6"/>
        <v>2.3905666009136213</v>
      </c>
      <c r="W29" s="18"/>
      <c r="X29" s="39">
        <f t="shared" si="11"/>
        <v>178446.23449179818</v>
      </c>
      <c r="Y29" s="39">
        <f t="shared" si="14"/>
        <v>3076.6592153758306</v>
      </c>
      <c r="Z29" s="11">
        <f t="shared" si="7"/>
        <v>2.3905666009136213</v>
      </c>
      <c r="AA29" s="18"/>
      <c r="AB29" s="39">
        <f t="shared" si="3"/>
        <v>380222.00844191236</v>
      </c>
      <c r="AC29" s="40">
        <f t="shared" si="17"/>
        <v>2837.4776749396447</v>
      </c>
      <c r="AD29" s="11">
        <f t="shared" si="18"/>
        <v>2.3904613942204254</v>
      </c>
      <c r="AE29" s="18"/>
      <c r="AF29" s="62"/>
      <c r="AG29" s="63" t="s">
        <v>106</v>
      </c>
      <c r="AH29" s="7" t="s">
        <v>144</v>
      </c>
      <c r="AI29" s="8">
        <f t="shared" si="15"/>
        <v>2.5171793791393435E-2</v>
      </c>
      <c r="AJ29" s="9">
        <f>+AB56+SUM(AB58:AB60)+AB72</f>
        <v>333078.76430777617</v>
      </c>
      <c r="AK29" s="9">
        <f t="shared" si="2"/>
        <v>2485.6624202072849</v>
      </c>
      <c r="AL29" s="11">
        <f t="shared" si="8"/>
        <v>2.0940711206464067</v>
      </c>
    </row>
    <row r="30" spans="1:38" s="7" customFormat="1">
      <c r="A30" s="16" t="s">
        <v>163</v>
      </c>
      <c r="B30" s="7" t="s">
        <v>18</v>
      </c>
      <c r="C30" s="59"/>
      <c r="D30" s="8">
        <f t="shared" si="16"/>
        <v>0.13193923088718204</v>
      </c>
      <c r="E30" s="60" t="s">
        <v>193</v>
      </c>
      <c r="F30" s="60" t="s">
        <v>193</v>
      </c>
      <c r="G30" s="60" t="s">
        <v>193</v>
      </c>
      <c r="H30" s="60" t="s">
        <v>193</v>
      </c>
      <c r="I30" s="60" t="s">
        <v>193</v>
      </c>
      <c r="J30" s="60" t="s">
        <v>193</v>
      </c>
      <c r="K30" s="60" t="s">
        <v>193</v>
      </c>
      <c r="L30" s="18">
        <f t="shared" si="0"/>
        <v>92757</v>
      </c>
      <c r="M30" s="68">
        <f>13251/2</f>
        <v>6625.5</v>
      </c>
      <c r="N30" s="11">
        <f t="shared" si="4"/>
        <v>4.8150436046511631</v>
      </c>
      <c r="O30" s="11"/>
      <c r="P30" s="39">
        <f t="shared" si="9"/>
        <v>19468.425054505817</v>
      </c>
      <c r="Q30" s="39">
        <f t="shared" si="12"/>
        <v>6489.4750181686049</v>
      </c>
      <c r="R30" s="11">
        <f t="shared" si="5"/>
        <v>5.4169240552325588</v>
      </c>
      <c r="S30" s="18"/>
      <c r="T30" s="39">
        <f t="shared" si="10"/>
        <v>437747.04982739832</v>
      </c>
      <c r="U30" s="39">
        <f t="shared" si="13"/>
        <v>5996.5349291424427</v>
      </c>
      <c r="V30" s="11">
        <f t="shared" si="6"/>
        <v>5.4169240552325588</v>
      </c>
      <c r="W30" s="18"/>
      <c r="X30" s="39">
        <f t="shared" si="11"/>
        <v>404351.71302688954</v>
      </c>
      <c r="Y30" s="39">
        <f t="shared" si="14"/>
        <v>6971.5812590843025</v>
      </c>
      <c r="Z30" s="11">
        <f t="shared" si="7"/>
        <v>5.4169240552325579</v>
      </c>
      <c r="AA30" s="18"/>
      <c r="AB30" s="39">
        <f t="shared" si="3"/>
        <v>861567.18790879368</v>
      </c>
      <c r="AC30" s="40">
        <f t="shared" si="17"/>
        <v>6429.6058799163711</v>
      </c>
      <c r="AD30" s="11">
        <f t="shared" si="18"/>
        <v>5.4166856612606331</v>
      </c>
      <c r="AE30" s="18"/>
      <c r="AF30" s="62"/>
      <c r="AG30" s="63" t="s">
        <v>107</v>
      </c>
      <c r="AH30" s="7" t="s">
        <v>133</v>
      </c>
      <c r="AI30" s="8">
        <f t="shared" si="15"/>
        <v>1.9367495455004446E-2</v>
      </c>
      <c r="AJ30" s="9">
        <f>AB66+AB67</f>
        <v>256275</v>
      </c>
      <c r="AK30" s="9">
        <f t="shared" si="2"/>
        <v>1912.5</v>
      </c>
      <c r="AL30" s="11">
        <f t="shared" si="8"/>
        <v>1.6112047177759057</v>
      </c>
    </row>
    <row r="31" spans="1:38" s="7" customFormat="1">
      <c r="A31" s="16" t="s">
        <v>163</v>
      </c>
      <c r="B31" s="7" t="s">
        <v>19</v>
      </c>
      <c r="C31" s="59"/>
      <c r="D31" s="8">
        <f t="shared" si="16"/>
        <v>0</v>
      </c>
      <c r="E31" s="60" t="s">
        <v>193</v>
      </c>
      <c r="F31" s="60" t="s">
        <v>193</v>
      </c>
      <c r="G31" s="60" t="s">
        <v>193</v>
      </c>
      <c r="H31" s="60" t="s">
        <v>193</v>
      </c>
      <c r="I31" s="60" t="s">
        <v>193</v>
      </c>
      <c r="J31" s="60" t="s">
        <v>193</v>
      </c>
      <c r="K31" s="60" t="s">
        <v>193</v>
      </c>
      <c r="L31" s="18">
        <f t="shared" si="0"/>
        <v>0</v>
      </c>
      <c r="M31" s="18"/>
      <c r="N31" s="11">
        <f t="shared" si="4"/>
        <v>0</v>
      </c>
      <c r="O31" s="11"/>
      <c r="P31" s="39">
        <f t="shared" si="9"/>
        <v>0</v>
      </c>
      <c r="Q31" s="39">
        <f t="shared" si="12"/>
        <v>0</v>
      </c>
      <c r="R31" s="11">
        <f t="shared" si="5"/>
        <v>0</v>
      </c>
      <c r="S31" s="18"/>
      <c r="T31" s="39">
        <f t="shared" si="10"/>
        <v>0</v>
      </c>
      <c r="U31" s="39">
        <f t="shared" si="13"/>
        <v>0</v>
      </c>
      <c r="V31" s="11">
        <f t="shared" si="6"/>
        <v>0</v>
      </c>
      <c r="W31" s="18"/>
      <c r="X31" s="39">
        <f t="shared" si="11"/>
        <v>0</v>
      </c>
      <c r="Y31" s="39">
        <f t="shared" si="14"/>
        <v>0</v>
      </c>
      <c r="Z31" s="11">
        <f t="shared" si="7"/>
        <v>0</v>
      </c>
      <c r="AA31" s="18"/>
      <c r="AB31" s="39">
        <f t="shared" si="3"/>
        <v>0</v>
      </c>
      <c r="AC31" s="40">
        <f t="shared" si="17"/>
        <v>0</v>
      </c>
      <c r="AD31" s="11">
        <f t="shared" si="18"/>
        <v>0</v>
      </c>
      <c r="AE31" s="18"/>
      <c r="AF31" s="62"/>
      <c r="AG31" s="63" t="s">
        <v>108</v>
      </c>
      <c r="AH31" s="7" t="s">
        <v>134</v>
      </c>
      <c r="AI31" s="8">
        <f t="shared" si="15"/>
        <v>0</v>
      </c>
      <c r="AJ31" s="9">
        <v>0</v>
      </c>
      <c r="AK31" s="9">
        <f t="shared" si="2"/>
        <v>0</v>
      </c>
      <c r="AL31" s="11">
        <f t="shared" si="8"/>
        <v>0</v>
      </c>
    </row>
    <row r="32" spans="1:38" s="7" customFormat="1">
      <c r="A32" s="16" t="s">
        <v>163</v>
      </c>
      <c r="B32" s="7" t="s">
        <v>20</v>
      </c>
      <c r="C32" s="59"/>
      <c r="D32" s="8">
        <f t="shared" si="16"/>
        <v>0</v>
      </c>
      <c r="E32" s="60" t="s">
        <v>193</v>
      </c>
      <c r="F32" s="60" t="s">
        <v>193</v>
      </c>
      <c r="G32" s="60" t="s">
        <v>193</v>
      </c>
      <c r="H32" s="60" t="s">
        <v>193</v>
      </c>
      <c r="I32" s="60" t="s">
        <v>193</v>
      </c>
      <c r="J32" s="60" t="s">
        <v>193</v>
      </c>
      <c r="K32" s="60" t="s">
        <v>193</v>
      </c>
      <c r="L32" s="18">
        <f t="shared" si="0"/>
        <v>0</v>
      </c>
      <c r="M32" s="18"/>
      <c r="N32" s="11">
        <f t="shared" si="4"/>
        <v>0</v>
      </c>
      <c r="O32" s="11"/>
      <c r="P32" s="39">
        <f t="shared" si="9"/>
        <v>0</v>
      </c>
      <c r="Q32" s="39">
        <f t="shared" si="12"/>
        <v>0</v>
      </c>
      <c r="R32" s="11">
        <f t="shared" si="5"/>
        <v>0</v>
      </c>
      <c r="S32" s="18"/>
      <c r="T32" s="39">
        <f t="shared" si="10"/>
        <v>0</v>
      </c>
      <c r="U32" s="39">
        <f t="shared" si="13"/>
        <v>0</v>
      </c>
      <c r="V32" s="11">
        <f t="shared" si="6"/>
        <v>0</v>
      </c>
      <c r="W32" s="18"/>
      <c r="X32" s="39">
        <f t="shared" si="11"/>
        <v>0</v>
      </c>
      <c r="Y32" s="39">
        <f t="shared" si="14"/>
        <v>0</v>
      </c>
      <c r="Z32" s="11">
        <f t="shared" si="7"/>
        <v>0</v>
      </c>
      <c r="AA32" s="18"/>
      <c r="AB32" s="39">
        <f t="shared" si="3"/>
        <v>0</v>
      </c>
      <c r="AC32" s="40">
        <f t="shared" si="17"/>
        <v>0</v>
      </c>
      <c r="AD32" s="11">
        <f t="shared" si="18"/>
        <v>0</v>
      </c>
      <c r="AE32" s="18"/>
      <c r="AF32" s="62"/>
      <c r="AG32" s="63" t="s">
        <v>109</v>
      </c>
      <c r="AH32" s="7" t="s">
        <v>135</v>
      </c>
      <c r="AI32" s="8">
        <f t="shared" si="15"/>
        <v>1.1438607938137051E-2</v>
      </c>
      <c r="AJ32" s="9">
        <f>AB63+AB64</f>
        <v>151358.19993640989</v>
      </c>
      <c r="AK32" s="9">
        <f t="shared" si="2"/>
        <v>1129.5388054955961</v>
      </c>
      <c r="AL32" s="11">
        <f t="shared" si="8"/>
        <v>0.95159124304599507</v>
      </c>
    </row>
    <row r="33" spans="1:38" s="7" customFormat="1">
      <c r="A33" s="16" t="s">
        <v>164</v>
      </c>
      <c r="B33" s="7" t="s">
        <v>21</v>
      </c>
      <c r="C33" s="59"/>
      <c r="D33" s="8">
        <f t="shared" si="16"/>
        <v>0</v>
      </c>
      <c r="E33" s="60" t="s">
        <v>193</v>
      </c>
      <c r="F33" s="60" t="s">
        <v>193</v>
      </c>
      <c r="G33" s="60" t="s">
        <v>193</v>
      </c>
      <c r="H33" s="60" t="s">
        <v>193</v>
      </c>
      <c r="I33" s="60" t="s">
        <v>193</v>
      </c>
      <c r="J33" s="60" t="s">
        <v>193</v>
      </c>
      <c r="K33" s="60" t="s">
        <v>193</v>
      </c>
      <c r="L33" s="18">
        <f t="shared" si="0"/>
        <v>0</v>
      </c>
      <c r="N33" s="11">
        <f t="shared" si="4"/>
        <v>0</v>
      </c>
      <c r="O33" s="11"/>
      <c r="P33" s="39">
        <f t="shared" si="9"/>
        <v>0</v>
      </c>
      <c r="Q33" s="39">
        <f t="shared" si="12"/>
        <v>0</v>
      </c>
      <c r="R33" s="11">
        <f t="shared" si="5"/>
        <v>0</v>
      </c>
      <c r="T33" s="39">
        <f t="shared" si="10"/>
        <v>0</v>
      </c>
      <c r="U33" s="39">
        <f t="shared" si="13"/>
        <v>0</v>
      </c>
      <c r="V33" s="11">
        <f t="shared" si="6"/>
        <v>0</v>
      </c>
      <c r="W33" s="18"/>
      <c r="X33" s="39">
        <f t="shared" si="11"/>
        <v>0</v>
      </c>
      <c r="Y33" s="39">
        <f t="shared" si="14"/>
        <v>0</v>
      </c>
      <c r="Z33" s="11">
        <f t="shared" si="7"/>
        <v>0</v>
      </c>
      <c r="AA33" s="18"/>
      <c r="AB33" s="39">
        <f t="shared" si="3"/>
        <v>0</v>
      </c>
      <c r="AC33" s="40">
        <f t="shared" si="17"/>
        <v>0</v>
      </c>
      <c r="AD33" s="11">
        <f t="shared" si="18"/>
        <v>0</v>
      </c>
      <c r="AE33" s="18"/>
      <c r="AF33" s="62"/>
      <c r="AG33" s="63" t="s">
        <v>110</v>
      </c>
      <c r="AH33" s="7" t="s">
        <v>136</v>
      </c>
      <c r="AI33" s="8">
        <f t="shared" si="15"/>
        <v>0</v>
      </c>
      <c r="AJ33" s="9">
        <v>0</v>
      </c>
      <c r="AK33" s="9">
        <f t="shared" si="2"/>
        <v>0</v>
      </c>
      <c r="AL33" s="11">
        <f t="shared" si="8"/>
        <v>0</v>
      </c>
    </row>
    <row r="34" spans="1:38" s="7" customFormat="1">
      <c r="A34" s="16" t="s">
        <v>165</v>
      </c>
      <c r="B34" s="7" t="s">
        <v>22</v>
      </c>
      <c r="C34" s="59"/>
      <c r="D34" s="8">
        <f t="shared" si="16"/>
        <v>8.9014921449808125E-3</v>
      </c>
      <c r="E34" s="60" t="s">
        <v>193</v>
      </c>
      <c r="F34" s="60" t="s">
        <v>193</v>
      </c>
      <c r="G34" s="60" t="s">
        <v>193</v>
      </c>
      <c r="H34" s="60" t="s">
        <v>193</v>
      </c>
      <c r="I34" s="60" t="s">
        <v>193</v>
      </c>
      <c r="J34" s="60" t="s">
        <v>193</v>
      </c>
      <c r="K34" s="60" t="s">
        <v>193</v>
      </c>
      <c r="L34" s="18">
        <f t="shared" si="0"/>
        <v>6258</v>
      </c>
      <c r="M34" s="18">
        <f>894/2</f>
        <v>447</v>
      </c>
      <c r="N34" s="11">
        <f t="shared" si="4"/>
        <v>0.32485465116279072</v>
      </c>
      <c r="O34" s="11"/>
      <c r="P34" s="39">
        <f t="shared" si="9"/>
        <v>1046.25</v>
      </c>
      <c r="Q34" s="39">
        <f>(120+80+70+40)*CMF</f>
        <v>348.75</v>
      </c>
      <c r="R34" s="11">
        <f t="shared" si="5"/>
        <v>0.291110183639399</v>
      </c>
      <c r="S34" s="18"/>
      <c r="T34" s="39">
        <f t="shared" si="10"/>
        <v>44347.5</v>
      </c>
      <c r="U34" s="39">
        <f>(120+3*70+2*65+2*40)*CMF</f>
        <v>607.5</v>
      </c>
      <c r="V34" s="11">
        <f t="shared" si="6"/>
        <v>0.54878048780487809</v>
      </c>
      <c r="W34" s="18"/>
      <c r="X34" s="39">
        <f t="shared" si="11"/>
        <v>43717.5</v>
      </c>
      <c r="Y34" s="39">
        <f>(120+4*80+70+4*40)*CMF</f>
        <v>753.75</v>
      </c>
      <c r="Z34" s="11">
        <f t="shared" si="7"/>
        <v>0.58566433566433562</v>
      </c>
      <c r="AA34" s="18"/>
      <c r="AB34" s="39">
        <f t="shared" si="3"/>
        <v>89111.25</v>
      </c>
      <c r="AC34" s="40">
        <f t="shared" si="17"/>
        <v>665.0093283582089</v>
      </c>
      <c r="AD34" s="11">
        <f t="shared" si="18"/>
        <v>0.5602437475637817</v>
      </c>
      <c r="AE34" s="18"/>
      <c r="AF34" s="62"/>
      <c r="AG34" s="63" t="s">
        <v>111</v>
      </c>
      <c r="AH34" s="7" t="s">
        <v>48</v>
      </c>
      <c r="AI34" s="8">
        <f t="shared" si="15"/>
        <v>1.0253379946767061E-2</v>
      </c>
      <c r="AJ34" s="9">
        <f>+AB70</f>
        <v>135675</v>
      </c>
      <c r="AK34" s="9">
        <f t="shared" si="2"/>
        <v>1012.5</v>
      </c>
      <c r="AL34" s="11">
        <f t="shared" si="8"/>
        <v>0.85299073294018535</v>
      </c>
    </row>
    <row r="35" spans="1:38" s="7" customFormat="1">
      <c r="A35" s="16" t="s">
        <v>163</v>
      </c>
      <c r="B35" s="7" t="s">
        <v>23</v>
      </c>
      <c r="C35" s="59"/>
      <c r="D35" s="8">
        <f t="shared" si="16"/>
        <v>5.9741558020005451E-3</v>
      </c>
      <c r="E35" s="60" t="s">
        <v>193</v>
      </c>
      <c r="F35" s="60" t="s">
        <v>193</v>
      </c>
      <c r="G35" s="60" t="s">
        <v>193</v>
      </c>
      <c r="H35" s="60" t="s">
        <v>193</v>
      </c>
      <c r="I35" s="60" t="s">
        <v>193</v>
      </c>
      <c r="J35" s="60" t="s">
        <v>193</v>
      </c>
      <c r="K35" s="60" t="s">
        <v>193</v>
      </c>
      <c r="L35" s="18">
        <f t="shared" si="0"/>
        <v>4200</v>
      </c>
      <c r="M35" s="69">
        <f>600/2</f>
        <v>300</v>
      </c>
      <c r="N35" s="11">
        <f t="shared" si="4"/>
        <v>0.21802325581395349</v>
      </c>
      <c r="O35" s="11"/>
      <c r="P35" s="39">
        <f t="shared" si="9"/>
        <v>1748.25</v>
      </c>
      <c r="Q35" s="70">
        <f>((75+46+13)*2+180+70)*CMF</f>
        <v>582.75</v>
      </c>
      <c r="R35" s="11">
        <f t="shared" si="5"/>
        <v>0.48643572621035058</v>
      </c>
      <c r="S35" s="18"/>
      <c r="T35" s="39">
        <f t="shared" si="10"/>
        <v>42540.75</v>
      </c>
      <c r="U35" s="70">
        <f>((75+46+13)*2+180+70)*CMF</f>
        <v>582.75</v>
      </c>
      <c r="V35" s="11">
        <f t="shared" si="6"/>
        <v>0.52642276422764223</v>
      </c>
      <c r="W35" s="18"/>
      <c r="X35" s="39">
        <f t="shared" si="11"/>
        <v>33799.5</v>
      </c>
      <c r="Y35" s="70">
        <f>((75+46+13)*2+180+70)*CMF</f>
        <v>582.75</v>
      </c>
      <c r="Z35" s="11">
        <f t="shared" si="7"/>
        <v>0.45279720279720281</v>
      </c>
      <c r="AA35" s="18"/>
      <c r="AB35" s="39">
        <f t="shared" si="3"/>
        <v>78088.5</v>
      </c>
      <c r="AC35" s="40">
        <f t="shared" si="17"/>
        <v>582.75</v>
      </c>
      <c r="AD35" s="11">
        <f t="shared" si="18"/>
        <v>0.49094355518112892</v>
      </c>
      <c r="AE35" s="18"/>
      <c r="AF35" s="62"/>
      <c r="AG35" s="63" t="s">
        <v>112</v>
      </c>
      <c r="AH35" s="7" t="s">
        <v>137</v>
      </c>
      <c r="AI35" s="8">
        <f t="shared" si="15"/>
        <v>1.6497417971593382E-2</v>
      </c>
      <c r="AJ35" s="9">
        <f>+AB71</f>
        <v>218297.4975</v>
      </c>
      <c r="AK35" s="9">
        <f t="shared" si="2"/>
        <v>1629.0858022388059</v>
      </c>
      <c r="AL35" s="11">
        <f t="shared" si="8"/>
        <v>1.3724395975053125</v>
      </c>
    </row>
    <row r="36" spans="1:38" s="7" customFormat="1">
      <c r="A36" s="16"/>
      <c r="B36" s="22" t="s">
        <v>217</v>
      </c>
      <c r="C36" s="59"/>
      <c r="D36" s="8"/>
      <c r="E36" s="60"/>
      <c r="F36" s="60"/>
      <c r="G36" s="60"/>
      <c r="H36" s="60"/>
      <c r="I36" s="60"/>
      <c r="J36" s="60"/>
      <c r="K36" s="60"/>
      <c r="L36" s="18"/>
      <c r="M36" s="18"/>
      <c r="N36" s="11"/>
      <c r="O36" s="11"/>
      <c r="P36" s="39"/>
      <c r="Q36" s="67"/>
      <c r="R36" s="11"/>
      <c r="S36" s="18"/>
      <c r="T36" s="39"/>
      <c r="U36" s="39"/>
      <c r="V36" s="11"/>
      <c r="W36" s="18"/>
      <c r="X36" s="39"/>
      <c r="Y36" s="39"/>
      <c r="Z36" s="11"/>
      <c r="AA36" s="18"/>
      <c r="AB36" s="39"/>
      <c r="AC36" s="40"/>
      <c r="AD36" s="11"/>
      <c r="AE36" s="18"/>
      <c r="AF36" s="62"/>
      <c r="AG36" s="63" t="s">
        <v>113</v>
      </c>
      <c r="AH36" s="7" t="s">
        <v>138</v>
      </c>
      <c r="AI36" s="8">
        <f t="shared" si="15"/>
        <v>3.8450174800376473E-3</v>
      </c>
      <c r="AJ36" s="9">
        <f>SUM(AB73:AB76)</f>
        <v>50878.125</v>
      </c>
      <c r="AK36" s="9">
        <f t="shared" si="2"/>
        <v>379.6875</v>
      </c>
      <c r="AL36" s="11">
        <f t="shared" si="8"/>
        <v>0.31987152485256948</v>
      </c>
    </row>
    <row r="37" spans="1:38" s="7" customFormat="1">
      <c r="A37" s="16" t="s">
        <v>218</v>
      </c>
      <c r="B37" s="7" t="s">
        <v>25</v>
      </c>
      <c r="C37" s="59"/>
      <c r="D37" s="8"/>
      <c r="E37" s="60"/>
      <c r="F37" s="60"/>
      <c r="G37" s="60"/>
      <c r="H37" s="60"/>
      <c r="I37" s="60"/>
      <c r="J37" s="60"/>
      <c r="K37" s="60"/>
      <c r="L37" s="18">
        <v>0</v>
      </c>
      <c r="M37" s="18">
        <v>0</v>
      </c>
      <c r="N37" s="11"/>
      <c r="O37" s="11"/>
      <c r="P37" s="39">
        <f t="shared" si="9"/>
        <v>506.25</v>
      </c>
      <c r="Q37" s="39">
        <f>(28-3)*3*2*CMF</f>
        <v>168.75</v>
      </c>
      <c r="R37" s="11">
        <f t="shared" si="5"/>
        <v>0.14085976627712854</v>
      </c>
      <c r="S37" s="18"/>
      <c r="T37" s="39">
        <f t="shared" si="10"/>
        <v>12318.75</v>
      </c>
      <c r="U37" s="39">
        <f>(28-3)*3*2*CMF</f>
        <v>168.75</v>
      </c>
      <c r="V37" s="11">
        <f t="shared" si="6"/>
        <v>0.1524390243902439</v>
      </c>
      <c r="W37" s="18"/>
      <c r="X37" s="39">
        <f t="shared" si="11"/>
        <v>9787.5</v>
      </c>
      <c r="Y37" s="39">
        <f>(28-3)*3*2*CMF</f>
        <v>168.75</v>
      </c>
      <c r="Z37" s="11">
        <f t="shared" si="7"/>
        <v>0.13111888111888112</v>
      </c>
      <c r="AA37" s="18"/>
      <c r="AB37" s="39">
        <f>+X37+T37+P37</f>
        <v>22612.5</v>
      </c>
      <c r="AC37" s="40">
        <f>+AB37/AB$7</f>
        <v>168.75</v>
      </c>
      <c r="AD37" s="11">
        <f>+AC37/AC$8</f>
        <v>0.14216512215669755</v>
      </c>
      <c r="AE37" s="18"/>
      <c r="AF37" s="62"/>
      <c r="AG37" s="63" t="s">
        <v>114</v>
      </c>
      <c r="AH37" s="7" t="s">
        <v>46</v>
      </c>
      <c r="AI37" s="8">
        <f t="shared" si="15"/>
        <v>6.9760161235457386E-3</v>
      </c>
      <c r="AJ37" s="9">
        <f>+AB68</f>
        <v>92308.19422238371</v>
      </c>
      <c r="AK37" s="9">
        <f t="shared" si="2"/>
        <v>688.86712106256505</v>
      </c>
      <c r="AL37" s="11">
        <f t="shared" si="8"/>
        <v>0.58034298320350886</v>
      </c>
    </row>
    <row r="38" spans="1:38" s="7" customFormat="1">
      <c r="A38" s="16" t="s">
        <v>218</v>
      </c>
      <c r="B38" s="7" t="s">
        <v>26</v>
      </c>
      <c r="C38" s="59"/>
      <c r="D38" s="8"/>
      <c r="E38" s="60"/>
      <c r="F38" s="60"/>
      <c r="G38" s="60"/>
      <c r="H38" s="60"/>
      <c r="I38" s="60"/>
      <c r="J38" s="60"/>
      <c r="K38" s="60"/>
      <c r="L38" s="18">
        <v>0</v>
      </c>
      <c r="M38" s="18">
        <v>0</v>
      </c>
      <c r="N38" s="11"/>
      <c r="O38" s="11"/>
      <c r="P38" s="39">
        <f t="shared" si="9"/>
        <v>885.9375</v>
      </c>
      <c r="Q38" s="39">
        <f>(28-3)*3*3.5*CMF</f>
        <v>295.3125</v>
      </c>
      <c r="R38" s="11">
        <f t="shared" si="5"/>
        <v>0.24650459098497496</v>
      </c>
      <c r="S38" s="18"/>
      <c r="T38" s="39">
        <f t="shared" si="10"/>
        <v>21557.8125</v>
      </c>
      <c r="U38" s="39">
        <f>(28-3)*3*3.5*CMF</f>
        <v>295.3125</v>
      </c>
      <c r="V38" s="11">
        <f t="shared" si="6"/>
        <v>0.26676829268292684</v>
      </c>
      <c r="W38" s="18"/>
      <c r="X38" s="39">
        <f t="shared" si="11"/>
        <v>17128.125</v>
      </c>
      <c r="Y38" s="39">
        <f>(28-3)*3*3.5*CMF</f>
        <v>295.3125</v>
      </c>
      <c r="Z38" s="11">
        <f t="shared" si="7"/>
        <v>0.22945804195804195</v>
      </c>
      <c r="AA38" s="18"/>
      <c r="AB38" s="39">
        <f>+X38+T38+P38</f>
        <v>39571.875</v>
      </c>
      <c r="AC38" s="40">
        <f>+AB38/AB$7</f>
        <v>295.3125</v>
      </c>
      <c r="AD38" s="11">
        <f>+AC38/AC$8</f>
        <v>0.24878896377422072</v>
      </c>
      <c r="AE38" s="18"/>
      <c r="AF38" s="62"/>
      <c r="AG38" s="63" t="s">
        <v>115</v>
      </c>
      <c r="AH38" s="7" t="s">
        <v>143</v>
      </c>
      <c r="AI38" s="8">
        <f t="shared" si="15"/>
        <v>9.9790510213505091E-3</v>
      </c>
      <c r="AJ38" s="9">
        <f>SUM(AB77:AB79)</f>
        <v>132045.01874999999</v>
      </c>
      <c r="AK38" s="9">
        <f t="shared" si="2"/>
        <v>985.41058768656706</v>
      </c>
      <c r="AL38" s="11">
        <f t="shared" si="8"/>
        <v>0.83016898709904552</v>
      </c>
    </row>
    <row r="39" spans="1:38" s="7" customFormat="1">
      <c r="A39" s="16"/>
      <c r="B39" s="22" t="s">
        <v>24</v>
      </c>
      <c r="C39" s="59"/>
      <c r="D39" s="8"/>
      <c r="E39" s="60"/>
      <c r="F39" s="60"/>
      <c r="G39" s="60"/>
      <c r="H39" s="60"/>
      <c r="I39" s="60"/>
      <c r="J39" s="60"/>
      <c r="K39" s="60"/>
      <c r="L39" s="18"/>
      <c r="M39" s="18"/>
      <c r="N39" s="11"/>
      <c r="O39" s="11"/>
      <c r="P39" s="39"/>
      <c r="Q39" s="39"/>
      <c r="R39" s="11"/>
      <c r="S39" s="18"/>
      <c r="T39" s="39"/>
      <c r="U39" s="39"/>
      <c r="V39" s="11"/>
      <c r="W39" s="18"/>
      <c r="X39" s="39"/>
      <c r="Y39" s="39"/>
      <c r="Z39" s="11"/>
      <c r="AA39" s="18"/>
      <c r="AB39" s="39"/>
      <c r="AC39" s="40"/>
      <c r="AD39" s="11"/>
      <c r="AE39" s="18"/>
      <c r="AF39" s="62"/>
      <c r="AG39" s="63" t="s">
        <v>116</v>
      </c>
      <c r="AH39" s="7" t="s">
        <v>141</v>
      </c>
      <c r="AI39" s="8">
        <f t="shared" si="15"/>
        <v>1.8375837447235033E-2</v>
      </c>
      <c r="AJ39" s="15">
        <f>SUM(AB81:AB85)</f>
        <v>243153.16106468023</v>
      </c>
      <c r="AK39" s="9">
        <f t="shared" si="2"/>
        <v>1814.5758288408972</v>
      </c>
      <c r="AL39" s="11">
        <f t="shared" si="8"/>
        <v>1.5287075221911519</v>
      </c>
    </row>
    <row r="40" spans="1:38" s="7" customFormat="1" ht="14.45" customHeight="1">
      <c r="A40" s="16" t="s">
        <v>166</v>
      </c>
      <c r="B40" s="7" t="s">
        <v>25</v>
      </c>
      <c r="C40" s="59"/>
      <c r="D40" s="8">
        <f>L40/$L$88</f>
        <v>7.4676947525006811E-3</v>
      </c>
      <c r="E40" s="60" t="s">
        <v>193</v>
      </c>
      <c r="F40" s="60" t="s">
        <v>193</v>
      </c>
      <c r="G40" s="60" t="s">
        <v>193</v>
      </c>
      <c r="H40" s="60" t="s">
        <v>193</v>
      </c>
      <c r="I40" s="60" t="s">
        <v>193</v>
      </c>
      <c r="J40" s="60" t="s">
        <v>193</v>
      </c>
      <c r="K40" s="60" t="s">
        <v>193</v>
      </c>
      <c r="L40" s="18">
        <f t="shared" si="0"/>
        <v>5250</v>
      </c>
      <c r="M40" s="18">
        <f>750/2</f>
        <v>375</v>
      </c>
      <c r="N40" s="11">
        <f t="shared" si="4"/>
        <v>0.27252906976744184</v>
      </c>
      <c r="O40" s="11"/>
      <c r="P40" s="39">
        <f t="shared" si="9"/>
        <v>1470.4537500000001</v>
      </c>
      <c r="Q40" s="39">
        <f>((R$8*1.2)/100*23.5)*CMF</f>
        <v>490.15125</v>
      </c>
      <c r="R40" s="11">
        <f t="shared" si="5"/>
        <v>0.40914127712854759</v>
      </c>
      <c r="S40" s="18"/>
      <c r="T40" s="39">
        <f t="shared" si="10"/>
        <v>25637.28975</v>
      </c>
      <c r="U40" s="39">
        <f>((V$8*1.2)/100*23.5)*CMF</f>
        <v>351.19574999999998</v>
      </c>
      <c r="V40" s="11">
        <f t="shared" si="6"/>
        <v>0.31724999999999998</v>
      </c>
      <c r="W40" s="18"/>
      <c r="X40" s="39">
        <f t="shared" si="11"/>
        <v>29109.590999999997</v>
      </c>
      <c r="Y40" s="39">
        <f>((Z$8*1.2)/100*23.5)*CMF</f>
        <v>501.88949999999994</v>
      </c>
      <c r="Z40" s="11">
        <f t="shared" si="7"/>
        <v>0.38996853146853144</v>
      </c>
      <c r="AA40" s="18"/>
      <c r="AB40" s="39">
        <f t="shared" si="3"/>
        <v>56217.334499999997</v>
      </c>
      <c r="AC40" s="40">
        <f>+AB40/AB$7</f>
        <v>419.53234701492534</v>
      </c>
      <c r="AD40" s="11">
        <f>+AC40/AC$8</f>
        <v>0.35343921399740974</v>
      </c>
      <c r="AE40" s="18"/>
      <c r="AF40" s="62"/>
      <c r="AG40" s="63" t="s">
        <v>117</v>
      </c>
      <c r="AH40" s="7" t="s">
        <v>125</v>
      </c>
      <c r="AI40" s="8">
        <f t="shared" si="15"/>
        <v>0</v>
      </c>
      <c r="AJ40" s="15"/>
      <c r="AK40" s="9">
        <f t="shared" si="2"/>
        <v>0</v>
      </c>
      <c r="AL40" s="11">
        <f t="shared" si="8"/>
        <v>0</v>
      </c>
    </row>
    <row r="41" spans="1:38" s="7" customFormat="1">
      <c r="A41" s="16" t="s">
        <v>166</v>
      </c>
      <c r="B41" s="7" t="s">
        <v>26</v>
      </c>
      <c r="C41" s="59"/>
      <c r="D41" s="8">
        <f>L41/$L$88</f>
        <v>7.069417699033978E-3</v>
      </c>
      <c r="E41" s="60" t="s">
        <v>193</v>
      </c>
      <c r="F41" s="60" t="s">
        <v>193</v>
      </c>
      <c r="G41" s="60" t="s">
        <v>193</v>
      </c>
      <c r="H41" s="60" t="s">
        <v>193</v>
      </c>
      <c r="I41" s="60" t="s">
        <v>193</v>
      </c>
      <c r="J41" s="60" t="s">
        <v>193</v>
      </c>
      <c r="K41" s="60" t="s">
        <v>193</v>
      </c>
      <c r="L41" s="18">
        <f t="shared" si="0"/>
        <v>4970</v>
      </c>
      <c r="M41" s="18">
        <f>710/2</f>
        <v>355</v>
      </c>
      <c r="N41" s="11">
        <f t="shared" si="4"/>
        <v>0.25799418604651164</v>
      </c>
      <c r="O41" s="11"/>
      <c r="P41" s="39">
        <f t="shared" si="9"/>
        <v>1314.0225</v>
      </c>
      <c r="Q41" s="39">
        <f>((R$8*1.2)/100*21)*CMF</f>
        <v>438.00749999999999</v>
      </c>
      <c r="R41" s="11">
        <f t="shared" si="5"/>
        <v>0.36561560934891485</v>
      </c>
      <c r="S41" s="18"/>
      <c r="T41" s="39">
        <f t="shared" si="10"/>
        <v>22909.9185</v>
      </c>
      <c r="U41" s="39">
        <f>((V$8*1.2)/100*21)*CMF</f>
        <v>313.83449999999999</v>
      </c>
      <c r="V41" s="11">
        <f t="shared" si="6"/>
        <v>0.28349999999999997</v>
      </c>
      <c r="W41" s="18"/>
      <c r="X41" s="39">
        <f t="shared" si="11"/>
        <v>26012.825999999997</v>
      </c>
      <c r="Y41" s="39">
        <f>((Z$8*1.2)/100*21)*CMF</f>
        <v>448.49699999999996</v>
      </c>
      <c r="Z41" s="11">
        <f t="shared" si="7"/>
        <v>0.34848251748251746</v>
      </c>
      <c r="AA41" s="18"/>
      <c r="AB41" s="39">
        <f t="shared" si="3"/>
        <v>50236.767</v>
      </c>
      <c r="AC41" s="40">
        <f>+AB41/AB$7</f>
        <v>374.90124626865673</v>
      </c>
      <c r="AD41" s="11">
        <f>+AC41/AC$8</f>
        <v>0.31583929761470658</v>
      </c>
      <c r="AE41" s="18"/>
      <c r="AF41" s="62"/>
      <c r="AG41" s="63" t="s">
        <v>118</v>
      </c>
      <c r="AH41" s="7" t="s">
        <v>124</v>
      </c>
      <c r="AI41" s="8">
        <f t="shared" si="15"/>
        <v>2.8033105735807615E-2</v>
      </c>
      <c r="AJ41" s="15">
        <f>(SUM(AJ9:AJ40)+SUM(AJ42:AJ45))*1.0125*0.7*0.095/12*6</f>
        <v>370940.27924956841</v>
      </c>
      <c r="AK41" s="9">
        <f t="shared" si="2"/>
        <v>2768.2110391758838</v>
      </c>
      <c r="AL41" s="11">
        <f t="shared" si="8"/>
        <v>2.3321070254219745</v>
      </c>
    </row>
    <row r="42" spans="1:38" s="7" customFormat="1">
      <c r="A42" s="16"/>
      <c r="B42" s="22" t="s">
        <v>27</v>
      </c>
      <c r="C42" s="59"/>
      <c r="E42" s="60"/>
      <c r="F42" s="60"/>
      <c r="G42" s="60"/>
      <c r="H42" s="60"/>
      <c r="I42" s="60"/>
      <c r="J42" s="60"/>
      <c r="K42" s="60"/>
      <c r="L42" s="18"/>
      <c r="M42" s="18"/>
      <c r="N42" s="11"/>
      <c r="O42" s="11"/>
      <c r="P42" s="39"/>
      <c r="Q42" s="39"/>
      <c r="R42" s="11"/>
      <c r="S42" s="18"/>
      <c r="T42" s="39"/>
      <c r="U42" s="39"/>
      <c r="V42" s="11"/>
      <c r="W42" s="18"/>
      <c r="X42" s="39"/>
      <c r="Y42" s="39"/>
      <c r="Z42" s="11"/>
      <c r="AA42" s="18"/>
      <c r="AB42" s="39"/>
      <c r="AC42" s="40" t="s">
        <v>70</v>
      </c>
      <c r="AD42" s="11"/>
      <c r="AE42" s="18"/>
      <c r="AF42" s="62"/>
      <c r="AG42" s="63" t="s">
        <v>119</v>
      </c>
      <c r="AH42" s="7" t="s">
        <v>123</v>
      </c>
      <c r="AI42" s="8">
        <f t="shared" si="15"/>
        <v>0.14314829330213941</v>
      </c>
      <c r="AJ42" s="15">
        <f>(2.5*43560+75000)*10.3</f>
        <v>1894170.0000000002</v>
      </c>
      <c r="AK42" s="9">
        <f t="shared" si="2"/>
        <v>14135.597014925375</v>
      </c>
      <c r="AL42" s="11">
        <f t="shared" si="8"/>
        <v>11.908674823020535</v>
      </c>
    </row>
    <row r="43" spans="1:38" s="7" customFormat="1">
      <c r="A43" s="16" t="s">
        <v>167</v>
      </c>
      <c r="B43" s="7" t="s">
        <v>28</v>
      </c>
      <c r="C43" s="59">
        <v>0.1</v>
      </c>
      <c r="D43" s="8">
        <f>L43/$L$88</f>
        <v>2.9870779010002725E-3</v>
      </c>
      <c r="E43" s="60" t="s">
        <v>193</v>
      </c>
      <c r="F43" s="60" t="s">
        <v>193</v>
      </c>
      <c r="G43" s="60" t="s">
        <v>193</v>
      </c>
      <c r="H43" s="60" t="s">
        <v>193</v>
      </c>
      <c r="I43" s="60" t="s">
        <v>193</v>
      </c>
      <c r="J43" s="60" t="s">
        <v>193</v>
      </c>
      <c r="K43" s="60" t="s">
        <v>193</v>
      </c>
      <c r="L43" s="18">
        <f t="shared" si="0"/>
        <v>2100</v>
      </c>
      <c r="M43" s="18">
        <f>300/2</f>
        <v>150</v>
      </c>
      <c r="N43" s="11">
        <f t="shared" si="4"/>
        <v>0.10901162790697674</v>
      </c>
      <c r="O43" s="11"/>
      <c r="P43" s="39">
        <f t="shared" si="9"/>
        <v>188.89925373134326</v>
      </c>
      <c r="Q43" s="39">
        <f>7500/SM134Units*CMF</f>
        <v>62.96641791044776</v>
      </c>
      <c r="R43" s="11">
        <f t="shared" si="5"/>
        <v>5.2559614282510651E-2</v>
      </c>
      <c r="S43" s="18"/>
      <c r="T43" s="39">
        <f t="shared" si="10"/>
        <v>4596.5485074626868</v>
      </c>
      <c r="U43" s="39">
        <f>7500/SM134Units*CMF</f>
        <v>62.96641791044776</v>
      </c>
      <c r="V43" s="11">
        <f t="shared" si="6"/>
        <v>5.6880232981434291E-2</v>
      </c>
      <c r="W43" s="18"/>
      <c r="X43" s="39">
        <f t="shared" si="11"/>
        <v>3652.0522388059699</v>
      </c>
      <c r="Y43" s="39">
        <f>7500/SM134Units*CMF</f>
        <v>62.96641791044776</v>
      </c>
      <c r="Z43" s="11">
        <f t="shared" si="7"/>
        <v>4.8924955641373551E-2</v>
      </c>
      <c r="AA43" s="18"/>
      <c r="AB43" s="39">
        <f t="shared" si="3"/>
        <v>8437.5</v>
      </c>
      <c r="AC43" s="40">
        <f>+AB43/AB$7</f>
        <v>62.96641791044776</v>
      </c>
      <c r="AD43" s="11">
        <f>+AC43/AC$8</f>
        <v>5.3046687371902074E-2</v>
      </c>
      <c r="AE43" s="18"/>
      <c r="AF43" s="62"/>
      <c r="AG43" s="63" t="s">
        <v>120</v>
      </c>
      <c r="AH43" s="7" t="s">
        <v>122</v>
      </c>
      <c r="AI43" s="8">
        <f t="shared" si="15"/>
        <v>1.2684944747039328E-2</v>
      </c>
      <c r="AJ43" s="15">
        <f>AB11+AB86</f>
        <v>167850.00531431686</v>
      </c>
      <c r="AK43" s="9">
        <f t="shared" si="2"/>
        <v>1252.6119799575886</v>
      </c>
      <c r="AL43" s="11">
        <f t="shared" si="8"/>
        <v>1.0552754675295606</v>
      </c>
    </row>
    <row r="44" spans="1:38" s="7" customFormat="1" ht="12.75" thickBot="1">
      <c r="A44" s="16" t="s">
        <v>167</v>
      </c>
      <c r="B44" s="7" t="s">
        <v>9</v>
      </c>
      <c r="C44" s="59">
        <v>0.5</v>
      </c>
      <c r="D44" s="8">
        <f>L44/$L$88</f>
        <v>3.0975997833372827E-2</v>
      </c>
      <c r="E44" s="60" t="s">
        <v>193</v>
      </c>
      <c r="F44" s="60" t="s">
        <v>193</v>
      </c>
      <c r="G44" s="60" t="s">
        <v>193</v>
      </c>
      <c r="H44" s="60" t="s">
        <v>193</v>
      </c>
      <c r="I44" s="60" t="s">
        <v>193</v>
      </c>
      <c r="J44" s="60" t="s">
        <v>193</v>
      </c>
      <c r="K44" s="60" t="s">
        <v>193</v>
      </c>
      <c r="L44" s="18">
        <f t="shared" si="0"/>
        <v>21777</v>
      </c>
      <c r="M44" s="18">
        <f>3111/2</f>
        <v>1555.5</v>
      </c>
      <c r="N44" s="11">
        <f t="shared" si="4"/>
        <v>1.1304505813953489</v>
      </c>
      <c r="O44" s="11"/>
      <c r="P44" s="39">
        <f t="shared" si="9"/>
        <v>5094.4950000000008</v>
      </c>
      <c r="Q44" s="39">
        <f>2.1*CMF*60%*Q$8</f>
        <v>1698.1650000000002</v>
      </c>
      <c r="R44" s="11">
        <f t="shared" si="5"/>
        <v>1.4175000000000002</v>
      </c>
      <c r="S44" s="18"/>
      <c r="T44" s="39">
        <f t="shared" si="10"/>
        <v>114549.59250000001</v>
      </c>
      <c r="U44" s="39">
        <f>2.1*CMF*60%*U$8</f>
        <v>1569.1725000000001</v>
      </c>
      <c r="V44" s="11">
        <f t="shared" si="6"/>
        <v>1.4175000000000002</v>
      </c>
      <c r="W44" s="18"/>
      <c r="X44" s="39">
        <f t="shared" si="11"/>
        <v>105810.70500000002</v>
      </c>
      <c r="Y44" s="39">
        <f>2.1*CMF*60%*Y$8</f>
        <v>1824.3225000000002</v>
      </c>
      <c r="Z44" s="11">
        <f t="shared" si="7"/>
        <v>1.4175000000000002</v>
      </c>
      <c r="AA44" s="18"/>
      <c r="AB44" s="39">
        <f t="shared" si="3"/>
        <v>225454.79250000004</v>
      </c>
      <c r="AC44" s="40">
        <f>+AB44/AB$7</f>
        <v>1682.4984514925377</v>
      </c>
      <c r="AD44" s="11">
        <f>+AC44/AC$8</f>
        <v>1.4174376170956509</v>
      </c>
      <c r="AE44" s="18"/>
      <c r="AF44" s="62"/>
      <c r="AG44" s="63" t="s">
        <v>121</v>
      </c>
      <c r="AH44" s="7" t="s">
        <v>142</v>
      </c>
      <c r="AI44" s="8">
        <f t="shared" si="15"/>
        <v>1.7558531116236967E-2</v>
      </c>
      <c r="AJ44" s="15">
        <f>AB45+AB47+AB48+AB69</f>
        <v>232338.38222747092</v>
      </c>
      <c r="AK44" s="9">
        <f t="shared" si="2"/>
        <v>1733.8685240856039</v>
      </c>
      <c r="AL44" s="11">
        <f t="shared" si="8"/>
        <v>1.460714847586861</v>
      </c>
    </row>
    <row r="45" spans="1:38" s="7" customFormat="1" ht="12.75" thickBot="1">
      <c r="A45" s="16" t="s">
        <v>157</v>
      </c>
      <c r="B45" s="23" t="s">
        <v>29</v>
      </c>
      <c r="C45" s="59">
        <v>0.4</v>
      </c>
      <c r="D45" s="8">
        <f>L45/$L$88</f>
        <v>2.4782789651965596E-2</v>
      </c>
      <c r="E45" s="60" t="s">
        <v>193</v>
      </c>
      <c r="F45" s="60" t="s">
        <v>193</v>
      </c>
      <c r="G45" s="64"/>
      <c r="H45" s="60" t="s">
        <v>193</v>
      </c>
      <c r="I45" s="60" t="s">
        <v>193</v>
      </c>
      <c r="J45" s="64"/>
      <c r="K45" s="65" t="s">
        <v>193</v>
      </c>
      <c r="L45" s="18">
        <f t="shared" si="0"/>
        <v>17423</v>
      </c>
      <c r="M45" s="18">
        <f>2489/2</f>
        <v>1244.5</v>
      </c>
      <c r="N45" s="11">
        <f t="shared" si="4"/>
        <v>0.90443313953488369</v>
      </c>
      <c r="O45" s="11"/>
      <c r="P45" s="39">
        <f t="shared" si="9"/>
        <v>3396.3300000000004</v>
      </c>
      <c r="Q45" s="39">
        <f>2.1*CMF*40%*Q$8</f>
        <v>1132.1100000000001</v>
      </c>
      <c r="R45" s="11">
        <f t="shared" si="5"/>
        <v>0.94500000000000006</v>
      </c>
      <c r="S45" s="18"/>
      <c r="T45" s="39">
        <f t="shared" si="10"/>
        <v>76366.395000000019</v>
      </c>
      <c r="U45" s="39">
        <f>2.1*CMF*40%*U$8</f>
        <v>1046.1150000000002</v>
      </c>
      <c r="V45" s="11">
        <f t="shared" si="6"/>
        <v>0.94500000000000017</v>
      </c>
      <c r="W45" s="18"/>
      <c r="X45" s="39">
        <f t="shared" si="11"/>
        <v>70540.47</v>
      </c>
      <c r="Y45" s="39">
        <f>2.1*CMF*40%*Y$8</f>
        <v>1216.2150000000001</v>
      </c>
      <c r="Z45" s="11">
        <f t="shared" si="7"/>
        <v>0.94500000000000006</v>
      </c>
      <c r="AA45" s="18"/>
      <c r="AB45" s="39">
        <f t="shared" si="3"/>
        <v>150303.19500000001</v>
      </c>
      <c r="AC45" s="40">
        <f>+AB45/AB$7</f>
        <v>1121.6656343283582</v>
      </c>
      <c r="AD45" s="11">
        <f>+AC45/AC$8</f>
        <v>0.94495841139710046</v>
      </c>
      <c r="AE45" s="18"/>
      <c r="AF45" s="62"/>
      <c r="AG45" s="63" t="s">
        <v>209</v>
      </c>
      <c r="AH45" s="7" t="s">
        <v>69</v>
      </c>
      <c r="AI45" s="8">
        <f t="shared" si="15"/>
        <v>1.3805079343750425E-2</v>
      </c>
      <c r="AJ45" s="16">
        <f>+AB87</f>
        <v>182671.875</v>
      </c>
      <c r="AK45" s="9">
        <f t="shared" si="2"/>
        <v>1363.2229477611941</v>
      </c>
      <c r="AL45" s="11">
        <f t="shared" si="8"/>
        <v>1.1484607816016799</v>
      </c>
    </row>
    <row r="46" spans="1:38">
      <c r="A46" s="16"/>
      <c r="B46" s="22" t="s">
        <v>30</v>
      </c>
      <c r="C46" s="59"/>
      <c r="D46" s="7"/>
      <c r="E46" s="60"/>
      <c r="F46" s="60"/>
      <c r="G46" s="60"/>
      <c r="H46" s="60"/>
      <c r="I46" s="60"/>
      <c r="J46" s="60"/>
      <c r="K46" s="60"/>
      <c r="L46" s="18"/>
      <c r="M46" s="7"/>
      <c r="N46" s="11"/>
      <c r="O46" s="11"/>
      <c r="P46" s="39"/>
      <c r="Q46" s="30"/>
      <c r="R46" s="31"/>
      <c r="S46" s="32"/>
      <c r="T46" s="33"/>
      <c r="U46" s="33"/>
      <c r="V46" s="31"/>
      <c r="W46" s="32"/>
      <c r="X46" s="33"/>
      <c r="Y46" s="33"/>
      <c r="Z46" s="31"/>
      <c r="AA46" s="32"/>
      <c r="AB46" s="33"/>
      <c r="AC46" s="34" t="s">
        <v>70</v>
      </c>
      <c r="AD46" s="31"/>
      <c r="AE46" s="32"/>
      <c r="AF46" s="71"/>
      <c r="AG46" s="72" t="s">
        <v>120</v>
      </c>
      <c r="AH46" s="35" t="s">
        <v>215</v>
      </c>
      <c r="AI46" s="73">
        <f t="shared" si="15"/>
        <v>3.1167849227943703E-2</v>
      </c>
      <c r="AJ46" s="51">
        <f>(SUM(AJ$43:AJ45)+SUM(AJ$9:AJ$40))*0.1-500000</f>
        <v>412419.90114046156</v>
      </c>
      <c r="AK46" s="74">
        <f t="shared" si="2"/>
        <v>3077.7604562721012</v>
      </c>
      <c r="AL46" s="31">
        <f>+AJ46/AL$7</f>
        <v>2.5928900221331941</v>
      </c>
    </row>
    <row r="47" spans="1:38">
      <c r="A47" s="51" t="s">
        <v>157</v>
      </c>
      <c r="B47" s="35" t="s">
        <v>9</v>
      </c>
      <c r="C47" s="75">
        <v>0.75</v>
      </c>
      <c r="D47" s="73">
        <f t="shared" ref="D47:D52" si="19">L47/$L$88</f>
        <v>0</v>
      </c>
      <c r="E47" s="76" t="s">
        <v>193</v>
      </c>
      <c r="F47" s="76" t="s">
        <v>193</v>
      </c>
      <c r="G47" s="76" t="s">
        <v>193</v>
      </c>
      <c r="H47" s="76" t="s">
        <v>193</v>
      </c>
      <c r="I47" s="76" t="s">
        <v>193</v>
      </c>
      <c r="J47" s="76" t="s">
        <v>193</v>
      </c>
      <c r="K47" s="76" t="s">
        <v>193</v>
      </c>
      <c r="L47" s="32">
        <f t="shared" si="0"/>
        <v>0</v>
      </c>
      <c r="M47" s="32">
        <v>0</v>
      </c>
      <c r="N47" s="31">
        <f t="shared" si="4"/>
        <v>0</v>
      </c>
      <c r="O47" s="31"/>
      <c r="P47" s="33">
        <f t="shared" si="9"/>
        <v>0</v>
      </c>
      <c r="Q47" s="33">
        <f>0*CMF</f>
        <v>0</v>
      </c>
      <c r="R47" s="31">
        <f t="shared" si="5"/>
        <v>0</v>
      </c>
      <c r="S47" s="32"/>
      <c r="T47" s="33">
        <f t="shared" si="10"/>
        <v>0</v>
      </c>
      <c r="U47" s="33">
        <f>0*CMF</f>
        <v>0</v>
      </c>
      <c r="V47" s="31">
        <f t="shared" si="6"/>
        <v>0</v>
      </c>
      <c r="W47" s="32"/>
      <c r="X47" s="33">
        <f t="shared" si="11"/>
        <v>0</v>
      </c>
      <c r="Y47" s="33">
        <f>0*CMF</f>
        <v>0</v>
      </c>
      <c r="Z47" s="31">
        <f t="shared" si="7"/>
        <v>0</v>
      </c>
      <c r="AA47" s="32"/>
      <c r="AB47" s="33">
        <f t="shared" si="3"/>
        <v>0</v>
      </c>
      <c r="AC47" s="34">
        <f>+AB47/AB$7</f>
        <v>0</v>
      </c>
      <c r="AD47" s="31">
        <f>+AC47/AC$8</f>
        <v>0</v>
      </c>
      <c r="AE47" s="32"/>
      <c r="AF47" s="71"/>
      <c r="AG47" s="72" t="s">
        <v>121</v>
      </c>
      <c r="AH47" s="35" t="s">
        <v>214</v>
      </c>
      <c r="AI47" s="73">
        <f t="shared" si="15"/>
        <v>0.10810677403852867</v>
      </c>
      <c r="AJ47" s="51">
        <f>(SUM(AJ$43:AJ46)+SUM(AJ$9:AJ$40))*0.15</f>
        <v>1430492.8368817617</v>
      </c>
      <c r="AK47" s="74">
        <f t="shared" si="2"/>
        <v>10675.319678222102</v>
      </c>
      <c r="AL47" s="31">
        <f>+AJ47/AL$7</f>
        <v>8.9935296362443999</v>
      </c>
    </row>
    <row r="48" spans="1:38" s="7" customFormat="1" ht="12.75" thickBot="1">
      <c r="A48" s="51" t="s">
        <v>157</v>
      </c>
      <c r="B48" s="35" t="s">
        <v>29</v>
      </c>
      <c r="C48" s="75">
        <v>0.25</v>
      </c>
      <c r="D48" s="73">
        <f t="shared" si="19"/>
        <v>3.9827705346670303E-3</v>
      </c>
      <c r="E48" s="76" t="s">
        <v>193</v>
      </c>
      <c r="F48" s="76" t="s">
        <v>193</v>
      </c>
      <c r="G48" s="76" t="s">
        <v>193</v>
      </c>
      <c r="H48" s="76" t="s">
        <v>193</v>
      </c>
      <c r="I48" s="76" t="s">
        <v>193</v>
      </c>
      <c r="J48" s="76" t="s">
        <v>193</v>
      </c>
      <c r="K48" s="76" t="s">
        <v>193</v>
      </c>
      <c r="L48" s="32">
        <f t="shared" si="0"/>
        <v>2800</v>
      </c>
      <c r="M48" s="32">
        <f>400/2</f>
        <v>200</v>
      </c>
      <c r="N48" s="31">
        <f t="shared" si="4"/>
        <v>0.14534883720930233</v>
      </c>
      <c r="O48" s="31"/>
      <c r="P48" s="33">
        <f t="shared" si="9"/>
        <v>675</v>
      </c>
      <c r="Q48" s="33">
        <f>$M48*CMF</f>
        <v>225</v>
      </c>
      <c r="R48" s="31">
        <f t="shared" si="5"/>
        <v>0.18781302170283806</v>
      </c>
      <c r="S48" s="32"/>
      <c r="T48" s="33">
        <f t="shared" si="10"/>
        <v>16425</v>
      </c>
      <c r="U48" s="33">
        <f>$M48*CMF</f>
        <v>225</v>
      </c>
      <c r="V48" s="31">
        <f t="shared" si="6"/>
        <v>0.2032520325203252</v>
      </c>
      <c r="W48" s="32"/>
      <c r="X48" s="33">
        <f t="shared" si="11"/>
        <v>13050</v>
      </c>
      <c r="Y48" s="33">
        <f>$M48*CMF</f>
        <v>225</v>
      </c>
      <c r="Z48" s="31">
        <f t="shared" si="7"/>
        <v>0.17482517482517482</v>
      </c>
      <c r="AA48" s="32"/>
      <c r="AB48" s="33">
        <f t="shared" si="3"/>
        <v>30150</v>
      </c>
      <c r="AC48" s="34">
        <f>+AB48/AB$7</f>
        <v>225</v>
      </c>
      <c r="AD48" s="31">
        <f>+AC48/AC$8</f>
        <v>0.18955349620893008</v>
      </c>
      <c r="AE48" s="32"/>
      <c r="AF48" s="71"/>
      <c r="AG48" s="72"/>
      <c r="AH48" s="13" t="s">
        <v>73</v>
      </c>
      <c r="AI48" s="14">
        <f>SUM(AI9:AI47)</f>
        <v>1.0000000000000002</v>
      </c>
      <c r="AJ48" s="2">
        <f>SUM(AJ9:AJ47)</f>
        <v>13232222.028676406</v>
      </c>
      <c r="AK48" s="2">
        <f t="shared" si="2"/>
        <v>98747.925587137361</v>
      </c>
      <c r="AL48" s="1">
        <f t="shared" si="8"/>
        <v>83.191175726316217</v>
      </c>
    </row>
    <row r="49" spans="1:40" s="7" customFormat="1" ht="12.75" thickTop="1">
      <c r="A49" s="16"/>
      <c r="B49" s="22" t="s">
        <v>31</v>
      </c>
      <c r="C49" s="59"/>
      <c r="D49" s="8"/>
      <c r="E49" s="60"/>
      <c r="F49" s="60"/>
      <c r="G49" s="60"/>
      <c r="H49" s="60"/>
      <c r="I49" s="60"/>
      <c r="J49" s="60"/>
      <c r="K49" s="60"/>
      <c r="L49" s="18">
        <f t="shared" si="0"/>
        <v>0</v>
      </c>
      <c r="M49" s="18"/>
      <c r="N49" s="11"/>
      <c r="O49" s="11"/>
      <c r="P49" s="67"/>
      <c r="Q49" s="67"/>
      <c r="R49" s="11"/>
      <c r="S49" s="18"/>
      <c r="T49" s="39"/>
      <c r="U49" s="39"/>
      <c r="V49" s="11"/>
      <c r="W49" s="18"/>
      <c r="X49" s="39"/>
      <c r="Y49" s="39"/>
      <c r="Z49" s="11"/>
      <c r="AA49" s="18"/>
      <c r="AB49" s="39"/>
      <c r="AC49" s="40" t="s">
        <v>70</v>
      </c>
      <c r="AD49" s="11"/>
      <c r="AE49" s="18"/>
      <c r="AF49" s="62"/>
      <c r="AG49" s="63"/>
      <c r="AH49" s="26" t="s">
        <v>206</v>
      </c>
    </row>
    <row r="50" spans="1:40" s="7" customFormat="1" ht="12.75" thickBot="1">
      <c r="A50" s="16" t="s">
        <v>168</v>
      </c>
      <c r="B50" s="7" t="s">
        <v>9</v>
      </c>
      <c r="C50" s="59">
        <v>0.6</v>
      </c>
      <c r="D50" s="8">
        <f t="shared" si="19"/>
        <v>2.389662320800218E-2</v>
      </c>
      <c r="E50" s="60" t="s">
        <v>193</v>
      </c>
      <c r="F50" s="60" t="s">
        <v>193</v>
      </c>
      <c r="G50" s="60" t="s">
        <v>193</v>
      </c>
      <c r="H50" s="60" t="s">
        <v>193</v>
      </c>
      <c r="I50" s="60" t="s">
        <v>193</v>
      </c>
      <c r="J50" s="60" t="s">
        <v>193</v>
      </c>
      <c r="K50" s="60" t="s">
        <v>193</v>
      </c>
      <c r="L50" s="18">
        <f t="shared" si="0"/>
        <v>16800</v>
      </c>
      <c r="M50" s="18">
        <f>2400/2</f>
        <v>1200</v>
      </c>
      <c r="N50" s="11">
        <f t="shared" si="4"/>
        <v>0.87209302325581395</v>
      </c>
      <c r="O50" s="11"/>
      <c r="P50" s="39">
        <f t="shared" si="9"/>
        <v>4043.25</v>
      </c>
      <c r="Q50" s="39">
        <f>1*Q$8*CMF</f>
        <v>1347.75</v>
      </c>
      <c r="R50" s="11">
        <f t="shared" si="5"/>
        <v>1.125</v>
      </c>
      <c r="S50" s="18"/>
      <c r="T50" s="39">
        <f t="shared" si="10"/>
        <v>90912.375</v>
      </c>
      <c r="U50" s="39">
        <f>1*U$8*CMF</f>
        <v>1245.375</v>
      </c>
      <c r="V50" s="11">
        <f t="shared" si="6"/>
        <v>1.125</v>
      </c>
      <c r="W50" s="18"/>
      <c r="X50" s="39">
        <f t="shared" si="11"/>
        <v>83976.75</v>
      </c>
      <c r="Y50" s="39">
        <f>1*Y$8*CMF</f>
        <v>1447.875</v>
      </c>
      <c r="Z50" s="11">
        <f t="shared" si="7"/>
        <v>1.125</v>
      </c>
      <c r="AA50" s="18"/>
      <c r="AB50" s="39">
        <f t="shared" si="3"/>
        <v>178932.375</v>
      </c>
      <c r="AC50" s="40">
        <f>+AB50/AB$7</f>
        <v>1335.3162313432836</v>
      </c>
      <c r="AD50" s="11">
        <f>+AC50/AC$8</f>
        <v>1.1249504897584528</v>
      </c>
      <c r="AE50" s="18"/>
      <c r="AF50" s="62"/>
      <c r="AG50" s="63"/>
      <c r="AH50" s="7" t="s">
        <v>207</v>
      </c>
      <c r="AI50" s="8">
        <f>AJ50/$AJ$48</f>
        <v>-0.14314829330213941</v>
      </c>
      <c r="AJ50" s="7">
        <f>-AJ42</f>
        <v>-1894170.0000000002</v>
      </c>
      <c r="AK50" s="18">
        <f t="shared" ref="AK50:AL53" si="20">AJ50/AK$7</f>
        <v>-14135.597014925375</v>
      </c>
      <c r="AL50" s="17">
        <f t="shared" si="20"/>
        <v>-8.8870707634481599E-2</v>
      </c>
    </row>
    <row r="51" spans="1:40" s="7" customFormat="1" ht="12.75" thickBot="1">
      <c r="A51" s="16" t="s">
        <v>169</v>
      </c>
      <c r="B51" s="7" t="s">
        <v>32</v>
      </c>
      <c r="C51" s="59">
        <v>0.4</v>
      </c>
      <c r="D51" s="8">
        <f t="shared" si="19"/>
        <v>1.5931082138668121E-2</v>
      </c>
      <c r="E51" s="60" t="s">
        <v>193</v>
      </c>
      <c r="F51" s="60" t="s">
        <v>193</v>
      </c>
      <c r="G51" s="64"/>
      <c r="H51" s="60" t="s">
        <v>193</v>
      </c>
      <c r="I51" s="60" t="s">
        <v>193</v>
      </c>
      <c r="J51" s="65" t="s">
        <v>193</v>
      </c>
      <c r="K51" s="60" t="s">
        <v>193</v>
      </c>
      <c r="L51" s="18">
        <f t="shared" si="0"/>
        <v>11200</v>
      </c>
      <c r="M51" s="18">
        <f>1600/2</f>
        <v>800</v>
      </c>
      <c r="N51" s="11">
        <f t="shared" si="4"/>
        <v>0.58139534883720934</v>
      </c>
      <c r="O51" s="11"/>
      <c r="P51" s="39">
        <f t="shared" si="9"/>
        <v>4043.25</v>
      </c>
      <c r="Q51" s="39">
        <f>1*Q$8*CMF</f>
        <v>1347.75</v>
      </c>
      <c r="R51" s="11">
        <f t="shared" si="5"/>
        <v>1.125</v>
      </c>
      <c r="S51" s="18"/>
      <c r="T51" s="39">
        <f t="shared" si="10"/>
        <v>90912.375</v>
      </c>
      <c r="U51" s="39">
        <f>1*U$8*CMF</f>
        <v>1245.375</v>
      </c>
      <c r="V51" s="11">
        <f t="shared" si="6"/>
        <v>1.125</v>
      </c>
      <c r="W51" s="18"/>
      <c r="X51" s="39">
        <f t="shared" si="11"/>
        <v>83976.75</v>
      </c>
      <c r="Y51" s="39">
        <f>1*Y$8*CMF</f>
        <v>1447.875</v>
      </c>
      <c r="Z51" s="11">
        <f t="shared" si="7"/>
        <v>1.125</v>
      </c>
      <c r="AA51" s="18"/>
      <c r="AB51" s="39">
        <f t="shared" si="3"/>
        <v>178932.375</v>
      </c>
      <c r="AC51" s="40">
        <f>+AB51/AB$7</f>
        <v>1335.3162313432836</v>
      </c>
      <c r="AD51" s="11">
        <f>+AC51/AC$8</f>
        <v>1.1249504897584528</v>
      </c>
      <c r="AE51" s="18"/>
      <c r="AF51" s="62"/>
      <c r="AG51" s="63"/>
      <c r="AH51" s="7" t="s">
        <v>208</v>
      </c>
      <c r="AI51" s="8">
        <f>AJ51/$AJ$48</f>
        <v>-2.8033105735807615E-2</v>
      </c>
      <c r="AJ51" s="7">
        <f>-AJ41</f>
        <v>-370940.27924956841</v>
      </c>
      <c r="AK51" s="18">
        <f t="shared" si="20"/>
        <v>-2768.2110391758838</v>
      </c>
      <c r="AL51" s="17">
        <f t="shared" si="20"/>
        <v>-1.7403783771805782E-2</v>
      </c>
    </row>
    <row r="52" spans="1:40" s="7" customFormat="1">
      <c r="A52" s="16" t="s">
        <v>170</v>
      </c>
      <c r="B52" s="22" t="s">
        <v>33</v>
      </c>
      <c r="C52" s="59"/>
      <c r="D52" s="8">
        <f t="shared" si="19"/>
        <v>9.5905114474782085E-3</v>
      </c>
      <c r="E52" s="60" t="s">
        <v>193</v>
      </c>
      <c r="F52" s="60" t="s">
        <v>193</v>
      </c>
      <c r="G52" s="60" t="s">
        <v>193</v>
      </c>
      <c r="H52" s="60" t="s">
        <v>193</v>
      </c>
      <c r="I52" s="60" t="s">
        <v>193</v>
      </c>
      <c r="J52" s="60" t="s">
        <v>193</v>
      </c>
      <c r="K52" s="60" t="s">
        <v>193</v>
      </c>
      <c r="L52" s="18">
        <f>M52*TRUnits</f>
        <v>6742.4</v>
      </c>
      <c r="M52" s="18">
        <f>(1376*0.7)/2</f>
        <v>481.59999999999997</v>
      </c>
      <c r="N52" s="11">
        <f t="shared" si="4"/>
        <v>0.35</v>
      </c>
      <c r="O52" s="11"/>
      <c r="P52" s="39">
        <f t="shared" si="9"/>
        <v>3436.7624999999998</v>
      </c>
      <c r="Q52" s="39">
        <f>Q$8*0.85*CMF</f>
        <v>1145.5874999999999</v>
      </c>
      <c r="R52" s="11">
        <f t="shared" si="5"/>
        <v>0.95624999999999993</v>
      </c>
      <c r="S52" s="18"/>
      <c r="T52" s="39">
        <f t="shared" si="10"/>
        <v>77275.518749999988</v>
      </c>
      <c r="U52" s="39">
        <f>U$8*0.85*CMF</f>
        <v>1058.5687499999999</v>
      </c>
      <c r="V52" s="11">
        <f t="shared" si="6"/>
        <v>0.95624999999999993</v>
      </c>
      <c r="W52" s="18"/>
      <c r="X52" s="39">
        <f t="shared" si="11"/>
        <v>71380.237500000003</v>
      </c>
      <c r="Y52" s="39">
        <f>Y$8*0.85*CMF</f>
        <v>1230.6937500000001</v>
      </c>
      <c r="Z52" s="11">
        <f t="shared" si="7"/>
        <v>0.95625000000000016</v>
      </c>
      <c r="AA52" s="18"/>
      <c r="AB52" s="39">
        <f t="shared" si="3"/>
        <v>152092.51874999999</v>
      </c>
      <c r="AC52" s="40">
        <f>+AB52/AB$7</f>
        <v>1135.0187966417909</v>
      </c>
      <c r="AD52" s="11">
        <f>+AC52/AC$8</f>
        <v>0.95620791629468482</v>
      </c>
      <c r="AE52" s="18"/>
      <c r="AF52" s="62"/>
      <c r="AG52" s="63"/>
      <c r="AH52" s="7" t="s">
        <v>215</v>
      </c>
      <c r="AI52" s="8">
        <f>AJ52/$AJ$48</f>
        <v>-3.1167849227943703E-2</v>
      </c>
      <c r="AJ52" s="7">
        <f>-AJ46</f>
        <v>-412419.90114046156</v>
      </c>
      <c r="AK52" s="18">
        <f t="shared" si="20"/>
        <v>-3077.7604562721012</v>
      </c>
      <c r="AL52" s="17">
        <f t="shared" si="20"/>
        <v>-1.9349925538307416E-2</v>
      </c>
    </row>
    <row r="53" spans="1:40" s="7" customFormat="1">
      <c r="A53" s="16" t="s">
        <v>171</v>
      </c>
      <c r="B53" s="22" t="s">
        <v>34</v>
      </c>
      <c r="C53" s="59"/>
      <c r="E53" s="60"/>
      <c r="F53" s="60"/>
      <c r="G53" s="60"/>
      <c r="H53" s="60"/>
      <c r="I53" s="60"/>
      <c r="K53" s="60"/>
      <c r="L53" s="18"/>
      <c r="M53" s="18"/>
      <c r="N53" s="11"/>
      <c r="O53" s="11"/>
      <c r="P53" s="39"/>
      <c r="Q53" s="67"/>
      <c r="R53" s="11"/>
      <c r="S53" s="18"/>
      <c r="T53" s="39"/>
      <c r="U53" s="39"/>
      <c r="V53" s="11"/>
      <c r="W53" s="18"/>
      <c r="X53" s="39"/>
      <c r="Y53" s="39"/>
      <c r="Z53" s="11"/>
      <c r="AA53" s="18"/>
      <c r="AB53" s="39"/>
      <c r="AC53" s="40" t="s">
        <v>70</v>
      </c>
      <c r="AD53" s="11"/>
      <c r="AE53" s="18"/>
      <c r="AF53" s="62"/>
      <c r="AG53" s="63"/>
      <c r="AH53" s="7" t="s">
        <v>216</v>
      </c>
      <c r="AI53" s="8">
        <f>AJ53/$AJ$48</f>
        <v>-0.10810677403852867</v>
      </c>
      <c r="AJ53" s="7">
        <f>-AJ47</f>
        <v>-1430492.8368817617</v>
      </c>
      <c r="AK53" s="18">
        <f t="shared" si="20"/>
        <v>-10675.319678222102</v>
      </c>
      <c r="AL53" s="17">
        <f t="shared" si="20"/>
        <v>-6.7115892807794023E-2</v>
      </c>
    </row>
    <row r="54" spans="1:40" s="7" customFormat="1" ht="12.75" thickBot="1">
      <c r="A54" s="16" t="s">
        <v>171</v>
      </c>
      <c r="B54" s="7" t="s">
        <v>35</v>
      </c>
      <c r="C54" s="59"/>
      <c r="D54" s="8">
        <f>L54/$L$88</f>
        <v>2.9069246439900987E-2</v>
      </c>
      <c r="E54" s="60" t="s">
        <v>193</v>
      </c>
      <c r="F54" s="60" t="s">
        <v>193</v>
      </c>
      <c r="G54" s="60" t="s">
        <v>193</v>
      </c>
      <c r="H54" s="60" t="s">
        <v>193</v>
      </c>
      <c r="I54" s="60" t="s">
        <v>193</v>
      </c>
      <c r="J54" s="60" t="s">
        <v>193</v>
      </c>
      <c r="K54" s="60" t="s">
        <v>193</v>
      </c>
      <c r="L54" s="18">
        <f t="shared" ref="L54:L76" si="21">7*M54</f>
        <v>20436.5</v>
      </c>
      <c r="M54" s="18">
        <f>(2739+(21700/7))/2</f>
        <v>2919.5</v>
      </c>
      <c r="N54" s="11">
        <f t="shared" si="4"/>
        <v>2.1217296511627906</v>
      </c>
      <c r="O54" s="11"/>
      <c r="P54" s="39">
        <f t="shared" si="9"/>
        <v>8578.6834120639523</v>
      </c>
      <c r="Q54" s="39">
        <f>Q$8*$N54*CMF</f>
        <v>2859.5611373546508</v>
      </c>
      <c r="R54" s="11">
        <f t="shared" si="5"/>
        <v>2.386945857558139</v>
      </c>
      <c r="S54" s="18"/>
      <c r="T54" s="39">
        <f t="shared" si="10"/>
        <v>192891.48169513079</v>
      </c>
      <c r="U54" s="39">
        <f>U$8*$N54*CMF</f>
        <v>2642.3490643168602</v>
      </c>
      <c r="V54" s="11">
        <f t="shared" si="6"/>
        <v>2.3869458575581395</v>
      </c>
      <c r="W54" s="18"/>
      <c r="X54" s="39">
        <f t="shared" si="11"/>
        <v>178175.96048328487</v>
      </c>
      <c r="Y54" s="39">
        <f>Y$8*$N54*CMF</f>
        <v>3071.9993186773254</v>
      </c>
      <c r="Z54" s="11">
        <f t="shared" si="7"/>
        <v>2.3869458575581395</v>
      </c>
      <c r="AA54" s="18"/>
      <c r="AB54" s="39">
        <f t="shared" si="3"/>
        <v>379646.12559047958</v>
      </c>
      <c r="AC54" s="40">
        <f>+AB54/AB$7</f>
        <v>2833.180041719997</v>
      </c>
      <c r="AD54" s="11">
        <f>+AC54/AC$8</f>
        <v>2.3868408102106127</v>
      </c>
      <c r="AE54" s="18"/>
      <c r="AF54" s="62"/>
      <c r="AG54" s="63"/>
      <c r="AH54" s="13" t="s">
        <v>213</v>
      </c>
      <c r="AI54" s="14">
        <f>AJ54/$AJ$48</f>
        <v>0.68954397769558073</v>
      </c>
      <c r="AJ54" s="2">
        <f>SUM(AJ48:AJ53)</f>
        <v>9124199.0114046149</v>
      </c>
      <c r="AK54" s="2">
        <f>+AJ54/AK$7</f>
        <v>68091.037398541899</v>
      </c>
      <c r="AL54" s="1">
        <f>+AJ54/AL$7</f>
        <v>57.363974219496129</v>
      </c>
    </row>
    <row r="55" spans="1:40" s="7" customFormat="1" ht="13.5" thickTop="1" thickBot="1">
      <c r="A55" s="16" t="s">
        <v>171</v>
      </c>
      <c r="B55" s="7" t="s">
        <v>71</v>
      </c>
      <c r="C55" s="59"/>
      <c r="D55" s="8">
        <f>L55/$L$88</f>
        <v>2.0162775831751838E-2</v>
      </c>
      <c r="E55" s="60" t="s">
        <v>193</v>
      </c>
      <c r="F55" s="60" t="s">
        <v>193</v>
      </c>
      <c r="G55" s="65" t="s">
        <v>193</v>
      </c>
      <c r="H55" s="60" t="s">
        <v>193</v>
      </c>
      <c r="I55" s="60" t="s">
        <v>193</v>
      </c>
      <c r="J55" s="65" t="s">
        <v>193</v>
      </c>
      <c r="K55" s="65" t="s">
        <v>193</v>
      </c>
      <c r="L55" s="18">
        <f t="shared" si="21"/>
        <v>14175</v>
      </c>
      <c r="M55" s="18">
        <f>4050/2</f>
        <v>2025</v>
      </c>
      <c r="N55" s="11">
        <f t="shared" si="4"/>
        <v>1.4716569767441861</v>
      </c>
      <c r="O55" s="11"/>
      <c r="P55" s="39">
        <f t="shared" si="9"/>
        <v>5950.2770712209294</v>
      </c>
      <c r="Q55" s="39">
        <f>Q$8*$N55*CMF</f>
        <v>1983.4256904069766</v>
      </c>
      <c r="R55" s="11">
        <f t="shared" si="5"/>
        <v>1.6556140988372092</v>
      </c>
      <c r="S55" s="18"/>
      <c r="T55" s="39">
        <f t="shared" si="10"/>
        <v>133791.83094113372</v>
      </c>
      <c r="U55" s="39">
        <f>U$8*$N55*CMF</f>
        <v>1832.7648074127906</v>
      </c>
      <c r="V55" s="11">
        <f t="shared" si="6"/>
        <v>1.6556140988372092</v>
      </c>
      <c r="W55" s="18"/>
      <c r="X55" s="39">
        <f t="shared" si="11"/>
        <v>123584.97002180234</v>
      </c>
      <c r="Y55" s="39">
        <f>Y$8*$N55*CMF</f>
        <v>2130.7753452034885</v>
      </c>
      <c r="Z55" s="11">
        <f t="shared" si="7"/>
        <v>1.6556140988372094</v>
      </c>
      <c r="AA55" s="18"/>
      <c r="AB55" s="39">
        <f t="shared" si="3"/>
        <v>263327.07803415699</v>
      </c>
      <c r="AC55" s="40">
        <f>+AB55/AB$7</f>
        <v>1965.1274480160969</v>
      </c>
      <c r="AD55" s="11">
        <f>+AC55/AC$8</f>
        <v>1.6555412367448163</v>
      </c>
      <c r="AE55" s="18"/>
      <c r="AF55" s="62"/>
      <c r="AG55" s="63"/>
    </row>
    <row r="56" spans="1:40" s="7" customFormat="1" ht="12.75" thickBot="1">
      <c r="A56" s="16" t="s">
        <v>158</v>
      </c>
      <c r="B56" s="24" t="s">
        <v>36</v>
      </c>
      <c r="C56" s="59"/>
      <c r="D56" s="8">
        <f>L56/$L$88</f>
        <v>3.634278112883665E-3</v>
      </c>
      <c r="E56" s="60" t="s">
        <v>193</v>
      </c>
      <c r="F56" s="60" t="s">
        <v>193</v>
      </c>
      <c r="G56" s="64"/>
      <c r="H56" s="60" t="s">
        <v>193</v>
      </c>
      <c r="I56" s="60" t="s">
        <v>193</v>
      </c>
      <c r="J56" s="65" t="s">
        <v>193</v>
      </c>
      <c r="K56" s="65" t="s">
        <v>193</v>
      </c>
      <c r="L56" s="18">
        <f t="shared" si="21"/>
        <v>2555</v>
      </c>
      <c r="M56" s="18">
        <f>730/2</f>
        <v>365</v>
      </c>
      <c r="N56" s="11">
        <f t="shared" si="4"/>
        <v>0.26526162790697677</v>
      </c>
      <c r="O56" s="11"/>
      <c r="P56" s="39">
        <f t="shared" si="9"/>
        <v>675</v>
      </c>
      <c r="Q56" s="39">
        <f>200*CMF</f>
        <v>225</v>
      </c>
      <c r="R56" s="11">
        <f t="shared" si="5"/>
        <v>0.18781302170283806</v>
      </c>
      <c r="S56" s="18"/>
      <c r="T56" s="39">
        <f t="shared" si="10"/>
        <v>0</v>
      </c>
      <c r="U56" s="39">
        <v>0</v>
      </c>
      <c r="V56" s="11">
        <f t="shared" si="6"/>
        <v>0</v>
      </c>
      <c r="W56" s="18"/>
      <c r="X56" s="39">
        <f t="shared" si="11"/>
        <v>13050</v>
      </c>
      <c r="Y56" s="39">
        <f>200*CMF</f>
        <v>225</v>
      </c>
      <c r="Z56" s="11">
        <f t="shared" si="7"/>
        <v>0.17482517482517482</v>
      </c>
      <c r="AA56" s="18"/>
      <c r="AB56" s="39">
        <f t="shared" si="3"/>
        <v>13725</v>
      </c>
      <c r="AC56" s="40">
        <f>+AB56/AB$7</f>
        <v>102.42537313432835</v>
      </c>
      <c r="AD56" s="11">
        <f>+AC56/AC$8</f>
        <v>8.6289278124960705E-2</v>
      </c>
      <c r="AE56" s="18"/>
      <c r="AF56" s="62"/>
      <c r="AG56" s="63"/>
      <c r="AJ56" s="7">
        <f>0.75*AJ48</f>
        <v>9924166.5215073042</v>
      </c>
    </row>
    <row r="57" spans="1:40" s="7" customFormat="1" ht="12.75" thickBot="1">
      <c r="A57" s="16" t="s">
        <v>158</v>
      </c>
      <c r="B57" s="22" t="s">
        <v>37</v>
      </c>
      <c r="C57" s="59"/>
      <c r="D57" s="8"/>
      <c r="E57" s="60"/>
      <c r="F57" s="60"/>
      <c r="G57" s="60"/>
      <c r="H57" s="60"/>
      <c r="I57" s="60"/>
      <c r="J57" s="60"/>
      <c r="K57" s="60"/>
      <c r="L57" s="18"/>
      <c r="M57" s="77"/>
      <c r="N57" s="11"/>
      <c r="O57" s="11"/>
      <c r="P57" s="39"/>
      <c r="Q57" s="39"/>
      <c r="R57" s="11"/>
      <c r="S57" s="18"/>
      <c r="T57" s="39"/>
      <c r="U57" s="39"/>
      <c r="V57" s="11"/>
      <c r="W57" s="18"/>
      <c r="X57" s="39"/>
      <c r="Y57" s="39"/>
      <c r="Z57" s="11"/>
      <c r="AA57" s="18"/>
      <c r="AB57" s="39"/>
      <c r="AC57" s="40" t="s">
        <v>70</v>
      </c>
      <c r="AD57" s="11"/>
      <c r="AE57" s="18"/>
      <c r="AF57" s="62"/>
      <c r="AG57" s="63"/>
      <c r="AJ57" s="7">
        <f>+AJ48-AJ56</f>
        <v>3308055.5071691014</v>
      </c>
    </row>
    <row r="58" spans="1:40" s="7" customFormat="1" ht="12.75" thickBot="1">
      <c r="A58" s="16" t="s">
        <v>158</v>
      </c>
      <c r="B58" s="7" t="s">
        <v>38</v>
      </c>
      <c r="C58" s="59"/>
      <c r="D58" s="8">
        <f t="shared" ref="D58:D64" si="22">L58/$L$88</f>
        <v>7.3432331732923364E-3</v>
      </c>
      <c r="E58" s="60" t="s">
        <v>193</v>
      </c>
      <c r="F58" s="60" t="s">
        <v>193</v>
      </c>
      <c r="G58" s="64"/>
      <c r="H58" s="60" t="s">
        <v>193</v>
      </c>
      <c r="I58" s="60" t="s">
        <v>193</v>
      </c>
      <c r="J58" s="65" t="s">
        <v>193</v>
      </c>
      <c r="K58" s="65" t="s">
        <v>193</v>
      </c>
      <c r="L58" s="18">
        <f t="shared" si="21"/>
        <v>5162.5</v>
      </c>
      <c r="M58" s="18">
        <f>1475/2</f>
        <v>737.5</v>
      </c>
      <c r="N58" s="11">
        <f t="shared" si="4"/>
        <v>0.53597383720930236</v>
      </c>
      <c r="O58" s="11"/>
      <c r="P58" s="39">
        <f t="shared" si="9"/>
        <v>3037.5</v>
      </c>
      <c r="Q58" s="39">
        <f>12*75*CMF</f>
        <v>1012.5</v>
      </c>
      <c r="R58" s="11">
        <f t="shared" si="5"/>
        <v>0.84515859766277124</v>
      </c>
      <c r="S58" s="18"/>
      <c r="T58" s="39">
        <f t="shared" si="10"/>
        <v>73912.5</v>
      </c>
      <c r="U58" s="39">
        <f>12*75*CMF</f>
        <v>1012.5</v>
      </c>
      <c r="V58" s="11">
        <f t="shared" si="6"/>
        <v>0.91463414634146345</v>
      </c>
      <c r="W58" s="18"/>
      <c r="X58" s="39">
        <f t="shared" si="11"/>
        <v>58725</v>
      </c>
      <c r="Y58" s="39">
        <f>12*75*CMF</f>
        <v>1012.5</v>
      </c>
      <c r="Z58" s="11">
        <f t="shared" si="7"/>
        <v>0.78671328671328666</v>
      </c>
      <c r="AA58" s="18"/>
      <c r="AB58" s="39">
        <f t="shared" si="3"/>
        <v>135675</v>
      </c>
      <c r="AC58" s="40">
        <f>+AB58/AB$7</f>
        <v>1012.5</v>
      </c>
      <c r="AD58" s="11">
        <f>+AC58/AC$8</f>
        <v>0.85299073294018535</v>
      </c>
      <c r="AE58" s="18"/>
      <c r="AF58" s="62"/>
      <c r="AG58" s="63"/>
      <c r="AI58" s="8"/>
      <c r="AJ58" s="9">
        <f>AJ57-AJ47-AJ46</f>
        <v>1465142.7691468783</v>
      </c>
    </row>
    <row r="59" spans="1:40" s="7" customFormat="1" ht="12.75" thickBot="1">
      <c r="A59" s="16" t="s">
        <v>158</v>
      </c>
      <c r="B59" s="7" t="s">
        <v>39</v>
      </c>
      <c r="C59" s="59"/>
      <c r="D59" s="8">
        <f t="shared" si="22"/>
        <v>6.2977559079422409E-3</v>
      </c>
      <c r="E59" s="60" t="s">
        <v>193</v>
      </c>
      <c r="F59" s="60" t="s">
        <v>193</v>
      </c>
      <c r="G59" s="64"/>
      <c r="H59" s="60" t="s">
        <v>193</v>
      </c>
      <c r="I59" s="60" t="s">
        <v>193</v>
      </c>
      <c r="J59" s="65" t="s">
        <v>193</v>
      </c>
      <c r="K59" s="65" t="s">
        <v>193</v>
      </c>
      <c r="L59" s="18">
        <f t="shared" si="21"/>
        <v>4427.5</v>
      </c>
      <c r="M59" s="18">
        <f>1265/2</f>
        <v>632.5</v>
      </c>
      <c r="N59" s="11">
        <f t="shared" si="4"/>
        <v>0.45966569767441862</v>
      </c>
      <c r="O59" s="11"/>
      <c r="P59" s="39">
        <f t="shared" si="9"/>
        <v>1858.543332122093</v>
      </c>
      <c r="Q59" s="39">
        <f>Q$8*$N59*CMF</f>
        <v>619.51444404069764</v>
      </c>
      <c r="R59" s="11">
        <f t="shared" si="5"/>
        <v>0.51712390988372092</v>
      </c>
      <c r="S59" s="18"/>
      <c r="T59" s="39">
        <f t="shared" si="10"/>
        <v>41789.300281613374</v>
      </c>
      <c r="U59" s="39">
        <f t="shared" ref="U59:U72" si="23">U$8*$N59*CMF</f>
        <v>572.4561682412791</v>
      </c>
      <c r="V59" s="11">
        <f t="shared" si="6"/>
        <v>0.51712390988372092</v>
      </c>
      <c r="W59" s="18"/>
      <c r="X59" s="39">
        <f t="shared" si="11"/>
        <v>38601.231377180236</v>
      </c>
      <c r="Y59" s="39">
        <f t="shared" ref="Y59:Y72" si="24">Y$8*$N59*CMF</f>
        <v>665.53847202034888</v>
      </c>
      <c r="Z59" s="11">
        <f t="shared" si="7"/>
        <v>0.51712390988372092</v>
      </c>
      <c r="AA59" s="18"/>
      <c r="AB59" s="39">
        <f t="shared" si="3"/>
        <v>82249.074990915702</v>
      </c>
      <c r="AC59" s="40">
        <f>+AB59/AB$7</f>
        <v>613.79906709638578</v>
      </c>
      <c r="AD59" s="11">
        <f>+AC59/AC$8</f>
        <v>0.51710115172399818</v>
      </c>
      <c r="AE59" s="18"/>
      <c r="AF59" s="62"/>
      <c r="AG59" s="63"/>
      <c r="AI59" s="8"/>
      <c r="AJ59" s="9"/>
    </row>
    <row r="60" spans="1:40" s="7" customFormat="1" ht="12.75" thickBot="1">
      <c r="A60" s="16" t="s">
        <v>158</v>
      </c>
      <c r="B60" s="7" t="s">
        <v>26</v>
      </c>
      <c r="C60" s="59"/>
      <c r="D60" s="8">
        <f t="shared" si="22"/>
        <v>6.2081435709122335E-3</v>
      </c>
      <c r="E60" s="60" t="s">
        <v>193</v>
      </c>
      <c r="F60" s="60" t="s">
        <v>193</v>
      </c>
      <c r="G60" s="64"/>
      <c r="H60" s="60" t="s">
        <v>193</v>
      </c>
      <c r="I60" s="60" t="s">
        <v>193</v>
      </c>
      <c r="J60" s="65" t="s">
        <v>193</v>
      </c>
      <c r="K60" s="65" t="s">
        <v>193</v>
      </c>
      <c r="L60" s="18">
        <f t="shared" si="21"/>
        <v>4364.5</v>
      </c>
      <c r="M60" s="18">
        <f>1247/2</f>
        <v>623.5</v>
      </c>
      <c r="N60" s="11">
        <f t="shared" si="4"/>
        <v>0.453125</v>
      </c>
      <c r="O60" s="11"/>
      <c r="P60" s="39">
        <f t="shared" si="9"/>
        <v>1832.09765625</v>
      </c>
      <c r="Q60" s="39">
        <f>Q$8*$N60*CMF</f>
        <v>610.69921875</v>
      </c>
      <c r="R60" s="11">
        <f t="shared" si="5"/>
        <v>0.509765625</v>
      </c>
      <c r="S60" s="18"/>
      <c r="T60" s="39">
        <f t="shared" si="10"/>
        <v>41194.669921875</v>
      </c>
      <c r="U60" s="39">
        <f t="shared" si="23"/>
        <v>564.310546875</v>
      </c>
      <c r="V60" s="11">
        <f t="shared" si="6"/>
        <v>0.509765625</v>
      </c>
      <c r="W60" s="18"/>
      <c r="X60" s="39">
        <f t="shared" si="11"/>
        <v>38051.96484375</v>
      </c>
      <c r="Y60" s="39">
        <f t="shared" si="24"/>
        <v>656.068359375</v>
      </c>
      <c r="Z60" s="11">
        <f t="shared" si="7"/>
        <v>0.509765625</v>
      </c>
      <c r="AA60" s="18"/>
      <c r="AB60" s="39">
        <f t="shared" si="3"/>
        <v>81078.732421875</v>
      </c>
      <c r="AC60" s="40">
        <f>+AB60/AB$7</f>
        <v>605.06516732742534</v>
      </c>
      <c r="AD60" s="11">
        <f>+AC60/AC$8</f>
        <v>0.50974319067179896</v>
      </c>
      <c r="AE60" s="18"/>
      <c r="AF60" s="62"/>
      <c r="AG60" s="63"/>
      <c r="AI60" s="8"/>
      <c r="AJ60" s="18">
        <f>X7</f>
        <v>58</v>
      </c>
      <c r="AK60" s="7">
        <f>475*3</f>
        <v>1425</v>
      </c>
      <c r="AL60" s="7">
        <f>AK60*AJ60</f>
        <v>82650</v>
      </c>
      <c r="AN60" s="10">
        <f>AK60/AC$8</f>
        <v>1.2005054759898905</v>
      </c>
    </row>
    <row r="61" spans="1:40" s="7" customFormat="1">
      <c r="A61" s="16"/>
      <c r="B61" s="22" t="s">
        <v>40</v>
      </c>
      <c r="C61" s="59"/>
      <c r="D61" s="8">
        <f t="shared" si="22"/>
        <v>0</v>
      </c>
      <c r="E61" s="60"/>
      <c r="F61" s="60"/>
      <c r="G61" s="60"/>
      <c r="H61" s="60"/>
      <c r="I61" s="60"/>
      <c r="J61" s="60"/>
      <c r="K61" s="60"/>
      <c r="L61" s="18"/>
      <c r="M61" s="18"/>
      <c r="N61" s="11"/>
      <c r="O61" s="11"/>
      <c r="P61" s="39"/>
      <c r="Q61" s="39"/>
      <c r="R61" s="11"/>
      <c r="S61" s="18"/>
      <c r="T61" s="39"/>
      <c r="U61" s="39"/>
      <c r="V61" s="11"/>
      <c r="W61" s="18"/>
      <c r="X61" s="39"/>
      <c r="Y61" s="39"/>
      <c r="Z61" s="11"/>
      <c r="AA61" s="18"/>
      <c r="AB61" s="39"/>
      <c r="AC61" s="40" t="s">
        <v>70</v>
      </c>
      <c r="AD61" s="11"/>
      <c r="AE61" s="18"/>
      <c r="AF61" s="62"/>
      <c r="AG61" s="63"/>
      <c r="AI61" s="8"/>
      <c r="AJ61" s="18">
        <f>T7</f>
        <v>73</v>
      </c>
      <c r="AK61" s="7">
        <v>1200</v>
      </c>
      <c r="AL61" s="7">
        <f>AK61*AJ61</f>
        <v>87600</v>
      </c>
      <c r="AN61" s="10">
        <f>AK61/U$8</f>
        <v>1.084010840108401</v>
      </c>
    </row>
    <row r="62" spans="1:40" s="7" customFormat="1" ht="12.75" thickBot="1">
      <c r="A62" s="16" t="s">
        <v>172</v>
      </c>
      <c r="B62" s="7" t="s">
        <v>41</v>
      </c>
      <c r="C62" s="59"/>
      <c r="D62" s="8">
        <f t="shared" si="22"/>
        <v>1.1326003707959366E-2</v>
      </c>
      <c r="E62" s="60" t="s">
        <v>193</v>
      </c>
      <c r="F62" s="60" t="s">
        <v>193</v>
      </c>
      <c r="G62" s="60" t="s">
        <v>193</v>
      </c>
      <c r="H62" s="60" t="s">
        <v>193</v>
      </c>
      <c r="I62" s="60" t="s">
        <v>193</v>
      </c>
      <c r="J62" s="60" t="s">
        <v>193</v>
      </c>
      <c r="K62" s="60" t="s">
        <v>193</v>
      </c>
      <c r="L62" s="18">
        <f t="shared" si="21"/>
        <v>7962.5</v>
      </c>
      <c r="M62" s="18">
        <f>2275/2</f>
        <v>1137.5</v>
      </c>
      <c r="N62" s="11">
        <f t="shared" si="4"/>
        <v>0.82667151162790697</v>
      </c>
      <c r="O62" s="11"/>
      <c r="P62" s="39">
        <f t="shared" si="9"/>
        <v>3011.3015625000003</v>
      </c>
      <c r="Q62" s="39">
        <f>1.75*R$8*0.33*CMF</f>
        <v>1003.7671875000001</v>
      </c>
      <c r="R62" s="11">
        <f t="shared" si="5"/>
        <v>0.83786910475792997</v>
      </c>
      <c r="S62" s="18"/>
      <c r="T62" s="39">
        <f t="shared" si="10"/>
        <v>75154.670466933138</v>
      </c>
      <c r="U62" s="39">
        <f t="shared" si="23"/>
        <v>1029.5160337936047</v>
      </c>
      <c r="V62" s="11">
        <f t="shared" si="6"/>
        <v>0.93000545058139539</v>
      </c>
      <c r="W62" s="18"/>
      <c r="X62" s="39">
        <f t="shared" si="11"/>
        <v>69421.186864098825</v>
      </c>
      <c r="Y62" s="39">
        <f t="shared" si="24"/>
        <v>1196.9170148982557</v>
      </c>
      <c r="Z62" s="11">
        <f t="shared" si="7"/>
        <v>0.93000545058139528</v>
      </c>
      <c r="AA62" s="18"/>
      <c r="AB62" s="39">
        <f t="shared" si="3"/>
        <v>147587.15889353197</v>
      </c>
      <c r="AC62" s="40">
        <f>+AB62/AB$7</f>
        <v>1101.3967081606863</v>
      </c>
      <c r="AD62" s="11">
        <f>+AC62/AC$8</f>
        <v>0.92788265219939881</v>
      </c>
      <c r="AE62" s="18"/>
      <c r="AF62" s="62"/>
      <c r="AG62" s="63"/>
      <c r="AI62" s="8"/>
      <c r="AJ62" s="7">
        <f>P7</f>
        <v>3</v>
      </c>
      <c r="AK62" s="18">
        <v>1250</v>
      </c>
      <c r="AL62" s="7">
        <f>AK62*AJ62</f>
        <v>3750</v>
      </c>
      <c r="AM62" s="7">
        <f>SUM(AL60:AL62)</f>
        <v>174000</v>
      </c>
      <c r="AN62" s="10">
        <f>AK62/Q$8</f>
        <v>1.0434056761268782</v>
      </c>
    </row>
    <row r="63" spans="1:40" s="7" customFormat="1" ht="12.75" thickBot="1">
      <c r="A63" s="16" t="s">
        <v>173</v>
      </c>
      <c r="B63" s="7" t="s">
        <v>42</v>
      </c>
      <c r="C63" s="59"/>
      <c r="D63" s="8">
        <f t="shared" si="22"/>
        <v>9.0608029663674927E-3</v>
      </c>
      <c r="E63" s="60" t="s">
        <v>193</v>
      </c>
      <c r="F63" s="60" t="s">
        <v>193</v>
      </c>
      <c r="G63" s="64"/>
      <c r="H63" s="60" t="s">
        <v>193</v>
      </c>
      <c r="I63" s="60" t="s">
        <v>193</v>
      </c>
      <c r="J63" s="65" t="s">
        <v>193</v>
      </c>
      <c r="K63" s="65" t="s">
        <v>193</v>
      </c>
      <c r="L63" s="18">
        <f t="shared" si="21"/>
        <v>6370</v>
      </c>
      <c r="M63" s="18">
        <f>1820/2</f>
        <v>910</v>
      </c>
      <c r="N63" s="11">
        <f t="shared" si="4"/>
        <v>0.66133720930232553</v>
      </c>
      <c r="O63" s="11"/>
      <c r="P63" s="39">
        <f t="shared" si="9"/>
        <v>6113.8546875000002</v>
      </c>
      <c r="Q63" s="39">
        <f>1.75*R$8*0.67*CMF</f>
        <v>2037.9515625000001</v>
      </c>
      <c r="R63" s="11">
        <f t="shared" si="5"/>
        <v>1.7011281823873123</v>
      </c>
      <c r="S63" s="18"/>
      <c r="T63" s="39">
        <f t="shared" si="10"/>
        <v>60123.736373546511</v>
      </c>
      <c r="U63" s="39">
        <f t="shared" si="23"/>
        <v>823.61282703488371</v>
      </c>
      <c r="V63" s="11">
        <f t="shared" si="6"/>
        <v>0.74400436046511631</v>
      </c>
      <c r="W63" s="18"/>
      <c r="X63" s="39">
        <f t="shared" si="11"/>
        <v>55536.949491279061</v>
      </c>
      <c r="Y63" s="39">
        <f t="shared" si="24"/>
        <v>957.53361191860449</v>
      </c>
      <c r="Z63" s="11">
        <f t="shared" si="7"/>
        <v>0.7440043604651162</v>
      </c>
      <c r="AA63" s="18"/>
      <c r="AB63" s="39">
        <f t="shared" si="3"/>
        <v>121774.54055232558</v>
      </c>
      <c r="AC63" s="40">
        <f>+AB63/AB$7</f>
        <v>908.76522800242969</v>
      </c>
      <c r="AD63" s="11">
        <f>+AC63/AC$8</f>
        <v>0.76559833867096017</v>
      </c>
      <c r="AE63" s="18"/>
      <c r="AF63" s="62"/>
      <c r="AG63" s="63"/>
      <c r="AI63" s="8"/>
      <c r="AJ63" s="7">
        <f>2900000/28</f>
        <v>103571.42857142857</v>
      </c>
      <c r="AK63" s="10">
        <f>AJ63/1343</f>
        <v>77.119455377087533</v>
      </c>
      <c r="AL63" s="18"/>
    </row>
    <row r="64" spans="1:40" s="7" customFormat="1" ht="12.75" thickBot="1">
      <c r="A64" s="16" t="s">
        <v>173</v>
      </c>
      <c r="B64" s="7" t="s">
        <v>43</v>
      </c>
      <c r="C64" s="59"/>
      <c r="D64" s="8">
        <f t="shared" si="22"/>
        <v>2.2652007415918732E-3</v>
      </c>
      <c r="E64" s="60" t="s">
        <v>193</v>
      </c>
      <c r="F64" s="60" t="s">
        <v>193</v>
      </c>
      <c r="G64" s="64"/>
      <c r="H64" s="60" t="s">
        <v>193</v>
      </c>
      <c r="I64" s="60" t="s">
        <v>193</v>
      </c>
      <c r="J64" s="65" t="s">
        <v>193</v>
      </c>
      <c r="K64" s="65" t="s">
        <v>193</v>
      </c>
      <c r="L64" s="18">
        <f t="shared" si="21"/>
        <v>1592.5</v>
      </c>
      <c r="M64" s="18">
        <f>455/2</f>
        <v>227.5</v>
      </c>
      <c r="N64" s="11">
        <f t="shared" si="4"/>
        <v>0.16533430232558138</v>
      </c>
      <c r="O64" s="11"/>
      <c r="P64" s="39">
        <f t="shared" si="9"/>
        <v>668.48791787790697</v>
      </c>
      <c r="Q64" s="39">
        <f>Q$8*$N64*CMF</f>
        <v>222.8293059593023</v>
      </c>
      <c r="R64" s="11">
        <f t="shared" si="5"/>
        <v>0.18600109011627905</v>
      </c>
      <c r="S64" s="18"/>
      <c r="T64" s="39">
        <f t="shared" si="10"/>
        <v>15030.934093386628</v>
      </c>
      <c r="U64" s="39">
        <f t="shared" si="23"/>
        <v>205.90320675872093</v>
      </c>
      <c r="V64" s="11">
        <f t="shared" si="6"/>
        <v>0.18600109011627908</v>
      </c>
      <c r="W64" s="18"/>
      <c r="X64" s="39">
        <f t="shared" si="11"/>
        <v>13884.237372819765</v>
      </c>
      <c r="Y64" s="39">
        <f t="shared" si="24"/>
        <v>239.38340297965112</v>
      </c>
      <c r="Z64" s="11">
        <f t="shared" si="7"/>
        <v>0.18600109011627905</v>
      </c>
      <c r="AA64" s="18"/>
      <c r="AB64" s="39">
        <f t="shared" si="3"/>
        <v>29583.659384084302</v>
      </c>
      <c r="AC64" s="40">
        <f>+AB64/AB$7</f>
        <v>220.77357749316644</v>
      </c>
      <c r="AD64" s="11">
        <f>+AC64/AC$8</f>
        <v>0.18599290437503491</v>
      </c>
      <c r="AE64" s="18"/>
      <c r="AF64" s="62"/>
      <c r="AG64" s="63"/>
      <c r="AJ64" s="7">
        <f>2700000/28</f>
        <v>96428.571428571435</v>
      </c>
      <c r="AK64" s="10">
        <f>AJ64/1343</f>
        <v>71.800872247633237</v>
      </c>
    </row>
    <row r="65" spans="1:41" s="7" customFormat="1">
      <c r="A65" s="16"/>
      <c r="B65" s="22" t="s">
        <v>44</v>
      </c>
      <c r="C65" s="59"/>
      <c r="D65" s="8"/>
      <c r="E65" s="60"/>
      <c r="F65" s="60"/>
      <c r="G65" s="60"/>
      <c r="H65" s="60"/>
      <c r="I65" s="60"/>
      <c r="J65" s="60"/>
      <c r="K65" s="60"/>
      <c r="L65" s="18"/>
      <c r="M65" s="18"/>
      <c r="N65" s="11">
        <f t="shared" si="4"/>
        <v>0</v>
      </c>
      <c r="O65" s="11"/>
      <c r="P65" s="39"/>
      <c r="Q65" s="67"/>
      <c r="R65" s="11"/>
      <c r="S65" s="18"/>
      <c r="T65" s="39"/>
      <c r="U65" s="39"/>
      <c r="V65" s="11"/>
      <c r="W65" s="18"/>
      <c r="X65" s="39"/>
      <c r="Y65" s="39"/>
      <c r="Z65" s="11"/>
      <c r="AA65" s="18"/>
      <c r="AB65" s="39"/>
      <c r="AC65" s="40" t="s">
        <v>70</v>
      </c>
      <c r="AD65" s="11"/>
      <c r="AE65" s="18"/>
      <c r="AF65" s="62"/>
      <c r="AG65" s="63"/>
    </row>
    <row r="66" spans="1:41" s="7" customFormat="1" ht="12.75" thickBot="1">
      <c r="A66" s="16" t="s">
        <v>159</v>
      </c>
      <c r="B66" s="7" t="s">
        <v>45</v>
      </c>
      <c r="C66" s="59"/>
      <c r="D66" s="8">
        <f t="shared" ref="D66:D79" si="25">L66/$L$88</f>
        <v>9.4391661671608604E-3</v>
      </c>
      <c r="E66" s="60" t="s">
        <v>193</v>
      </c>
      <c r="F66" s="60" t="s">
        <v>193</v>
      </c>
      <c r="G66" s="60" t="s">
        <v>193</v>
      </c>
      <c r="H66" s="60" t="s">
        <v>193</v>
      </c>
      <c r="I66" s="60" t="s">
        <v>193</v>
      </c>
      <c r="J66" s="60" t="s">
        <v>193</v>
      </c>
      <c r="K66" s="60" t="s">
        <v>193</v>
      </c>
      <c r="L66" s="18">
        <f t="shared" si="21"/>
        <v>6636</v>
      </c>
      <c r="M66" s="18">
        <f>1896/2</f>
        <v>948</v>
      </c>
      <c r="N66" s="11">
        <f t="shared" si="4"/>
        <v>0.68895348837209303</v>
      </c>
      <c r="O66" s="11"/>
      <c r="P66" s="39">
        <f t="shared" si="9"/>
        <v>3712.5</v>
      </c>
      <c r="Q66" s="39">
        <f>1100*CMF</f>
        <v>1237.5</v>
      </c>
      <c r="R66" s="11">
        <f t="shared" si="5"/>
        <v>1.0329716193656093</v>
      </c>
      <c r="S66" s="18"/>
      <c r="T66" s="39">
        <f t="shared" si="10"/>
        <v>90337.5</v>
      </c>
      <c r="U66" s="39">
        <f>1100*CMF</f>
        <v>1237.5</v>
      </c>
      <c r="V66" s="11">
        <f t="shared" si="6"/>
        <v>1.1178861788617886</v>
      </c>
      <c r="W66" s="18"/>
      <c r="X66" s="39">
        <f t="shared" si="11"/>
        <v>71775</v>
      </c>
      <c r="Y66" s="39">
        <f>1100*CMF</f>
        <v>1237.5</v>
      </c>
      <c r="Z66" s="11">
        <f t="shared" si="7"/>
        <v>0.96153846153846156</v>
      </c>
      <c r="AA66" s="18"/>
      <c r="AB66" s="39">
        <f t="shared" si="3"/>
        <v>165825</v>
      </c>
      <c r="AC66" s="40">
        <f t="shared" ref="AC66:AC79" si="26">+AB66/AB$7</f>
        <v>1237.5</v>
      </c>
      <c r="AD66" s="11">
        <f t="shared" ref="AD66:AD77" si="27">+AC66/AC$8</f>
        <v>1.0425442291491154</v>
      </c>
      <c r="AE66" s="18"/>
      <c r="AF66" s="62"/>
      <c r="AG66" s="63"/>
      <c r="AJ66" s="78">
        <f>0.0725/12</f>
        <v>6.0416666666666665E-3</v>
      </c>
    </row>
    <row r="67" spans="1:41" s="7" customFormat="1" ht="12.75" thickBot="1">
      <c r="A67" s="16" t="s">
        <v>159</v>
      </c>
      <c r="B67" s="16" t="s">
        <v>64</v>
      </c>
      <c r="C67" s="59"/>
      <c r="D67" s="8">
        <f t="shared" si="25"/>
        <v>5.8845434649705368E-3</v>
      </c>
      <c r="E67" s="60" t="s">
        <v>193</v>
      </c>
      <c r="F67" s="60" t="s">
        <v>193</v>
      </c>
      <c r="G67" s="64"/>
      <c r="H67" s="60" t="s">
        <v>193</v>
      </c>
      <c r="I67" s="60" t="s">
        <v>193</v>
      </c>
      <c r="J67" s="64"/>
      <c r="K67" s="79" t="s">
        <v>198</v>
      </c>
      <c r="L67" s="18">
        <f t="shared" si="21"/>
        <v>4137</v>
      </c>
      <c r="M67" s="18">
        <f>1182/2</f>
        <v>591</v>
      </c>
      <c r="N67" s="11">
        <f t="shared" si="4"/>
        <v>0.42950581395348836</v>
      </c>
      <c r="O67" s="11"/>
      <c r="P67" s="39">
        <f t="shared" si="9"/>
        <v>2025</v>
      </c>
      <c r="Q67" s="39">
        <f>600*CMF</f>
        <v>675</v>
      </c>
      <c r="R67" s="11">
        <f t="shared" si="5"/>
        <v>0.56343906510851416</v>
      </c>
      <c r="S67" s="18"/>
      <c r="T67" s="39">
        <f t="shared" si="10"/>
        <v>49275</v>
      </c>
      <c r="U67" s="39">
        <f>600*CMF</f>
        <v>675</v>
      </c>
      <c r="V67" s="11">
        <f t="shared" si="6"/>
        <v>0.6097560975609756</v>
      </c>
      <c r="W67" s="18"/>
      <c r="X67" s="39">
        <f t="shared" si="11"/>
        <v>39150</v>
      </c>
      <c r="Y67" s="39">
        <f>600*CMF</f>
        <v>675</v>
      </c>
      <c r="Z67" s="11">
        <f t="shared" si="7"/>
        <v>0.52447552447552448</v>
      </c>
      <c r="AA67" s="18"/>
      <c r="AB67" s="39">
        <f t="shared" si="3"/>
        <v>90450</v>
      </c>
      <c r="AC67" s="40">
        <f t="shared" si="26"/>
        <v>675</v>
      </c>
      <c r="AD67" s="11">
        <f t="shared" si="27"/>
        <v>0.56866048862679019</v>
      </c>
      <c r="AE67" s="18"/>
      <c r="AF67" s="62"/>
      <c r="AG67" s="63"/>
      <c r="AJ67" s="7">
        <v>360</v>
      </c>
    </row>
    <row r="68" spans="1:41" s="7" customFormat="1" ht="12.75" thickBot="1">
      <c r="A68" s="16" t="s">
        <v>152</v>
      </c>
      <c r="B68" s="16" t="s">
        <v>229</v>
      </c>
      <c r="C68" s="59"/>
      <c r="D68" s="8">
        <f t="shared" si="25"/>
        <v>4.7594107889271011E-3</v>
      </c>
      <c r="E68" s="60" t="s">
        <v>193</v>
      </c>
      <c r="F68" s="60" t="s">
        <v>193</v>
      </c>
      <c r="G68" s="64"/>
      <c r="H68" s="60" t="s">
        <v>193</v>
      </c>
      <c r="I68" s="60" t="s">
        <v>193</v>
      </c>
      <c r="J68" s="64"/>
      <c r="K68" s="65" t="s">
        <v>193</v>
      </c>
      <c r="L68" s="18">
        <f t="shared" si="21"/>
        <v>3346</v>
      </c>
      <c r="M68" s="18">
        <f>956/2</f>
        <v>478</v>
      </c>
      <c r="N68" s="11">
        <f t="shared" si="4"/>
        <v>0.34738372093023256</v>
      </c>
      <c r="O68" s="11"/>
      <c r="P68" s="39">
        <f t="shared" si="9"/>
        <v>2079.5592296511632</v>
      </c>
      <c r="Q68" s="39">
        <f>(Q$8*$N68+200)*CMF</f>
        <v>693.18640988372101</v>
      </c>
      <c r="R68" s="11">
        <f t="shared" si="5"/>
        <v>0.57861970774934979</v>
      </c>
      <c r="S68" s="18"/>
      <c r="T68" s="39">
        <f t="shared" si="10"/>
        <v>48006.479106104649</v>
      </c>
      <c r="U68" s="39">
        <f>(U$8*$N68+200)*CMF</f>
        <v>657.62300145348831</v>
      </c>
      <c r="V68" s="11">
        <f t="shared" si="6"/>
        <v>0.59405871856683679</v>
      </c>
      <c r="W68" s="18"/>
      <c r="X68" s="39">
        <f t="shared" si="11"/>
        <v>42222.155886627908</v>
      </c>
      <c r="Y68" s="39">
        <f>(Y$8*$N68+200)*CMF</f>
        <v>727.96820494186045</v>
      </c>
      <c r="Z68" s="11">
        <f t="shared" si="7"/>
        <v>0.56563186087168649</v>
      </c>
      <c r="AA68" s="18"/>
      <c r="AB68" s="39">
        <f t="shared" si="3"/>
        <v>92308.19422238371</v>
      </c>
      <c r="AC68" s="40">
        <f t="shared" si="26"/>
        <v>688.86712106256505</v>
      </c>
      <c r="AD68" s="11">
        <f t="shared" si="27"/>
        <v>0.58034298320350886</v>
      </c>
      <c r="AE68" s="18"/>
      <c r="AF68" s="62"/>
      <c r="AG68" s="63"/>
      <c r="AI68" s="8"/>
      <c r="AJ68" s="18">
        <f>PMT(AJ66,AJ67,AJ48)</f>
        <v>-90267.080004000672</v>
      </c>
      <c r="AK68" s="18"/>
    </row>
    <row r="69" spans="1:41" s="7" customFormat="1" ht="12.75" thickBot="1">
      <c r="A69" s="16" t="s">
        <v>157</v>
      </c>
      <c r="B69" s="16" t="s">
        <v>47</v>
      </c>
      <c r="C69" s="59"/>
      <c r="D69" s="8">
        <f t="shared" si="25"/>
        <v>3.9728136083303622E-3</v>
      </c>
      <c r="E69" s="60" t="s">
        <v>193</v>
      </c>
      <c r="F69" s="60" t="s">
        <v>193</v>
      </c>
      <c r="G69" s="64"/>
      <c r="H69" s="60" t="s">
        <v>193</v>
      </c>
      <c r="I69" s="60" t="s">
        <v>193</v>
      </c>
      <c r="J69" s="65" t="s">
        <v>193</v>
      </c>
      <c r="K69" s="65" t="s">
        <v>193</v>
      </c>
      <c r="L69" s="18">
        <f t="shared" si="21"/>
        <v>2793</v>
      </c>
      <c r="M69" s="18">
        <f>798/2</f>
        <v>399</v>
      </c>
      <c r="N69" s="11">
        <f t="shared" si="4"/>
        <v>0.28997093023255816</v>
      </c>
      <c r="O69" s="11"/>
      <c r="P69" s="39">
        <f t="shared" si="9"/>
        <v>1172.4249636627906</v>
      </c>
      <c r="Q69" s="39">
        <f>Q$8*$N69*CMF</f>
        <v>390.80832122093022</v>
      </c>
      <c r="R69" s="11">
        <f t="shared" si="5"/>
        <v>0.3262172965116279</v>
      </c>
      <c r="S69" s="18"/>
      <c r="T69" s="39">
        <f t="shared" si="10"/>
        <v>26361.94594840116</v>
      </c>
      <c r="U69" s="39">
        <f t="shared" si="23"/>
        <v>361.12254723837208</v>
      </c>
      <c r="V69" s="11">
        <f t="shared" si="6"/>
        <v>0.3262172965116279</v>
      </c>
      <c r="W69" s="18"/>
      <c r="X69" s="39">
        <f t="shared" si="11"/>
        <v>24350.816315406981</v>
      </c>
      <c r="Y69" s="39">
        <f t="shared" si="24"/>
        <v>419.84166061046517</v>
      </c>
      <c r="Z69" s="11">
        <f t="shared" si="7"/>
        <v>0.32621729651162795</v>
      </c>
      <c r="AA69" s="18"/>
      <c r="AB69" s="39">
        <f t="shared" si="3"/>
        <v>51885.187227470931</v>
      </c>
      <c r="AC69" s="40">
        <f t="shared" si="26"/>
        <v>387.20288975724577</v>
      </c>
      <c r="AD69" s="11">
        <f t="shared" si="27"/>
        <v>0.3262029399808305</v>
      </c>
      <c r="AE69" s="18"/>
      <c r="AF69" s="62"/>
      <c r="AG69" s="63"/>
      <c r="AI69" s="8" t="s">
        <v>236</v>
      </c>
      <c r="AJ69" s="18">
        <f>+AM62</f>
        <v>174000</v>
      </c>
      <c r="AK69" s="18"/>
      <c r="AL69" s="18">
        <f>2700000*0.105</f>
        <v>283500</v>
      </c>
    </row>
    <row r="70" spans="1:41" s="7" customFormat="1" ht="12.75" thickBot="1">
      <c r="A70" s="16" t="s">
        <v>155</v>
      </c>
      <c r="B70" s="16" t="s">
        <v>48</v>
      </c>
      <c r="C70" s="59"/>
      <c r="D70" s="8">
        <f t="shared" si="25"/>
        <v>1.0385074169144281E-2</v>
      </c>
      <c r="E70" s="60" t="s">
        <v>193</v>
      </c>
      <c r="F70" s="60" t="s">
        <v>193</v>
      </c>
      <c r="G70" s="64"/>
      <c r="H70" s="60" t="s">
        <v>193</v>
      </c>
      <c r="I70" s="60" t="s">
        <v>193</v>
      </c>
      <c r="J70" s="65" t="s">
        <v>193</v>
      </c>
      <c r="K70" s="65" t="s">
        <v>193</v>
      </c>
      <c r="L70" s="18">
        <f t="shared" si="21"/>
        <v>7301</v>
      </c>
      <c r="M70" s="18">
        <f>2086/2</f>
        <v>1043</v>
      </c>
      <c r="N70" s="11">
        <f t="shared" si="4"/>
        <v>0.75799418604651159</v>
      </c>
      <c r="O70" s="11"/>
      <c r="P70" s="39">
        <f t="shared" si="9"/>
        <v>3037.5</v>
      </c>
      <c r="Q70" s="39">
        <f>(250+300+250+100)*CMF</f>
        <v>1012.5</v>
      </c>
      <c r="R70" s="11">
        <f t="shared" si="5"/>
        <v>0.84515859766277124</v>
      </c>
      <c r="S70" s="18"/>
      <c r="T70" s="39">
        <f t="shared" si="10"/>
        <v>73912.5</v>
      </c>
      <c r="U70" s="39">
        <f>(250+300+250+100)*CMF</f>
        <v>1012.5</v>
      </c>
      <c r="V70" s="11">
        <f t="shared" si="6"/>
        <v>0.91463414634146345</v>
      </c>
      <c r="W70" s="18"/>
      <c r="X70" s="39">
        <f t="shared" si="11"/>
        <v>58725</v>
      </c>
      <c r="Y70" s="39">
        <f>(250+300+250+100)*CMF</f>
        <v>1012.5</v>
      </c>
      <c r="Z70" s="11">
        <f t="shared" si="7"/>
        <v>0.78671328671328666</v>
      </c>
      <c r="AA70" s="18"/>
      <c r="AB70" s="39">
        <f t="shared" si="3"/>
        <v>135675</v>
      </c>
      <c r="AC70" s="40">
        <f t="shared" si="26"/>
        <v>1012.5</v>
      </c>
      <c r="AD70" s="11">
        <f t="shared" si="27"/>
        <v>0.85299073294018535</v>
      </c>
      <c r="AE70" s="18"/>
      <c r="AF70" s="62"/>
      <c r="AG70" s="63"/>
      <c r="AH70" s="3"/>
      <c r="AJ70" s="18">
        <f>0.9*AJ69</f>
        <v>156600</v>
      </c>
      <c r="AK70" s="18"/>
      <c r="AL70" s="18">
        <f>AL69/12</f>
        <v>23625</v>
      </c>
    </row>
    <row r="71" spans="1:41" s="7" customFormat="1" ht="12.75" thickBot="1">
      <c r="A71" s="16" t="s">
        <v>156</v>
      </c>
      <c r="B71" s="16" t="s">
        <v>62</v>
      </c>
      <c r="C71" s="59"/>
      <c r="D71" s="8">
        <f t="shared" si="25"/>
        <v>1.5931082138668121E-2</v>
      </c>
      <c r="E71" s="60" t="s">
        <v>193</v>
      </c>
      <c r="F71" s="60" t="s">
        <v>193</v>
      </c>
      <c r="G71" s="64"/>
      <c r="H71" s="60" t="s">
        <v>193</v>
      </c>
      <c r="I71" s="60" t="s">
        <v>193</v>
      </c>
      <c r="J71" s="64"/>
      <c r="K71" s="65" t="s">
        <v>193</v>
      </c>
      <c r="L71" s="18">
        <f t="shared" si="21"/>
        <v>11200</v>
      </c>
      <c r="M71" s="18">
        <f>3200/2</f>
        <v>1600</v>
      </c>
      <c r="N71" s="11">
        <f t="shared" si="4"/>
        <v>1.1627906976744187</v>
      </c>
      <c r="O71" s="11"/>
      <c r="P71" s="39">
        <f t="shared" si="9"/>
        <v>4932.7649999999994</v>
      </c>
      <c r="Q71" s="39">
        <f>1.22*Q$8*CMF</f>
        <v>1644.2549999999999</v>
      </c>
      <c r="R71" s="11">
        <f t="shared" si="5"/>
        <v>1.3724999999999998</v>
      </c>
      <c r="S71" s="18"/>
      <c r="T71" s="39">
        <f t="shared" si="10"/>
        <v>110913.0975</v>
      </c>
      <c r="U71" s="39">
        <f>1.22*U$8*CMF</f>
        <v>1519.3575000000001</v>
      </c>
      <c r="V71" s="11">
        <f t="shared" si="6"/>
        <v>1.3725000000000001</v>
      </c>
      <c r="W71" s="18"/>
      <c r="X71" s="39">
        <f t="shared" si="11"/>
        <v>102451.63499999999</v>
      </c>
      <c r="Y71" s="39">
        <f>1.22*Y$8*CMF</f>
        <v>1766.4074999999998</v>
      </c>
      <c r="Z71" s="11">
        <f t="shared" si="7"/>
        <v>1.3724999999999998</v>
      </c>
      <c r="AA71" s="18"/>
      <c r="AB71" s="39">
        <f t="shared" si="3"/>
        <v>218297.4975</v>
      </c>
      <c r="AC71" s="40">
        <f t="shared" si="26"/>
        <v>1629.0858022388059</v>
      </c>
      <c r="AD71" s="11">
        <f t="shared" si="27"/>
        <v>1.3724395975053125</v>
      </c>
      <c r="AE71" s="18"/>
      <c r="AF71" s="62"/>
      <c r="AG71" s="63"/>
      <c r="AI71" s="8"/>
      <c r="AJ71" s="80">
        <f>((110000/28/1343)*1187*134)/12</f>
        <v>38773.313122717438</v>
      </c>
      <c r="AK71" s="18"/>
      <c r="AL71" s="18"/>
    </row>
    <row r="72" spans="1:41" s="7" customFormat="1" ht="12.75" thickBot="1">
      <c r="A72" s="16" t="s">
        <v>158</v>
      </c>
      <c r="B72" s="16" t="s">
        <v>63</v>
      </c>
      <c r="C72" s="59"/>
      <c r="D72" s="8">
        <f t="shared" si="25"/>
        <v>1.5582589716884754E-3</v>
      </c>
      <c r="E72" s="60" t="s">
        <v>193</v>
      </c>
      <c r="F72" s="60" t="s">
        <v>193</v>
      </c>
      <c r="G72" s="79" t="s">
        <v>198</v>
      </c>
      <c r="H72" s="60" t="s">
        <v>193</v>
      </c>
      <c r="I72" s="60" t="s">
        <v>193</v>
      </c>
      <c r="J72" s="64"/>
      <c r="K72" s="79" t="s">
        <v>198</v>
      </c>
      <c r="L72" s="18">
        <f t="shared" si="21"/>
        <v>1095.5</v>
      </c>
      <c r="M72" s="18">
        <f>313/2</f>
        <v>156.5</v>
      </c>
      <c r="N72" s="11">
        <f t="shared" si="4"/>
        <v>0.11373546511627906</v>
      </c>
      <c r="O72" s="11"/>
      <c r="P72" s="39">
        <f t="shared" si="9"/>
        <v>459.86091933139534</v>
      </c>
      <c r="Q72" s="39">
        <f>Q$8*$N72*CMF</f>
        <v>153.28697311046511</v>
      </c>
      <c r="R72" s="11">
        <f t="shared" si="5"/>
        <v>0.12795239825581395</v>
      </c>
      <c r="S72" s="18"/>
      <c r="T72" s="39">
        <f t="shared" si="10"/>
        <v>10339.96125545058</v>
      </c>
      <c r="U72" s="39">
        <f t="shared" si="23"/>
        <v>141.64330486918604</v>
      </c>
      <c r="V72" s="11">
        <f t="shared" si="6"/>
        <v>0.12795239825581395</v>
      </c>
      <c r="W72" s="18"/>
      <c r="X72" s="39">
        <f t="shared" si="11"/>
        <v>9551.1347202034885</v>
      </c>
      <c r="Y72" s="39">
        <f t="shared" si="24"/>
        <v>164.67473655523256</v>
      </c>
      <c r="Z72" s="11">
        <f t="shared" si="7"/>
        <v>0.12795239825581395</v>
      </c>
      <c r="AA72" s="18"/>
      <c r="AB72" s="39">
        <f t="shared" si="3"/>
        <v>20350.956894985466</v>
      </c>
      <c r="AC72" s="40">
        <f t="shared" si="26"/>
        <v>151.87281264914526</v>
      </c>
      <c r="AD72" s="11">
        <f t="shared" si="27"/>
        <v>0.12794676718546358</v>
      </c>
      <c r="AE72" s="18"/>
      <c r="AF72" s="62"/>
      <c r="AG72" s="63"/>
      <c r="AI72" s="8"/>
      <c r="AJ72" s="18">
        <f>+AJ70-AJ71</f>
        <v>117826.68687728257</v>
      </c>
      <c r="AK72" s="18"/>
      <c r="AL72" s="18"/>
    </row>
    <row r="73" spans="1:41" s="7" customFormat="1">
      <c r="A73" s="16" t="s">
        <v>153</v>
      </c>
      <c r="B73" s="24" t="s">
        <v>49</v>
      </c>
      <c r="C73" s="59"/>
      <c r="D73" s="8">
        <f t="shared" si="25"/>
        <v>1.5707051296093101E-2</v>
      </c>
      <c r="E73" s="60"/>
      <c r="F73" s="60"/>
      <c r="G73" s="60"/>
      <c r="H73" s="60"/>
      <c r="I73" s="60"/>
      <c r="J73" s="60"/>
      <c r="K73" s="60"/>
      <c r="L73" s="18">
        <f t="shared" si="21"/>
        <v>11042.5</v>
      </c>
      <c r="M73" s="18">
        <f>3155/2</f>
        <v>1577.5</v>
      </c>
      <c r="N73" s="11">
        <f t="shared" si="4"/>
        <v>1.1464389534883721</v>
      </c>
      <c r="O73" s="11"/>
      <c r="P73" s="39">
        <f t="shared" si="9"/>
        <v>1139.0625</v>
      </c>
      <c r="Q73" s="39">
        <f>15*10*2.25*CMF</f>
        <v>379.6875</v>
      </c>
      <c r="R73" s="11">
        <f t="shared" si="5"/>
        <v>0.31693447412353926</v>
      </c>
      <c r="S73" s="18"/>
      <c r="T73" s="39">
        <f t="shared" si="10"/>
        <v>27717.1875</v>
      </c>
      <c r="U73" s="39">
        <f>15*10*2.25*CMF</f>
        <v>379.6875</v>
      </c>
      <c r="V73" s="11">
        <f t="shared" si="6"/>
        <v>0.34298780487804881</v>
      </c>
      <c r="W73" s="18"/>
      <c r="X73" s="39">
        <f t="shared" si="11"/>
        <v>22021.875</v>
      </c>
      <c r="Y73" s="39">
        <f>15*10*2.25*CMF</f>
        <v>379.6875</v>
      </c>
      <c r="Z73" s="11">
        <f t="shared" si="7"/>
        <v>0.2950174825174825</v>
      </c>
      <c r="AA73" s="18"/>
      <c r="AB73" s="39">
        <f t="shared" si="3"/>
        <v>50878.125</v>
      </c>
      <c r="AC73" s="40">
        <f t="shared" si="26"/>
        <v>379.6875</v>
      </c>
      <c r="AD73" s="11">
        <f t="shared" si="27"/>
        <v>0.31987152485256948</v>
      </c>
      <c r="AE73" s="18"/>
      <c r="AF73" s="62"/>
      <c r="AG73" s="63"/>
      <c r="AI73" s="8"/>
      <c r="AJ73" s="80">
        <f>+AJ72/-AJ68</f>
        <v>1.3053118243335271</v>
      </c>
      <c r="AK73" s="18"/>
      <c r="AL73" s="18"/>
    </row>
    <row r="74" spans="1:41" s="7" customFormat="1" ht="12.75" thickBot="1">
      <c r="A74" s="16" t="s">
        <v>153</v>
      </c>
      <c r="B74" s="16" t="s">
        <v>50</v>
      </c>
      <c r="C74" s="59"/>
      <c r="D74" s="8">
        <f t="shared" si="25"/>
        <v>0</v>
      </c>
      <c r="E74" s="60" t="s">
        <v>193</v>
      </c>
      <c r="F74" s="60" t="s">
        <v>193</v>
      </c>
      <c r="G74" s="60" t="s">
        <v>193</v>
      </c>
      <c r="H74" s="60" t="s">
        <v>193</v>
      </c>
      <c r="I74" s="60" t="s">
        <v>193</v>
      </c>
      <c r="J74" s="60" t="s">
        <v>193</v>
      </c>
      <c r="K74" s="60" t="s">
        <v>193</v>
      </c>
      <c r="L74" s="18">
        <f t="shared" si="21"/>
        <v>0</v>
      </c>
      <c r="M74" s="18"/>
      <c r="N74" s="11">
        <f t="shared" si="4"/>
        <v>0</v>
      </c>
      <c r="O74" s="11"/>
      <c r="P74" s="39">
        <f t="shared" si="9"/>
        <v>0</v>
      </c>
      <c r="Q74" s="39">
        <f t="shared" ref="Q74:Q76" si="28">$M74*CMF</f>
        <v>0</v>
      </c>
      <c r="R74" s="11">
        <f t="shared" si="5"/>
        <v>0</v>
      </c>
      <c r="S74" s="18"/>
      <c r="T74" s="39">
        <f t="shared" si="10"/>
        <v>0</v>
      </c>
      <c r="U74" s="39">
        <f t="shared" ref="U74:U78" si="29">$M74*CMF</f>
        <v>0</v>
      </c>
      <c r="V74" s="11">
        <f t="shared" si="6"/>
        <v>0</v>
      </c>
      <c r="W74" s="18"/>
      <c r="X74" s="39">
        <f t="shared" si="11"/>
        <v>0</v>
      </c>
      <c r="Y74" s="39">
        <f t="shared" ref="Y74:Y78" si="30">$M74*CMF</f>
        <v>0</v>
      </c>
      <c r="Z74" s="11">
        <f t="shared" si="7"/>
        <v>0</v>
      </c>
      <c r="AA74" s="18"/>
      <c r="AB74" s="39">
        <f t="shared" si="3"/>
        <v>0</v>
      </c>
      <c r="AC74" s="40">
        <f t="shared" si="26"/>
        <v>0</v>
      </c>
      <c r="AD74" s="11">
        <f t="shared" si="27"/>
        <v>0</v>
      </c>
      <c r="AE74" s="18"/>
      <c r="AF74" s="62"/>
      <c r="AG74" s="63"/>
      <c r="AH74" s="3"/>
      <c r="AI74" s="8"/>
      <c r="AJ74" s="18"/>
      <c r="AK74" s="18"/>
      <c r="AL74" s="18"/>
    </row>
    <row r="75" spans="1:41" s="7" customFormat="1" ht="12.75" thickBot="1">
      <c r="A75" s="16" t="s">
        <v>153</v>
      </c>
      <c r="B75" s="16" t="s">
        <v>51</v>
      </c>
      <c r="C75" s="59"/>
      <c r="D75" s="8">
        <f t="shared" si="25"/>
        <v>0</v>
      </c>
      <c r="E75" s="60" t="s">
        <v>193</v>
      </c>
      <c r="F75" s="60" t="s">
        <v>193</v>
      </c>
      <c r="G75" s="64"/>
      <c r="H75" s="60" t="s">
        <v>193</v>
      </c>
      <c r="I75" s="60" t="s">
        <v>193</v>
      </c>
      <c r="J75" s="64"/>
      <c r="K75" s="79" t="s">
        <v>198</v>
      </c>
      <c r="L75" s="18">
        <f t="shared" si="21"/>
        <v>0</v>
      </c>
      <c r="M75" s="18"/>
      <c r="N75" s="11">
        <f t="shared" si="4"/>
        <v>0</v>
      </c>
      <c r="O75" s="11"/>
      <c r="P75" s="39">
        <f t="shared" si="9"/>
        <v>0</v>
      </c>
      <c r="Q75" s="39">
        <f t="shared" si="28"/>
        <v>0</v>
      </c>
      <c r="R75" s="11">
        <f t="shared" si="5"/>
        <v>0</v>
      </c>
      <c r="S75" s="18"/>
      <c r="T75" s="39">
        <f t="shared" si="10"/>
        <v>0</v>
      </c>
      <c r="U75" s="39">
        <f t="shared" si="29"/>
        <v>0</v>
      </c>
      <c r="V75" s="11">
        <f t="shared" si="6"/>
        <v>0</v>
      </c>
      <c r="W75" s="18"/>
      <c r="X75" s="39">
        <f t="shared" si="11"/>
        <v>0</v>
      </c>
      <c r="Y75" s="39">
        <f t="shared" si="30"/>
        <v>0</v>
      </c>
      <c r="Z75" s="11">
        <f t="shared" si="7"/>
        <v>0</v>
      </c>
      <c r="AA75" s="18"/>
      <c r="AB75" s="39">
        <f t="shared" si="3"/>
        <v>0</v>
      </c>
      <c r="AC75" s="40">
        <f t="shared" si="26"/>
        <v>0</v>
      </c>
      <c r="AD75" s="11">
        <f t="shared" si="27"/>
        <v>0</v>
      </c>
      <c r="AE75" s="18"/>
      <c r="AF75" s="62"/>
      <c r="AG75" s="63"/>
      <c r="AJ75" s="18">
        <f>+AJ69-AJ71+0.05*AJ69</f>
        <v>143926.68687728257</v>
      </c>
      <c r="AK75" s="18"/>
      <c r="AL75" s="7">
        <f>AO75*12</f>
        <v>16448764.21454658</v>
      </c>
      <c r="AO75" s="40">
        <f>AJ75/0.105</f>
        <v>1370730.3512122149</v>
      </c>
    </row>
    <row r="76" spans="1:41" s="7" customFormat="1" ht="12.75" thickBot="1">
      <c r="A76" s="16" t="s">
        <v>153</v>
      </c>
      <c r="B76" s="16" t="s">
        <v>52</v>
      </c>
      <c r="C76" s="59"/>
      <c r="D76" s="8">
        <f t="shared" si="25"/>
        <v>0</v>
      </c>
      <c r="E76" s="60" t="s">
        <v>193</v>
      </c>
      <c r="F76" s="60" t="s">
        <v>193</v>
      </c>
      <c r="G76" s="64"/>
      <c r="H76" s="60" t="s">
        <v>193</v>
      </c>
      <c r="I76" s="60" t="s">
        <v>193</v>
      </c>
      <c r="J76" s="64"/>
      <c r="K76" s="79" t="s">
        <v>198</v>
      </c>
      <c r="L76" s="18">
        <f t="shared" si="21"/>
        <v>0</v>
      </c>
      <c r="M76" s="18"/>
      <c r="N76" s="11">
        <f t="shared" si="4"/>
        <v>0</v>
      </c>
      <c r="O76" s="11"/>
      <c r="P76" s="39">
        <f t="shared" si="9"/>
        <v>0</v>
      </c>
      <c r="Q76" s="39">
        <f t="shared" si="28"/>
        <v>0</v>
      </c>
      <c r="R76" s="11">
        <f t="shared" si="5"/>
        <v>0</v>
      </c>
      <c r="S76" s="18"/>
      <c r="T76" s="39">
        <f t="shared" si="10"/>
        <v>0</v>
      </c>
      <c r="U76" s="39">
        <f t="shared" si="29"/>
        <v>0</v>
      </c>
      <c r="V76" s="11">
        <f t="shared" si="6"/>
        <v>0</v>
      </c>
      <c r="W76" s="18"/>
      <c r="X76" s="39">
        <f t="shared" si="11"/>
        <v>0</v>
      </c>
      <c r="Y76" s="39">
        <f t="shared" si="30"/>
        <v>0</v>
      </c>
      <c r="Z76" s="11">
        <f t="shared" si="7"/>
        <v>0</v>
      </c>
      <c r="AA76" s="18"/>
      <c r="AB76" s="39">
        <f t="shared" si="3"/>
        <v>0</v>
      </c>
      <c r="AC76" s="40">
        <f t="shared" si="26"/>
        <v>0</v>
      </c>
      <c r="AD76" s="11">
        <f t="shared" si="27"/>
        <v>0</v>
      </c>
      <c r="AE76" s="18"/>
      <c r="AF76" s="62"/>
      <c r="AG76" s="63"/>
      <c r="AI76" s="8"/>
      <c r="AJ76" s="18">
        <f>+AJ68</f>
        <v>-90267.080004000672</v>
      </c>
      <c r="AK76" s="18"/>
      <c r="AL76" s="18">
        <f>0.8*AL75</f>
        <v>13159011.371637264</v>
      </c>
    </row>
    <row r="77" spans="1:41" s="7" customFormat="1" ht="12.75" thickBot="1">
      <c r="A77" s="16" t="s">
        <v>154</v>
      </c>
      <c r="B77" s="24" t="s">
        <v>195</v>
      </c>
      <c r="C77" s="59"/>
      <c r="D77" s="8">
        <f t="shared" si="25"/>
        <v>7.9207349008190552E-3</v>
      </c>
      <c r="E77" s="60" t="s">
        <v>193</v>
      </c>
      <c r="F77" s="60" t="s">
        <v>193</v>
      </c>
      <c r="G77" s="60" t="s">
        <v>193</v>
      </c>
      <c r="H77" s="60" t="s">
        <v>193</v>
      </c>
      <c r="I77" s="60" t="s">
        <v>193</v>
      </c>
      <c r="J77" s="60" t="s">
        <v>193</v>
      </c>
      <c r="K77" s="60" t="s">
        <v>193</v>
      </c>
      <c r="L77" s="18">
        <f t="shared" ref="L77:L87" si="31">7*M77</f>
        <v>5568.5</v>
      </c>
      <c r="M77" s="18">
        <f>1591/2</f>
        <v>795.5</v>
      </c>
      <c r="N77" s="11">
        <f t="shared" si="4"/>
        <v>0.578125</v>
      </c>
      <c r="O77" s="11"/>
      <c r="P77" s="39">
        <f t="shared" si="9"/>
        <v>2430</v>
      </c>
      <c r="Q77" s="39">
        <f>(28+20)*15*CMF</f>
        <v>810</v>
      </c>
      <c r="R77" s="11">
        <f t="shared" si="5"/>
        <v>0.67612687813021699</v>
      </c>
      <c r="S77" s="18"/>
      <c r="T77" s="39">
        <f t="shared" si="10"/>
        <v>44138.081249999996</v>
      </c>
      <c r="U77" s="39">
        <f>(15.83+20)*15*CMF</f>
        <v>604.63124999999991</v>
      </c>
      <c r="V77" s="11">
        <f t="shared" si="6"/>
        <v>0.54618902439024386</v>
      </c>
      <c r="W77" s="18"/>
      <c r="X77" s="39">
        <f t="shared" si="11"/>
        <v>45022.5</v>
      </c>
      <c r="Y77" s="39">
        <f>(26+20)*15*CMF</f>
        <v>776.25</v>
      </c>
      <c r="Z77" s="11">
        <f t="shared" si="7"/>
        <v>0.60314685314685312</v>
      </c>
      <c r="AA77" s="18"/>
      <c r="AB77" s="39">
        <f t="shared" si="3"/>
        <v>91590.581249999988</v>
      </c>
      <c r="AC77" s="40">
        <f t="shared" si="26"/>
        <v>683.51180037313429</v>
      </c>
      <c r="AD77" s="11">
        <f t="shared" si="27"/>
        <v>0.57583133982572388</v>
      </c>
      <c r="AE77" s="18"/>
      <c r="AF77" s="62"/>
      <c r="AG77" s="63"/>
      <c r="AH77" s="3"/>
      <c r="AJ77" s="18">
        <f>+AJ76+AJ75</f>
        <v>53659.606873281897</v>
      </c>
      <c r="AK77" s="18"/>
      <c r="AL77" s="18"/>
    </row>
    <row r="78" spans="1:41" s="7" customFormat="1" ht="12.75" thickBot="1">
      <c r="A78" s="16" t="s">
        <v>154</v>
      </c>
      <c r="B78" s="24" t="s">
        <v>196</v>
      </c>
      <c r="C78" s="59"/>
      <c r="D78" s="8">
        <f t="shared" si="25"/>
        <v>2.7331762794152495E-3</v>
      </c>
      <c r="E78" s="60" t="s">
        <v>193</v>
      </c>
      <c r="F78" s="60" t="s">
        <v>193</v>
      </c>
      <c r="G78" s="64"/>
      <c r="H78" s="60" t="s">
        <v>193</v>
      </c>
      <c r="I78" s="60" t="s">
        <v>193</v>
      </c>
      <c r="J78" s="64"/>
      <c r="K78" s="64"/>
      <c r="L78" s="18">
        <f t="shared" si="31"/>
        <v>1921.5</v>
      </c>
      <c r="M78" s="18">
        <f>549/2</f>
        <v>274.5</v>
      </c>
      <c r="N78" s="11">
        <f t="shared" ref="N78:N88" si="32">M78/1376</f>
        <v>0.19949127906976744</v>
      </c>
      <c r="O78" s="11"/>
      <c r="P78" s="39">
        <f t="shared" si="9"/>
        <v>0</v>
      </c>
      <c r="Q78" s="7">
        <v>0</v>
      </c>
      <c r="R78" s="11">
        <f t="shared" ref="R78:R87" si="33">+Q78/Q$8</f>
        <v>0</v>
      </c>
      <c r="S78" s="18"/>
      <c r="T78" s="39">
        <f t="shared" si="10"/>
        <v>22543.3125</v>
      </c>
      <c r="U78" s="39">
        <f t="shared" si="29"/>
        <v>308.8125</v>
      </c>
      <c r="V78" s="11">
        <f t="shared" ref="V78:V87" si="34">+U78/U$8</f>
        <v>0.27896341463414637</v>
      </c>
      <c r="W78" s="18"/>
      <c r="X78" s="39">
        <f t="shared" si="11"/>
        <v>17911.125</v>
      </c>
      <c r="Y78" s="39">
        <f t="shared" si="30"/>
        <v>308.8125</v>
      </c>
      <c r="Z78" s="11">
        <f t="shared" ref="Z78:Z87" si="35">+Y78/Y$8</f>
        <v>0.23994755244755245</v>
      </c>
      <c r="AA78" s="18"/>
      <c r="AB78" s="39">
        <f t="shared" ref="AB78:AB87" si="36">+X78+T78+P78</f>
        <v>40454.4375</v>
      </c>
      <c r="AC78" s="40">
        <f t="shared" si="26"/>
        <v>301.89878731343282</v>
      </c>
      <c r="AD78" s="11">
        <f t="shared" ref="AD78:AD87" si="37">+AC78/AC$8</f>
        <v>0.25433764727332164</v>
      </c>
      <c r="AE78" s="18"/>
      <c r="AF78" s="62"/>
      <c r="AG78" s="63"/>
      <c r="AI78" s="8"/>
      <c r="AJ78" s="18">
        <f>AJ77*12</f>
        <v>643915.28247938282</v>
      </c>
      <c r="AK78" s="18"/>
      <c r="AL78" s="18"/>
    </row>
    <row r="79" spans="1:41" s="7" customFormat="1">
      <c r="A79" s="16" t="s">
        <v>154</v>
      </c>
      <c r="B79" s="7" t="s">
        <v>61</v>
      </c>
      <c r="C79" s="59"/>
      <c r="D79" s="8">
        <f t="shared" si="25"/>
        <v>0</v>
      </c>
      <c r="E79" s="60" t="s">
        <v>194</v>
      </c>
      <c r="F79" s="60"/>
      <c r="G79" s="60"/>
      <c r="H79" s="60"/>
      <c r="I79" s="60"/>
      <c r="J79" s="60"/>
      <c r="K79" s="60"/>
      <c r="L79" s="18">
        <f t="shared" si="31"/>
        <v>0</v>
      </c>
      <c r="M79" s="18">
        <f>0/2</f>
        <v>0</v>
      </c>
      <c r="N79" s="11">
        <f t="shared" si="32"/>
        <v>0</v>
      </c>
      <c r="O79" s="11"/>
      <c r="P79" s="39">
        <f t="shared" si="9"/>
        <v>0</v>
      </c>
      <c r="Q79" s="39"/>
      <c r="R79" s="11">
        <f t="shared" si="33"/>
        <v>0</v>
      </c>
      <c r="S79" s="18"/>
      <c r="T79" s="39">
        <f t="shared" si="10"/>
        <v>0</v>
      </c>
      <c r="U79" s="39"/>
      <c r="V79" s="11">
        <f t="shared" si="34"/>
        <v>0</v>
      </c>
      <c r="W79" s="18"/>
      <c r="X79" s="39">
        <f t="shared" si="11"/>
        <v>0</v>
      </c>
      <c r="Y79" s="39"/>
      <c r="Z79" s="11">
        <f t="shared" si="35"/>
        <v>0</v>
      </c>
      <c r="AA79" s="18"/>
      <c r="AB79" s="39">
        <f t="shared" si="36"/>
        <v>0</v>
      </c>
      <c r="AC79" s="40">
        <f t="shared" si="26"/>
        <v>0</v>
      </c>
      <c r="AD79" s="11">
        <f t="shared" si="37"/>
        <v>0</v>
      </c>
      <c r="AE79" s="18"/>
      <c r="AF79" s="62"/>
      <c r="AG79" s="63"/>
      <c r="AI79" s="8"/>
      <c r="AJ79" s="18">
        <f>AJ78/0.105</f>
        <v>6132526.4998036465</v>
      </c>
      <c r="AK79" s="17"/>
      <c r="AL79" s="18"/>
    </row>
    <row r="80" spans="1:41" s="7" customFormat="1" ht="12.75" thickBot="1">
      <c r="A80" s="16"/>
      <c r="B80" s="22" t="s">
        <v>53</v>
      </c>
      <c r="C80" s="59"/>
      <c r="D80" s="8"/>
      <c r="E80" s="60"/>
      <c r="F80" s="60"/>
      <c r="G80" s="60"/>
      <c r="H80" s="60"/>
      <c r="I80" s="60"/>
      <c r="J80" s="60"/>
      <c r="K80" s="60"/>
      <c r="L80" s="18"/>
      <c r="M80" s="18"/>
      <c r="N80" s="11">
        <f t="shared" si="32"/>
        <v>0</v>
      </c>
      <c r="O80" s="11"/>
      <c r="P80" s="39"/>
      <c r="Q80" s="39"/>
      <c r="R80" s="11"/>
      <c r="S80" s="18"/>
      <c r="T80" s="39"/>
      <c r="U80" s="39"/>
      <c r="V80" s="11"/>
      <c r="W80" s="18"/>
      <c r="X80" s="39"/>
      <c r="Y80" s="39"/>
      <c r="Z80" s="11"/>
      <c r="AA80" s="18"/>
      <c r="AB80" s="39"/>
      <c r="AC80" s="40" t="s">
        <v>70</v>
      </c>
      <c r="AD80" s="11"/>
      <c r="AE80" s="18"/>
      <c r="AF80" s="62"/>
      <c r="AG80" s="63"/>
      <c r="AI80" s="8"/>
      <c r="AJ80" s="18"/>
      <c r="AK80" s="18"/>
      <c r="AL80" s="18"/>
    </row>
    <row r="81" spans="1:38" s="7" customFormat="1" ht="12.75" thickBot="1">
      <c r="A81" s="16" t="s">
        <v>151</v>
      </c>
      <c r="B81" s="7" t="s">
        <v>54</v>
      </c>
      <c r="C81" s="59"/>
      <c r="D81" s="8">
        <f t="shared" ref="D81:D87" si="38">L81/$L$88</f>
        <v>4.7843031047687702E-3</v>
      </c>
      <c r="E81" s="60" t="s">
        <v>193</v>
      </c>
      <c r="F81" s="60" t="s">
        <v>193</v>
      </c>
      <c r="G81" s="64"/>
      <c r="H81" s="60" t="s">
        <v>193</v>
      </c>
      <c r="I81" s="60" t="s">
        <v>193</v>
      </c>
      <c r="J81" s="64"/>
      <c r="K81" s="65" t="s">
        <v>193</v>
      </c>
      <c r="L81" s="18">
        <f t="shared" si="31"/>
        <v>3363.5</v>
      </c>
      <c r="M81" s="18">
        <f>961/2</f>
        <v>480.5</v>
      </c>
      <c r="N81" s="11">
        <f t="shared" si="32"/>
        <v>0.34920058139534882</v>
      </c>
      <c r="O81" s="11"/>
      <c r="P81" s="39">
        <f t="shared" ref="P81:P87" si="39">Q81*P$7</f>
        <v>1621.6875</v>
      </c>
      <c r="Q81" s="39">
        <f>$M81*CMF</f>
        <v>540.5625</v>
      </c>
      <c r="R81" s="11">
        <f t="shared" si="33"/>
        <v>0.45122078464106846</v>
      </c>
      <c r="S81" s="18"/>
      <c r="T81" s="39">
        <f t="shared" ref="T81:T87" si="40">U81*T$7</f>
        <v>39461.0625</v>
      </c>
      <c r="U81" s="39">
        <f>$M81*CMF</f>
        <v>540.5625</v>
      </c>
      <c r="V81" s="11">
        <f t="shared" si="34"/>
        <v>0.48831300813008133</v>
      </c>
      <c r="W81" s="18"/>
      <c r="X81" s="39">
        <f t="shared" ref="X81:X87" si="41">Y81*X$7</f>
        <v>31352.625</v>
      </c>
      <c r="Y81" s="39">
        <f>$M81*CMF</f>
        <v>540.5625</v>
      </c>
      <c r="Z81" s="11">
        <f t="shared" si="35"/>
        <v>0.4200174825174825</v>
      </c>
      <c r="AA81" s="18"/>
      <c r="AB81" s="39">
        <f t="shared" si="36"/>
        <v>72435.375</v>
      </c>
      <c r="AC81" s="40">
        <f t="shared" ref="AC81:AC87" si="42">+AB81/AB$7</f>
        <v>540.5625</v>
      </c>
      <c r="AD81" s="11">
        <f t="shared" si="37"/>
        <v>0.45540227464195449</v>
      </c>
      <c r="AE81" s="18"/>
      <c r="AF81" s="62"/>
      <c r="AG81" s="63"/>
      <c r="AH81" s="3"/>
      <c r="AJ81" s="18">
        <v>7000</v>
      </c>
      <c r="AK81" s="18"/>
      <c r="AL81" s="18"/>
    </row>
    <row r="82" spans="1:38" s="7" customFormat="1" ht="12.75" thickBot="1">
      <c r="A82" s="16" t="s">
        <v>151</v>
      </c>
      <c r="B82" s="7" t="s">
        <v>55</v>
      </c>
      <c r="C82" s="59"/>
      <c r="D82" s="8">
        <f t="shared" si="38"/>
        <v>1.7424621089168256E-3</v>
      </c>
      <c r="E82" s="60" t="s">
        <v>193</v>
      </c>
      <c r="F82" s="60" t="s">
        <v>193</v>
      </c>
      <c r="G82" s="64"/>
      <c r="H82" s="60" t="s">
        <v>193</v>
      </c>
      <c r="I82" s="60" t="s">
        <v>193</v>
      </c>
      <c r="J82" s="64"/>
      <c r="K82" s="65" t="s">
        <v>193</v>
      </c>
      <c r="L82" s="18">
        <f t="shared" si="31"/>
        <v>1225</v>
      </c>
      <c r="M82" s="18">
        <f>350/2</f>
        <v>175</v>
      </c>
      <c r="N82" s="11">
        <f t="shared" si="32"/>
        <v>0.12718023255813954</v>
      </c>
      <c r="O82" s="11"/>
      <c r="P82" s="39">
        <f t="shared" si="39"/>
        <v>514.22147529069775</v>
      </c>
      <c r="Q82" s="39">
        <f>Q$8*$N82*CMF</f>
        <v>171.40715843023258</v>
      </c>
      <c r="R82" s="11">
        <f t="shared" si="33"/>
        <v>0.143077761627907</v>
      </c>
      <c r="S82" s="18"/>
      <c r="T82" s="39">
        <f t="shared" si="40"/>
        <v>11562.256994912792</v>
      </c>
      <c r="U82" s="39">
        <f>U$8*$N82*CMF</f>
        <v>158.38708212209303</v>
      </c>
      <c r="V82" s="11">
        <f t="shared" si="34"/>
        <v>0.14307776162790697</v>
      </c>
      <c r="W82" s="18"/>
      <c r="X82" s="39">
        <f t="shared" si="41"/>
        <v>10680.182594476744</v>
      </c>
      <c r="Y82" s="39">
        <f>Y$8*$N82*CMF</f>
        <v>184.14107921511629</v>
      </c>
      <c r="Z82" s="11">
        <f t="shared" si="35"/>
        <v>0.14307776162790697</v>
      </c>
      <c r="AA82" s="18"/>
      <c r="AB82" s="39">
        <f t="shared" si="36"/>
        <v>22756.661064680233</v>
      </c>
      <c r="AC82" s="40">
        <f t="shared" si="42"/>
        <v>169.82582884089726</v>
      </c>
      <c r="AD82" s="11">
        <f t="shared" si="37"/>
        <v>0.14307146490387301</v>
      </c>
      <c r="AE82" s="18"/>
      <c r="AF82" s="62"/>
      <c r="AG82" s="63"/>
      <c r="AI82" s="8"/>
      <c r="AJ82" s="18">
        <f>1250*14+1220*14</f>
        <v>34580</v>
      </c>
      <c r="AK82" s="18"/>
      <c r="AL82" s="18"/>
    </row>
    <row r="83" spans="1:38" s="7" customFormat="1" ht="12.75" thickBot="1">
      <c r="A83" s="16" t="s">
        <v>151</v>
      </c>
      <c r="B83" s="7" t="s">
        <v>56</v>
      </c>
      <c r="C83" s="59"/>
      <c r="D83" s="8">
        <f t="shared" si="38"/>
        <v>4.8838723681354458E-3</v>
      </c>
      <c r="E83" s="60" t="s">
        <v>193</v>
      </c>
      <c r="F83" s="60" t="s">
        <v>193</v>
      </c>
      <c r="G83" s="64"/>
      <c r="H83" s="60" t="s">
        <v>193</v>
      </c>
      <c r="I83" s="60" t="s">
        <v>193</v>
      </c>
      <c r="J83" s="64"/>
      <c r="K83" s="65" t="s">
        <v>193</v>
      </c>
      <c r="L83" s="18">
        <f t="shared" si="31"/>
        <v>3433.5</v>
      </c>
      <c r="M83" s="18">
        <f>981/2</f>
        <v>490.5</v>
      </c>
      <c r="N83" s="11">
        <f t="shared" si="32"/>
        <v>0.35646802325581395</v>
      </c>
      <c r="O83" s="11"/>
      <c r="P83" s="39">
        <f t="shared" si="39"/>
        <v>1655.4375</v>
      </c>
      <c r="Q83" s="39">
        <f>$M83*CMF</f>
        <v>551.8125</v>
      </c>
      <c r="R83" s="11">
        <f t="shared" si="33"/>
        <v>0.46061143572621033</v>
      </c>
      <c r="S83" s="18"/>
      <c r="T83" s="39">
        <f t="shared" si="40"/>
        <v>40282.3125</v>
      </c>
      <c r="U83" s="39">
        <f>$M83*CMF</f>
        <v>551.8125</v>
      </c>
      <c r="V83" s="11">
        <f t="shared" si="34"/>
        <v>0.49847560975609756</v>
      </c>
      <c r="W83" s="18"/>
      <c r="X83" s="39">
        <f t="shared" si="41"/>
        <v>32005.125</v>
      </c>
      <c r="Y83" s="39">
        <f>$M83*CMF</f>
        <v>551.8125</v>
      </c>
      <c r="Z83" s="11">
        <f t="shared" si="35"/>
        <v>0.42875874125874125</v>
      </c>
      <c r="AA83" s="18"/>
      <c r="AB83" s="39">
        <f t="shared" si="36"/>
        <v>73942.875</v>
      </c>
      <c r="AC83" s="40">
        <f t="shared" si="42"/>
        <v>551.8125</v>
      </c>
      <c r="AD83" s="11">
        <f t="shared" si="37"/>
        <v>0.46487994945240102</v>
      </c>
      <c r="AE83" s="18"/>
      <c r="AF83" s="62"/>
      <c r="AG83" s="63"/>
      <c r="AI83" s="8"/>
      <c r="AJ83" s="18">
        <f>28*3*475</f>
        <v>39900</v>
      </c>
      <c r="AK83" s="18"/>
      <c r="AL83" s="18"/>
    </row>
    <row r="84" spans="1:38" s="7" customFormat="1" ht="12.75" thickBot="1">
      <c r="A84" s="16" t="s">
        <v>151</v>
      </c>
      <c r="B84" s="7" t="s">
        <v>57</v>
      </c>
      <c r="C84" s="59"/>
      <c r="D84" s="8">
        <f t="shared" si="38"/>
        <v>4.3959829776387344E-3</v>
      </c>
      <c r="E84" s="60" t="s">
        <v>193</v>
      </c>
      <c r="F84" s="60" t="s">
        <v>193</v>
      </c>
      <c r="G84" s="64"/>
      <c r="H84" s="60" t="s">
        <v>193</v>
      </c>
      <c r="I84" s="60" t="s">
        <v>193</v>
      </c>
      <c r="J84" s="64"/>
      <c r="K84" s="65" t="s">
        <v>193</v>
      </c>
      <c r="L84" s="18">
        <f t="shared" si="31"/>
        <v>3090.5</v>
      </c>
      <c r="M84" s="18">
        <f>883/2</f>
        <v>441.5</v>
      </c>
      <c r="N84" s="11">
        <f t="shared" si="32"/>
        <v>0.32085755813953487</v>
      </c>
      <c r="O84" s="11"/>
      <c r="P84" s="39">
        <f t="shared" si="39"/>
        <v>1490.0625</v>
      </c>
      <c r="Q84" s="39">
        <f>$M84*CMF</f>
        <v>496.6875</v>
      </c>
      <c r="R84" s="11">
        <f t="shared" si="33"/>
        <v>0.41459724540901505</v>
      </c>
      <c r="S84" s="18"/>
      <c r="T84" s="39">
        <f t="shared" si="40"/>
        <v>36258.1875</v>
      </c>
      <c r="U84" s="39">
        <f>$M84*CMF</f>
        <v>496.6875</v>
      </c>
      <c r="V84" s="11">
        <f t="shared" si="34"/>
        <v>0.44867886178861788</v>
      </c>
      <c r="W84" s="18"/>
      <c r="X84" s="39">
        <f t="shared" si="41"/>
        <v>28807.875</v>
      </c>
      <c r="Y84" s="39">
        <f>$M84*CMF</f>
        <v>496.6875</v>
      </c>
      <c r="Z84" s="11">
        <f t="shared" si="35"/>
        <v>0.38592657342657344</v>
      </c>
      <c r="AA84" s="18"/>
      <c r="AB84" s="39">
        <f t="shared" si="36"/>
        <v>66556.125</v>
      </c>
      <c r="AC84" s="40">
        <f t="shared" si="42"/>
        <v>496.6875</v>
      </c>
      <c r="AD84" s="11">
        <f t="shared" si="37"/>
        <v>0.41843934288121315</v>
      </c>
      <c r="AE84" s="18"/>
      <c r="AF84" s="62"/>
      <c r="AH84" s="3"/>
      <c r="AJ84" s="18">
        <f>+AJ83-AJ82</f>
        <v>5320</v>
      </c>
      <c r="AK84" s="18"/>
      <c r="AL84" s="18"/>
    </row>
    <row r="85" spans="1:38" s="7" customFormat="1" ht="12.75" thickBot="1">
      <c r="A85" s="16" t="s">
        <v>151</v>
      </c>
      <c r="B85" s="7" t="s">
        <v>58</v>
      </c>
      <c r="C85" s="59"/>
      <c r="D85" s="8">
        <f t="shared" si="38"/>
        <v>4.9286785366504493E-4</v>
      </c>
      <c r="E85" s="60" t="s">
        <v>193</v>
      </c>
      <c r="F85" s="60" t="s">
        <v>193</v>
      </c>
      <c r="G85" s="64"/>
      <c r="H85" s="60" t="s">
        <v>193</v>
      </c>
      <c r="I85" s="60" t="s">
        <v>193</v>
      </c>
      <c r="J85" s="64"/>
      <c r="K85" s="65" t="s">
        <v>193</v>
      </c>
      <c r="L85" s="18">
        <f t="shared" si="31"/>
        <v>346.5</v>
      </c>
      <c r="M85" s="18">
        <f>99/2</f>
        <v>49.5</v>
      </c>
      <c r="N85" s="11">
        <f t="shared" si="32"/>
        <v>3.5973837209302327E-2</v>
      </c>
      <c r="O85" s="11"/>
      <c r="P85" s="39">
        <f t="shared" si="39"/>
        <v>167.0625</v>
      </c>
      <c r="Q85" s="39">
        <f>$M85*CMF</f>
        <v>55.6875</v>
      </c>
      <c r="R85" s="11">
        <f t="shared" si="33"/>
        <v>4.6483722871452422E-2</v>
      </c>
      <c r="S85" s="18"/>
      <c r="T85" s="39">
        <f t="shared" si="40"/>
        <v>4065.1875</v>
      </c>
      <c r="U85" s="39">
        <f>$M85*CMF</f>
        <v>55.6875</v>
      </c>
      <c r="V85" s="11">
        <f t="shared" si="34"/>
        <v>5.0304878048780491E-2</v>
      </c>
      <c r="W85" s="18"/>
      <c r="X85" s="39">
        <f t="shared" si="41"/>
        <v>3229.875</v>
      </c>
      <c r="Y85" s="39">
        <f>$M85*CMF</f>
        <v>55.6875</v>
      </c>
      <c r="Z85" s="11">
        <f t="shared" si="35"/>
        <v>4.3269230769230768E-2</v>
      </c>
      <c r="AA85" s="18"/>
      <c r="AB85" s="39">
        <f t="shared" si="36"/>
        <v>7462.125</v>
      </c>
      <c r="AC85" s="40">
        <f t="shared" si="42"/>
        <v>55.6875</v>
      </c>
      <c r="AD85" s="11">
        <f t="shared" si="37"/>
        <v>4.6914490311710196E-2</v>
      </c>
      <c r="AE85" s="18"/>
      <c r="AF85" s="62"/>
      <c r="AG85" s="18"/>
      <c r="AI85" s="8"/>
      <c r="AJ85" s="18">
        <f>+AJ84+AJ81</f>
        <v>12320</v>
      </c>
      <c r="AK85" s="18"/>
      <c r="AL85" s="18"/>
    </row>
    <row r="86" spans="1:38" s="7" customFormat="1" ht="12.75" thickBot="1">
      <c r="A86" s="16" t="s">
        <v>150</v>
      </c>
      <c r="B86" s="22" t="s">
        <v>59</v>
      </c>
      <c r="C86" s="59"/>
      <c r="D86" s="8">
        <f t="shared" si="38"/>
        <v>9.9569263366675754E-3</v>
      </c>
      <c r="E86" s="60" t="s">
        <v>193</v>
      </c>
      <c r="F86" s="60" t="s">
        <v>193</v>
      </c>
      <c r="G86" s="64"/>
      <c r="H86" s="60" t="s">
        <v>193</v>
      </c>
      <c r="I86" s="60" t="s">
        <v>193</v>
      </c>
      <c r="J86" s="64"/>
      <c r="K86" s="65" t="s">
        <v>193</v>
      </c>
      <c r="L86" s="18">
        <f t="shared" si="31"/>
        <v>7000</v>
      </c>
      <c r="M86" s="18">
        <f>2000/2</f>
        <v>1000</v>
      </c>
      <c r="N86" s="11">
        <f t="shared" si="32"/>
        <v>0.72674418604651159</v>
      </c>
      <c r="O86" s="11"/>
      <c r="P86" s="39">
        <f t="shared" si="39"/>
        <v>3375</v>
      </c>
      <c r="Q86" s="39">
        <f>$M86*CMF</f>
        <v>1125</v>
      </c>
      <c r="R86" s="11">
        <f t="shared" si="33"/>
        <v>0.93906510851419034</v>
      </c>
      <c r="S86" s="18"/>
      <c r="T86" s="39">
        <f t="shared" si="40"/>
        <v>82125</v>
      </c>
      <c r="U86" s="39">
        <f>$M86*CMF</f>
        <v>1125</v>
      </c>
      <c r="V86" s="11">
        <f t="shared" si="34"/>
        <v>1.0162601626016261</v>
      </c>
      <c r="W86" s="18"/>
      <c r="X86" s="39">
        <f t="shared" si="41"/>
        <v>65250</v>
      </c>
      <c r="Y86" s="39">
        <f>$M86*CMF</f>
        <v>1125</v>
      </c>
      <c r="Z86" s="11">
        <f t="shared" si="35"/>
        <v>0.87412587412587417</v>
      </c>
      <c r="AA86" s="18"/>
      <c r="AB86" s="39">
        <f t="shared" si="36"/>
        <v>150750</v>
      </c>
      <c r="AC86" s="40">
        <f t="shared" si="42"/>
        <v>1125</v>
      </c>
      <c r="AD86" s="11">
        <f t="shared" si="37"/>
        <v>0.94776748104465036</v>
      </c>
      <c r="AE86" s="18"/>
      <c r="AF86" s="62"/>
      <c r="AI86" s="8"/>
      <c r="AJ86" s="18">
        <f>AJ85*0.58</f>
        <v>7145.5999999999995</v>
      </c>
      <c r="AK86" s="18"/>
      <c r="AL86" s="18"/>
    </row>
    <row r="87" spans="1:38" s="7" customFormat="1" ht="12.75" thickBot="1">
      <c r="A87" s="16" t="s">
        <v>212</v>
      </c>
      <c r="B87" s="22" t="s">
        <v>60</v>
      </c>
      <c r="C87" s="59"/>
      <c r="D87" s="8">
        <f t="shared" si="38"/>
        <v>1.2799628805786167E-2</v>
      </c>
      <c r="E87" s="60" t="s">
        <v>193</v>
      </c>
      <c r="F87" s="60" t="s">
        <v>193</v>
      </c>
      <c r="G87" s="64"/>
      <c r="H87" s="60" t="s">
        <v>193</v>
      </c>
      <c r="I87" s="60" t="s">
        <v>193</v>
      </c>
      <c r="J87" s="64"/>
      <c r="K87" s="65" t="s">
        <v>193</v>
      </c>
      <c r="L87" s="18">
        <f t="shared" si="31"/>
        <v>8998.5</v>
      </c>
      <c r="M87" s="18">
        <f>2571/2</f>
        <v>1285.5</v>
      </c>
      <c r="N87" s="11">
        <f t="shared" si="32"/>
        <v>0.93422965116279066</v>
      </c>
      <c r="O87" s="11"/>
      <c r="P87" s="39">
        <f t="shared" si="39"/>
        <v>4089.6688432835822</v>
      </c>
      <c r="Q87" s="39">
        <f>(((1000+500+500+500)*4.33*15)*CMF)/SM134Units</f>
        <v>1363.2229477611941</v>
      </c>
      <c r="R87" s="11">
        <f t="shared" si="33"/>
        <v>1.1379156492163556</v>
      </c>
      <c r="S87" s="18"/>
      <c r="T87" s="39">
        <f t="shared" si="40"/>
        <v>99515.27518656716</v>
      </c>
      <c r="U87" s="39">
        <f>(((1000+500+500+500)*4.33*15)*CMF)/SM134Units</f>
        <v>1363.2229477611941</v>
      </c>
      <c r="V87" s="11">
        <f t="shared" si="34"/>
        <v>1.2314570440480523</v>
      </c>
      <c r="W87" s="18"/>
      <c r="X87" s="39">
        <f t="shared" si="41"/>
        <v>79066.93097014926</v>
      </c>
      <c r="Y87" s="39">
        <f>(((1000+500+500+500)*4.33*15)*CMF)/SM134Units</f>
        <v>1363.2229477611941</v>
      </c>
      <c r="Z87" s="11">
        <f t="shared" si="35"/>
        <v>1.0592252896357375</v>
      </c>
      <c r="AA87" s="18"/>
      <c r="AB87" s="39">
        <f t="shared" si="36"/>
        <v>182671.875</v>
      </c>
      <c r="AC87" s="40">
        <f t="shared" si="42"/>
        <v>1363.2229477611941</v>
      </c>
      <c r="AD87" s="11">
        <f t="shared" si="37"/>
        <v>1.1484607816016799</v>
      </c>
      <c r="AE87" s="18"/>
      <c r="AF87" s="62"/>
      <c r="AH87" s="18"/>
      <c r="AJ87" s="7">
        <f>0.5*AJ78/12</f>
        <v>26829.803436640952</v>
      </c>
      <c r="AL87" s="18"/>
    </row>
    <row r="88" spans="1:38" s="7" customFormat="1" ht="12.75" thickBot="1">
      <c r="A88" s="81"/>
      <c r="B88" s="25" t="s">
        <v>253</v>
      </c>
      <c r="C88" s="25"/>
      <c r="D88" s="82">
        <f>SUM(D9:D87)</f>
        <v>0.99999999999999978</v>
      </c>
      <c r="E88" s="83" t="s">
        <v>197</v>
      </c>
      <c r="F88" s="83" t="s">
        <v>197</v>
      </c>
      <c r="G88" s="83"/>
      <c r="H88" s="83" t="s">
        <v>197</v>
      </c>
      <c r="I88" s="83" t="s">
        <v>197</v>
      </c>
      <c r="J88" s="83"/>
      <c r="K88" s="83"/>
      <c r="L88" s="21">
        <f>+SUM(L9:L87)</f>
        <v>703028.20000000007</v>
      </c>
      <c r="M88" s="21">
        <f>+SUM(M9:M87)</f>
        <v>60898.049999999996</v>
      </c>
      <c r="N88" s="84">
        <f t="shared" si="32"/>
        <v>44.257303779069765</v>
      </c>
      <c r="O88" s="84"/>
      <c r="P88" s="20">
        <f>+SUM(P9:P87)</f>
        <v>206073.93793252515</v>
      </c>
      <c r="Q88" s="21">
        <f>+SUM(Q9:Q87)</f>
        <v>68691.31264417505</v>
      </c>
      <c r="R88" s="20">
        <f>+Q88/Q$8</f>
        <v>57.338324410830595</v>
      </c>
      <c r="S88" s="36"/>
      <c r="T88" s="21">
        <f>+SUM(T9:T87)</f>
        <v>4746348.8343498139</v>
      </c>
      <c r="U88" s="21">
        <f>+SUM(U9:U87)</f>
        <v>65018.477182874165</v>
      </c>
      <c r="V88" s="20">
        <f>+U88/U$8</f>
        <v>58.733945061313612</v>
      </c>
      <c r="W88" s="37"/>
      <c r="X88" s="21">
        <f>+SUM(X9:X87)</f>
        <v>4171776.2391222743</v>
      </c>
      <c r="Y88" s="21">
        <f>+SUM(Y9:Y87)</f>
        <v>71927.176536590952</v>
      </c>
      <c r="Z88" s="20">
        <f>+Y88/Y$8</f>
        <v>55.887472056403226</v>
      </c>
      <c r="AA88" s="37"/>
      <c r="AB88" s="44">
        <f>+SUM(AB9:AB87)</f>
        <v>9124199.0114046168</v>
      </c>
      <c r="AC88" s="21">
        <f>+SUM(AC9:AC87)</f>
        <v>68091.037398541914</v>
      </c>
      <c r="AD88" s="20">
        <f>+AC88/AC$8</f>
        <v>57.363974219496136</v>
      </c>
      <c r="AE88" s="85"/>
      <c r="AF88" s="86"/>
      <c r="AJ88" s="7">
        <f>+AJ87+AJ86</f>
        <v>33975.403436640954</v>
      </c>
    </row>
    <row r="89" spans="1:38" s="7" customFormat="1" ht="12.75" thickTop="1">
      <c r="A89" s="16"/>
      <c r="L89" s="9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62"/>
    </row>
    <row r="90" spans="1:38" s="88" customFormat="1">
      <c r="A90" s="16"/>
      <c r="B90" s="7"/>
      <c r="C90" s="7"/>
      <c r="D90" s="7"/>
      <c r="E90" s="7"/>
      <c r="F90" s="7"/>
      <c r="G90" s="7"/>
      <c r="H90" s="7"/>
      <c r="I90" s="7"/>
      <c r="J90" s="7"/>
      <c r="K90" s="7"/>
      <c r="L90" s="87" t="s">
        <v>252</v>
      </c>
      <c r="M90" s="87" t="s">
        <v>251</v>
      </c>
    </row>
    <row r="91" spans="1:38" s="7" customFormat="1">
      <c r="A91" s="89"/>
      <c r="B91" s="22" t="s">
        <v>237</v>
      </c>
      <c r="L91" s="7">
        <f>10.3*43560*2.5</f>
        <v>1121670.0000000002</v>
      </c>
      <c r="M91" s="7">
        <f>L91/10.3</f>
        <v>108900.00000000001</v>
      </c>
      <c r="P91" s="38">
        <f t="shared" ref="P91:P108" si="43">Q91*P$7</f>
        <v>25112.01492537314</v>
      </c>
      <c r="Q91" s="38">
        <f>+$L91/SM134Units</f>
        <v>8370.6716417910466</v>
      </c>
      <c r="R91" s="10">
        <f t="shared" ref="R91:R119" si="44">+Q91/Q$8</f>
        <v>6.9872050432312571</v>
      </c>
      <c r="T91" s="38">
        <f t="shared" ref="T91:T101" si="45">U91*T$7</f>
        <v>611059.02985074639</v>
      </c>
      <c r="U91" s="38">
        <f>+$L91/SM134Units</f>
        <v>8370.6716417910466</v>
      </c>
      <c r="V91" s="10">
        <f t="shared" ref="V91:V102" si="46">+U91/U$8</f>
        <v>7.5615823322412341</v>
      </c>
      <c r="X91" s="38">
        <f t="shared" ref="X91:X101" si="47">Y91*X$7</f>
        <v>485498.95522388071</v>
      </c>
      <c r="Y91" s="38">
        <f>+$L91/SM134Units</f>
        <v>8370.6716417910466</v>
      </c>
      <c r="Z91" s="10">
        <f t="shared" ref="Z91:Z102" si="48">+Y91/Y$8</f>
        <v>6.5040183696900131</v>
      </c>
      <c r="AB91" s="38">
        <f>+X91+T91+P91</f>
        <v>1121670.0000000005</v>
      </c>
      <c r="AC91" s="38">
        <f t="shared" ref="AC91:AC102" si="49">+AB91/AB$7</f>
        <v>8370.6716417910484</v>
      </c>
      <c r="AD91" s="10">
        <f t="shared" ref="AD91:AD102" si="50">+AC91/AC$8</f>
        <v>7.0519558903041686</v>
      </c>
    </row>
    <row r="92" spans="1:38" s="7" customFormat="1">
      <c r="A92" s="16"/>
      <c r="B92" s="26" t="s">
        <v>238</v>
      </c>
      <c r="P92" s="39"/>
      <c r="R92" s="11"/>
    </row>
    <row r="93" spans="1:38" s="7" customFormat="1">
      <c r="A93" s="16"/>
      <c r="B93" s="7" t="s">
        <v>248</v>
      </c>
      <c r="L93" s="7">
        <f>+L147*CMF</f>
        <v>294300</v>
      </c>
      <c r="M93" s="7">
        <f t="shared" ref="M93:M102" si="51">L93/10.3</f>
        <v>28572.815533980582</v>
      </c>
      <c r="P93" s="39">
        <f t="shared" si="43"/>
        <v>6588.805970149253</v>
      </c>
      <c r="Q93" s="7">
        <f>+$L93/SM134Units</f>
        <v>2196.2686567164178</v>
      </c>
      <c r="R93" s="10">
        <f t="shared" si="44"/>
        <v>1.8332793461739714</v>
      </c>
      <c r="T93" s="38">
        <f t="shared" si="45"/>
        <v>160327.61194029849</v>
      </c>
      <c r="U93" s="7">
        <f>+$L93/SM134Units</f>
        <v>2196.2686567164178</v>
      </c>
      <c r="V93" s="10">
        <f t="shared" si="46"/>
        <v>1.983982526392428</v>
      </c>
      <c r="X93" s="38">
        <f t="shared" si="47"/>
        <v>127383.58208955223</v>
      </c>
      <c r="Y93" s="7">
        <f>+$L93/SM134Units</f>
        <v>2196.2686567164178</v>
      </c>
      <c r="Z93" s="10">
        <f t="shared" si="48"/>
        <v>1.7065024527711095</v>
      </c>
      <c r="AB93" s="38">
        <f t="shared" ref="AB93:AB101" si="52">+X93+T93+P93</f>
        <v>294299.99999999994</v>
      </c>
      <c r="AC93" s="38">
        <f t="shared" si="49"/>
        <v>2196.2686567164174</v>
      </c>
      <c r="AD93" s="10">
        <f t="shared" si="50"/>
        <v>1.8502684555319437</v>
      </c>
    </row>
    <row r="94" spans="1:38" s="7" customFormat="1">
      <c r="A94" s="16"/>
      <c r="B94" s="7" t="s">
        <v>249</v>
      </c>
      <c r="L94" s="7">
        <f>+L148*8*CMF</f>
        <v>41202</v>
      </c>
      <c r="M94" s="7">
        <f t="shared" si="51"/>
        <v>4000.1941747572814</v>
      </c>
      <c r="P94" s="39">
        <f t="shared" si="43"/>
        <v>922.43283582089555</v>
      </c>
      <c r="Q94" s="7">
        <f t="shared" ref="Q94:Q108" si="53">+$L94/SM134Units</f>
        <v>307.47761194029852</v>
      </c>
      <c r="R94" s="11">
        <f t="shared" si="44"/>
        <v>0.25665910846435602</v>
      </c>
      <c r="T94" s="39">
        <f t="shared" si="45"/>
        <v>22445.86567164179</v>
      </c>
      <c r="U94" s="7">
        <f t="shared" ref="U94:U108" si="54">+$L94/SM134Units</f>
        <v>307.47761194029852</v>
      </c>
      <c r="V94" s="11">
        <f t="shared" si="46"/>
        <v>0.27775755369493993</v>
      </c>
      <c r="X94" s="39">
        <f t="shared" si="47"/>
        <v>17833.701492537315</v>
      </c>
      <c r="Y94" s="7">
        <f t="shared" ref="Y94:Y108" si="55">+$L94/SM134Units</f>
        <v>307.47761194029852</v>
      </c>
      <c r="Z94" s="11">
        <f t="shared" si="48"/>
        <v>0.23891034338795533</v>
      </c>
      <c r="AB94" s="18">
        <f t="shared" si="52"/>
        <v>41202</v>
      </c>
      <c r="AC94" s="40">
        <f t="shared" si="49"/>
        <v>307.47761194029852</v>
      </c>
      <c r="AD94" s="11">
        <f t="shared" si="50"/>
        <v>0.25903758377447222</v>
      </c>
    </row>
    <row r="95" spans="1:38" s="7" customFormat="1">
      <c r="A95" s="16"/>
      <c r="B95" s="7" t="s">
        <v>250</v>
      </c>
      <c r="L95" s="7">
        <f>L146*0.5*CMF</f>
        <v>73575</v>
      </c>
      <c r="M95" s="7">
        <f t="shared" si="51"/>
        <v>7143.2038834951454</v>
      </c>
      <c r="P95" s="39">
        <f t="shared" si="43"/>
        <v>1647.2014925373132</v>
      </c>
      <c r="Q95" s="7">
        <f t="shared" si="53"/>
        <v>549.06716417910445</v>
      </c>
      <c r="R95" s="11">
        <f t="shared" si="44"/>
        <v>0.45831983654349284</v>
      </c>
      <c r="T95" s="39">
        <f t="shared" si="45"/>
        <v>40081.902985074623</v>
      </c>
      <c r="U95" s="7">
        <f t="shared" si="54"/>
        <v>549.06716417910445</v>
      </c>
      <c r="V95" s="11">
        <f t="shared" si="46"/>
        <v>0.495995631598107</v>
      </c>
      <c r="X95" s="39">
        <f t="shared" si="47"/>
        <v>31845.895522388058</v>
      </c>
      <c r="Y95" s="7">
        <f t="shared" si="55"/>
        <v>549.06716417910445</v>
      </c>
      <c r="Z95" s="11">
        <f t="shared" si="48"/>
        <v>0.42662561319277736</v>
      </c>
      <c r="AB95" s="18">
        <f t="shared" si="52"/>
        <v>73574.999999999985</v>
      </c>
      <c r="AC95" s="40">
        <f t="shared" si="49"/>
        <v>549.06716417910434</v>
      </c>
      <c r="AD95" s="11">
        <f t="shared" si="50"/>
        <v>0.46256711388298594</v>
      </c>
    </row>
    <row r="96" spans="1:38" s="7" customFormat="1">
      <c r="A96" s="16"/>
      <c r="B96" s="7" t="s">
        <v>239</v>
      </c>
      <c r="L96" s="7">
        <f>545*4*35*CMF</f>
        <v>85837.5</v>
      </c>
      <c r="M96" s="7">
        <f t="shared" si="51"/>
        <v>8333.7378640776697</v>
      </c>
      <c r="P96" s="39">
        <f t="shared" si="43"/>
        <v>1921.7350746268658</v>
      </c>
      <c r="Q96" s="7">
        <f t="shared" si="53"/>
        <v>640.57835820895525</v>
      </c>
      <c r="R96" s="11">
        <f t="shared" si="44"/>
        <v>0.53470647596740839</v>
      </c>
      <c r="T96" s="39">
        <f t="shared" si="45"/>
        <v>46762.220149253735</v>
      </c>
      <c r="U96" s="7">
        <f t="shared" si="54"/>
        <v>640.57835820895525</v>
      </c>
      <c r="V96" s="11">
        <f t="shared" si="46"/>
        <v>0.57866157019779152</v>
      </c>
      <c r="X96" s="39">
        <f t="shared" si="47"/>
        <v>37153.544776119408</v>
      </c>
      <c r="Y96" s="7">
        <f t="shared" si="55"/>
        <v>640.57835820895525</v>
      </c>
      <c r="Z96" s="11">
        <f t="shared" si="48"/>
        <v>0.49772988205824031</v>
      </c>
      <c r="AB96" s="18">
        <f t="shared" si="52"/>
        <v>85837.5</v>
      </c>
      <c r="AC96" s="40">
        <f t="shared" si="49"/>
        <v>640.57835820895525</v>
      </c>
      <c r="AD96" s="11">
        <f t="shared" si="50"/>
        <v>0.53966163286348379</v>
      </c>
    </row>
    <row r="97" spans="1:30" s="7" customFormat="1">
      <c r="A97" s="16"/>
      <c r="B97" s="7" t="s">
        <v>240</v>
      </c>
      <c r="L97" s="7">
        <f>N140*1.5*CMF</f>
        <v>237908.27980621456</v>
      </c>
      <c r="M97" s="7">
        <f t="shared" si="51"/>
        <v>23097.891243321799</v>
      </c>
      <c r="P97" s="39">
        <f t="shared" si="43"/>
        <v>5326.3047717809231</v>
      </c>
      <c r="Q97" s="7">
        <f t="shared" si="53"/>
        <v>1775.4349239269743</v>
      </c>
      <c r="R97" s="11">
        <f t="shared" si="44"/>
        <v>1.4819991017754377</v>
      </c>
      <c r="T97" s="39">
        <f t="shared" si="45"/>
        <v>129606.74944666913</v>
      </c>
      <c r="U97" s="7">
        <f t="shared" si="54"/>
        <v>1775.4349239269743</v>
      </c>
      <c r="V97" s="11">
        <f t="shared" si="46"/>
        <v>1.6038255862032289</v>
      </c>
      <c r="X97" s="39">
        <f t="shared" si="47"/>
        <v>102975.22558776451</v>
      </c>
      <c r="Y97" s="7">
        <f t="shared" si="55"/>
        <v>1775.4349239269743</v>
      </c>
      <c r="Z97" s="11">
        <f t="shared" si="48"/>
        <v>1.3795143154055745</v>
      </c>
      <c r="AB97" s="18">
        <f t="shared" si="52"/>
        <v>237908.27980621456</v>
      </c>
      <c r="AC97" s="40">
        <f t="shared" si="49"/>
        <v>1775.4349239269743</v>
      </c>
      <c r="AD97" s="11">
        <f t="shared" si="50"/>
        <v>1.4957328760968613</v>
      </c>
    </row>
    <row r="98" spans="1:30" s="7" customFormat="1">
      <c r="A98" s="16"/>
      <c r="B98" s="7" t="s">
        <v>241</v>
      </c>
      <c r="L98" s="7">
        <f>+L157*CMF</f>
        <v>11250</v>
      </c>
      <c r="M98" s="7">
        <f t="shared" si="51"/>
        <v>1092.2330097087379</v>
      </c>
      <c r="P98" s="39">
        <f t="shared" si="43"/>
        <v>251.86567164179104</v>
      </c>
      <c r="Q98" s="7">
        <f t="shared" si="53"/>
        <v>83.955223880597018</v>
      </c>
      <c r="R98" s="11">
        <f t="shared" si="44"/>
        <v>7.0079485710014211E-2</v>
      </c>
      <c r="T98" s="39">
        <f t="shared" si="45"/>
        <v>6128.7313432835826</v>
      </c>
      <c r="U98" s="7">
        <f t="shared" si="54"/>
        <v>83.955223880597018</v>
      </c>
      <c r="V98" s="11">
        <f t="shared" si="46"/>
        <v>7.5840310641912392E-2</v>
      </c>
      <c r="X98" s="39">
        <f t="shared" si="47"/>
        <v>4869.4029850746274</v>
      </c>
      <c r="Y98" s="7">
        <f t="shared" si="55"/>
        <v>83.955223880597018</v>
      </c>
      <c r="Z98" s="11">
        <f t="shared" si="48"/>
        <v>6.5233274188498072E-2</v>
      </c>
      <c r="AB98" s="18">
        <f t="shared" si="52"/>
        <v>11250.000000000002</v>
      </c>
      <c r="AC98" s="40">
        <f t="shared" si="49"/>
        <v>83.955223880597032</v>
      </c>
      <c r="AD98" s="11">
        <f t="shared" si="50"/>
        <v>7.0728916495869446E-2</v>
      </c>
    </row>
    <row r="99" spans="1:30" s="7" customFormat="1">
      <c r="A99" s="16"/>
      <c r="B99" s="7" t="s">
        <v>242</v>
      </c>
      <c r="L99" s="7">
        <f>+L160*CMF</f>
        <v>35437.5</v>
      </c>
      <c r="M99" s="7">
        <f t="shared" si="51"/>
        <v>3440.5339805825242</v>
      </c>
      <c r="P99" s="39">
        <f t="shared" si="43"/>
        <v>793.37686567164178</v>
      </c>
      <c r="Q99" s="7">
        <f t="shared" si="53"/>
        <v>264.45895522388059</v>
      </c>
      <c r="R99" s="11">
        <f t="shared" si="44"/>
        <v>0.22075037998654473</v>
      </c>
      <c r="T99" s="39">
        <f t="shared" si="45"/>
        <v>19305.503731343284</v>
      </c>
      <c r="U99" s="7">
        <f t="shared" si="54"/>
        <v>264.45895522388059</v>
      </c>
      <c r="V99" s="11">
        <f t="shared" si="46"/>
        <v>0.23889697852202402</v>
      </c>
      <c r="X99" s="39">
        <f t="shared" si="47"/>
        <v>15338.619402985074</v>
      </c>
      <c r="Y99" s="7">
        <f t="shared" si="55"/>
        <v>264.45895522388059</v>
      </c>
      <c r="Z99" s="11">
        <f t="shared" si="48"/>
        <v>0.20548481369376892</v>
      </c>
      <c r="AB99" s="18">
        <f t="shared" si="52"/>
        <v>35437.5</v>
      </c>
      <c r="AC99" s="40">
        <f t="shared" si="49"/>
        <v>264.45895522388059</v>
      </c>
      <c r="AD99" s="11">
        <f t="shared" si="50"/>
        <v>0.22279608696198872</v>
      </c>
    </row>
    <row r="100" spans="1:30" s="7" customFormat="1">
      <c r="A100" s="16"/>
      <c r="B100" s="7" t="s">
        <v>227</v>
      </c>
      <c r="L100" s="7">
        <f>+L156*CMF</f>
        <v>28125</v>
      </c>
      <c r="M100" s="7">
        <f t="shared" si="51"/>
        <v>2730.5825242718442</v>
      </c>
      <c r="P100" s="39">
        <f t="shared" si="43"/>
        <v>629.66417910447763</v>
      </c>
      <c r="Q100" s="7">
        <f t="shared" si="53"/>
        <v>209.88805970149255</v>
      </c>
      <c r="R100" s="11">
        <f t="shared" si="44"/>
        <v>0.17519871427503553</v>
      </c>
      <c r="T100" s="39">
        <f t="shared" si="45"/>
        <v>15321.828358208957</v>
      </c>
      <c r="U100" s="7">
        <f t="shared" si="54"/>
        <v>209.88805970149255</v>
      </c>
      <c r="V100" s="11">
        <f t="shared" si="46"/>
        <v>0.18960077660478097</v>
      </c>
      <c r="X100" s="39">
        <f t="shared" si="47"/>
        <v>12173.507462686568</v>
      </c>
      <c r="Y100" s="7">
        <f t="shared" si="55"/>
        <v>209.88805970149255</v>
      </c>
      <c r="Z100" s="11">
        <f t="shared" si="48"/>
        <v>0.16308318547124517</v>
      </c>
      <c r="AB100" s="18">
        <f t="shared" si="52"/>
        <v>28125.000000000004</v>
      </c>
      <c r="AC100" s="40">
        <f t="shared" si="49"/>
        <v>209.88805970149255</v>
      </c>
      <c r="AD100" s="11">
        <f t="shared" si="50"/>
        <v>0.17682229123967358</v>
      </c>
    </row>
    <row r="101" spans="1:30" s="7" customFormat="1">
      <c r="A101" s="16"/>
      <c r="B101" s="7" t="s">
        <v>231</v>
      </c>
      <c r="L101" s="7">
        <f>+L159*CMF</f>
        <v>16875</v>
      </c>
      <c r="M101" s="7">
        <f t="shared" si="51"/>
        <v>1638.3495145631066</v>
      </c>
      <c r="P101" s="39">
        <f t="shared" si="43"/>
        <v>377.79850746268653</v>
      </c>
      <c r="Q101" s="7">
        <f t="shared" si="53"/>
        <v>125.93283582089552</v>
      </c>
      <c r="R101" s="11">
        <f t="shared" si="44"/>
        <v>0.1051192285650213</v>
      </c>
      <c r="T101" s="39">
        <f t="shared" si="45"/>
        <v>9193.0970149253735</v>
      </c>
      <c r="U101" s="7">
        <f t="shared" si="54"/>
        <v>125.93283582089552</v>
      </c>
      <c r="V101" s="11">
        <f t="shared" si="46"/>
        <v>0.11376046596286858</v>
      </c>
      <c r="X101" s="39">
        <f t="shared" si="47"/>
        <v>7304.1044776119397</v>
      </c>
      <c r="Y101" s="7">
        <f t="shared" si="55"/>
        <v>125.93283582089552</v>
      </c>
      <c r="Z101" s="11">
        <f t="shared" si="48"/>
        <v>9.7849911282747101E-2</v>
      </c>
      <c r="AB101" s="18">
        <f t="shared" si="52"/>
        <v>16875</v>
      </c>
      <c r="AC101" s="40">
        <f t="shared" si="49"/>
        <v>125.93283582089552</v>
      </c>
      <c r="AD101" s="11">
        <f t="shared" si="50"/>
        <v>0.10609337474380415</v>
      </c>
    </row>
    <row r="102" spans="1:30" s="7" customFormat="1">
      <c r="A102" s="16"/>
      <c r="B102" s="7" t="s">
        <v>255</v>
      </c>
      <c r="L102" s="7">
        <f>15000*CMF</f>
        <v>16875</v>
      </c>
      <c r="M102" s="7">
        <f t="shared" si="51"/>
        <v>1638.3495145631066</v>
      </c>
      <c r="P102" s="39">
        <f>Q102*P$7</f>
        <v>377.79850746268653</v>
      </c>
      <c r="Q102" s="7">
        <f t="shared" si="53"/>
        <v>125.93283582089552</v>
      </c>
      <c r="R102" s="11">
        <f t="shared" si="44"/>
        <v>0.1051192285650213</v>
      </c>
      <c r="T102" s="39">
        <f>U102*T$7</f>
        <v>9193.0970149253735</v>
      </c>
      <c r="U102" s="7">
        <f t="shared" si="54"/>
        <v>125.93283582089552</v>
      </c>
      <c r="V102" s="11">
        <f t="shared" si="46"/>
        <v>0.11376046596286858</v>
      </c>
      <c r="X102" s="39">
        <f>Y102*X$7</f>
        <v>7304.1044776119397</v>
      </c>
      <c r="Y102" s="7">
        <f t="shared" si="55"/>
        <v>125.93283582089552</v>
      </c>
      <c r="Z102" s="11">
        <f t="shared" si="48"/>
        <v>9.7849911282747101E-2</v>
      </c>
      <c r="AB102" s="18">
        <f>+X102+T102+P102</f>
        <v>16875</v>
      </c>
      <c r="AC102" s="40">
        <f t="shared" si="49"/>
        <v>125.93283582089552</v>
      </c>
      <c r="AD102" s="11">
        <f t="shared" si="50"/>
        <v>0.10609337474380415</v>
      </c>
    </row>
    <row r="103" spans="1:30" s="7" customFormat="1">
      <c r="A103" s="16"/>
      <c r="B103" s="27" t="s">
        <v>262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>
        <f>SUM(L93:L101)</f>
        <v>824510.27980621462</v>
      </c>
      <c r="M103" s="27">
        <f>SUM(M93:M101)</f>
        <v>80049.54172875869</v>
      </c>
      <c r="P103" s="41">
        <f>SUM(P93:P102)</f>
        <v>18836.983876258531</v>
      </c>
      <c r="Q103" s="41">
        <f>SUM(Q93:Q102)</f>
        <v>6278.994625419512</v>
      </c>
      <c r="R103" s="42">
        <f>SUM(R93:R102)</f>
        <v>5.2412309060263045</v>
      </c>
      <c r="T103" s="41">
        <f>SUM(T93:T102)</f>
        <v>458366.60765562434</v>
      </c>
      <c r="U103" s="41">
        <f>SUM(U93:U102)</f>
        <v>6278.994625419512</v>
      </c>
      <c r="V103" s="42">
        <f>SUM(V93:V102)</f>
        <v>5.6720818657809495</v>
      </c>
      <c r="X103" s="41">
        <f>SUM(X93:X102)</f>
        <v>364181.68827433168</v>
      </c>
      <c r="Y103" s="41">
        <f>SUM(Y93:Y102)</f>
        <v>6278.994625419512</v>
      </c>
      <c r="Z103" s="42">
        <f>SUM(Z93:Z102)</f>
        <v>4.8787837027346619</v>
      </c>
      <c r="AB103" s="41">
        <f>SUM(AB93:AB102)</f>
        <v>841385.2798062145</v>
      </c>
      <c r="AC103" s="41">
        <f>SUM(AC93:AC102)</f>
        <v>6278.9946254195111</v>
      </c>
      <c r="AD103" s="42">
        <f>SUM(AD93:AD102)</f>
        <v>5.2898017063348872</v>
      </c>
    </row>
    <row r="104" spans="1:30" s="7" customFormat="1">
      <c r="A104" s="16"/>
      <c r="P104" s="39"/>
      <c r="R104" s="11"/>
      <c r="U104" s="7">
        <f t="shared" si="54"/>
        <v>0</v>
      </c>
      <c r="Y104" s="7">
        <f t="shared" si="55"/>
        <v>0</v>
      </c>
    </row>
    <row r="105" spans="1:30" s="7" customFormat="1">
      <c r="A105" s="16"/>
      <c r="B105" s="26" t="s">
        <v>246</v>
      </c>
      <c r="P105" s="39"/>
      <c r="R105" s="11"/>
      <c r="U105" s="7">
        <f t="shared" si="54"/>
        <v>0</v>
      </c>
      <c r="Y105" s="7">
        <f t="shared" si="55"/>
        <v>0</v>
      </c>
    </row>
    <row r="106" spans="1:30" s="7" customFormat="1">
      <c r="A106" s="16"/>
      <c r="B106" s="7" t="s">
        <v>243</v>
      </c>
      <c r="L106" s="7">
        <f>75000*CMF</f>
        <v>84375</v>
      </c>
      <c r="M106" s="7">
        <f>L106/10.3</f>
        <v>8191.7475728155332</v>
      </c>
      <c r="P106" s="38">
        <f t="shared" si="43"/>
        <v>1888.9925373134329</v>
      </c>
      <c r="Q106" s="38">
        <f t="shared" si="53"/>
        <v>629.66417910447763</v>
      </c>
      <c r="R106" s="10">
        <f t="shared" si="44"/>
        <v>0.52559614282510658</v>
      </c>
      <c r="T106" s="38">
        <f>U106*T$7</f>
        <v>45965.485074626864</v>
      </c>
      <c r="U106" s="38">
        <f t="shared" si="54"/>
        <v>629.66417910447763</v>
      </c>
      <c r="V106" s="10">
        <f>+U106/U$8</f>
        <v>0.56880232981434298</v>
      </c>
      <c r="X106" s="38">
        <f>Y106*X$7</f>
        <v>36520.522388059704</v>
      </c>
      <c r="Y106" s="38">
        <f t="shared" si="55"/>
        <v>629.66417910447763</v>
      </c>
      <c r="Z106" s="10">
        <f>+Y106/Y$8</f>
        <v>0.48924955641373552</v>
      </c>
      <c r="AB106" s="18">
        <f>+X106+T106+P106</f>
        <v>84375</v>
      </c>
      <c r="AC106" s="40">
        <f>+AB106/AB$7</f>
        <v>629.66417910447763</v>
      </c>
      <c r="AD106" s="11">
        <f>+AC106/AC$8</f>
        <v>0.53046687371902079</v>
      </c>
    </row>
    <row r="107" spans="1:30" s="7" customFormat="1">
      <c r="A107" s="16"/>
      <c r="B107" s="7" t="s">
        <v>245</v>
      </c>
      <c r="L107" s="7">
        <f>4000*CMF</f>
        <v>4500</v>
      </c>
      <c r="M107" s="7">
        <f>L107/10.3</f>
        <v>436.89320388349512</v>
      </c>
      <c r="P107" s="39">
        <f t="shared" si="43"/>
        <v>100.74626865671641</v>
      </c>
      <c r="Q107" s="7">
        <f t="shared" si="53"/>
        <v>33.582089552238806</v>
      </c>
      <c r="R107" s="11">
        <f t="shared" si="44"/>
        <v>2.8031794284005682E-2</v>
      </c>
      <c r="T107" s="39">
        <f>U107*T$7</f>
        <v>2451.4925373134329</v>
      </c>
      <c r="U107" s="7">
        <f t="shared" si="54"/>
        <v>33.582089552238806</v>
      </c>
      <c r="V107" s="11">
        <f>+U107/U$8</f>
        <v>3.0336124256764956E-2</v>
      </c>
      <c r="X107" s="39">
        <f>Y107*X$7</f>
        <v>1947.7611940298507</v>
      </c>
      <c r="Y107" s="7">
        <f t="shared" si="55"/>
        <v>33.582089552238806</v>
      </c>
      <c r="Z107" s="11">
        <f>+Y107/Y$8</f>
        <v>2.6093309675399228E-2</v>
      </c>
      <c r="AB107" s="18">
        <f>+X107+T107+P107</f>
        <v>4500</v>
      </c>
      <c r="AC107" s="40">
        <f>+AB107/AB$7</f>
        <v>33.582089552238806</v>
      </c>
      <c r="AD107" s="11">
        <f>+AC107/AC$8</f>
        <v>2.8291566598347771E-2</v>
      </c>
    </row>
    <row r="108" spans="1:30" s="7" customFormat="1">
      <c r="A108" s="16"/>
      <c r="B108" s="7" t="s">
        <v>244</v>
      </c>
      <c r="L108" s="7">
        <f>4000*CMF</f>
        <v>4500</v>
      </c>
      <c r="M108" s="7">
        <f>L108/10.3</f>
        <v>436.89320388349512</v>
      </c>
      <c r="P108" s="39">
        <f t="shared" si="43"/>
        <v>100.74626865671641</v>
      </c>
      <c r="Q108" s="7">
        <f t="shared" si="53"/>
        <v>33.582089552238806</v>
      </c>
      <c r="R108" s="11">
        <f t="shared" si="44"/>
        <v>2.8031794284005682E-2</v>
      </c>
      <c r="T108" s="39">
        <f>U108*T$7</f>
        <v>2451.4925373134329</v>
      </c>
      <c r="U108" s="7">
        <f t="shared" si="54"/>
        <v>33.582089552238806</v>
      </c>
      <c r="V108" s="11">
        <f>+U108/U$8</f>
        <v>3.0336124256764956E-2</v>
      </c>
      <c r="X108" s="39">
        <f>Y108*X$7</f>
        <v>1947.7611940298507</v>
      </c>
      <c r="Y108" s="7">
        <f t="shared" si="55"/>
        <v>33.582089552238806</v>
      </c>
      <c r="Z108" s="11">
        <f>+Y108/Y$8</f>
        <v>2.6093309675399228E-2</v>
      </c>
      <c r="AB108" s="18">
        <f>+X108+T108+P108</f>
        <v>4500</v>
      </c>
      <c r="AC108" s="40">
        <f>+AB108/AB$7</f>
        <v>33.582089552238806</v>
      </c>
      <c r="AD108" s="11">
        <f>+AC108/AC$8</f>
        <v>2.8291566598347771E-2</v>
      </c>
    </row>
    <row r="109" spans="1:30" s="7" customFormat="1">
      <c r="A109" s="16"/>
      <c r="B109" s="27" t="s">
        <v>247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>
        <f>SUM(L106:L108)</f>
        <v>93375</v>
      </c>
      <c r="M109" s="27">
        <f>SUM(M106:M108)</f>
        <v>9065.5339805825242</v>
      </c>
      <c r="P109" s="41">
        <f>SUM(P106:P108)</f>
        <v>2090.4850746268658</v>
      </c>
      <c r="Q109" s="41">
        <f>SUM(Q106:Q108)</f>
        <v>696.82835820895525</v>
      </c>
      <c r="R109" s="42">
        <f>SUM(R106:R108)</f>
        <v>0.581659731393118</v>
      </c>
      <c r="T109" s="41">
        <f>SUM(T106:T108)</f>
        <v>50868.470149253728</v>
      </c>
      <c r="U109" s="41">
        <f>SUM(U106:U108)</f>
        <v>696.82835820895525</v>
      </c>
      <c r="V109" s="42">
        <f>SUM(V106:V108)</f>
        <v>0.62947457832787279</v>
      </c>
      <c r="X109" s="41">
        <f>SUM(X106:X108)</f>
        <v>40416.044776119408</v>
      </c>
      <c r="Y109" s="41">
        <f>SUM(Y106:Y108)</f>
        <v>696.82835820895525</v>
      </c>
      <c r="Z109" s="42">
        <f>SUM(Z106:Z108)</f>
        <v>0.54143617576453396</v>
      </c>
      <c r="AB109" s="41">
        <f>SUM(AB106:AB108)</f>
        <v>93375</v>
      </c>
      <c r="AC109" s="41">
        <f>SUM(AC106:AC108)</f>
        <v>696.82835820895525</v>
      </c>
      <c r="AD109" s="42">
        <f>SUM(AD106:AD108)</f>
        <v>0.58705000691571629</v>
      </c>
    </row>
    <row r="110" spans="1:30" s="7" customFormat="1">
      <c r="A110" s="16"/>
      <c r="B110" s="45" t="s">
        <v>263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>
        <f>+L109+L103</f>
        <v>917885.27980621462</v>
      </c>
      <c r="M110" s="27">
        <f>+M109+M103</f>
        <v>89115.07570934121</v>
      </c>
      <c r="P110" s="41">
        <f>+P109+P103</f>
        <v>20927.468950885399</v>
      </c>
      <c r="Q110" s="41">
        <f>+Q109+Q103</f>
        <v>6975.8229836284672</v>
      </c>
      <c r="R110" s="42">
        <f>+R109+R103</f>
        <v>5.8228906374194223</v>
      </c>
      <c r="T110" s="41">
        <f>+T109+T103</f>
        <v>509235.07780487806</v>
      </c>
      <c r="U110" s="41">
        <f>+U109+U103</f>
        <v>6975.8229836284672</v>
      </c>
      <c r="V110" s="42">
        <f>+V109+V103</f>
        <v>6.3015564441088223</v>
      </c>
      <c r="X110" s="41">
        <f>+X109+X103</f>
        <v>404597.73305045109</v>
      </c>
      <c r="Y110" s="41">
        <f>+Y109+Y103</f>
        <v>6975.8229836284672</v>
      </c>
      <c r="Z110" s="42">
        <f>+Z109+Z103</f>
        <v>5.4202198784991955</v>
      </c>
      <c r="AB110" s="41">
        <f>+AB109+AB103</f>
        <v>934760.2798062145</v>
      </c>
      <c r="AC110" s="41">
        <f>+AC109+AC103</f>
        <v>6975.8229836284663</v>
      </c>
      <c r="AD110" s="42">
        <f>+AD109+AD103</f>
        <v>5.8768517132506037</v>
      </c>
    </row>
    <row r="111" spans="1:30" s="7" customFormat="1">
      <c r="A111" s="16"/>
      <c r="B111" s="45" t="s">
        <v>254</v>
      </c>
      <c r="C111" s="45"/>
      <c r="D111" s="90"/>
      <c r="E111" s="91"/>
      <c r="F111" s="91"/>
      <c r="G111" s="91"/>
      <c r="H111" s="91"/>
      <c r="I111" s="91"/>
      <c r="J111" s="91"/>
      <c r="K111" s="91"/>
      <c r="L111" s="46">
        <f>+L110+L91</f>
        <v>2039555.2798062149</v>
      </c>
      <c r="M111" s="46">
        <f>+M110+M91</f>
        <v>198015.07570934121</v>
      </c>
      <c r="N111" s="92"/>
      <c r="O111" s="92"/>
      <c r="P111" s="46">
        <f>+P110+P91</f>
        <v>46039.483876258542</v>
      </c>
      <c r="Q111" s="46">
        <f>+Q110+Q91</f>
        <v>15346.494625419513</v>
      </c>
      <c r="R111" s="47">
        <f>+R110+R91</f>
        <v>12.810095680650679</v>
      </c>
      <c r="S111" s="48"/>
      <c r="T111" s="46">
        <f>+T110+T91</f>
        <v>1120294.1076556244</v>
      </c>
      <c r="U111" s="46">
        <f>+U110+U91</f>
        <v>15346.494625419513</v>
      </c>
      <c r="V111" s="47">
        <f>+V110+V91</f>
        <v>13.863138776350056</v>
      </c>
      <c r="W111" s="48"/>
      <c r="X111" s="46">
        <f>+X110+X91</f>
        <v>890096.68827433186</v>
      </c>
      <c r="Y111" s="46">
        <f>+Y110+Y91</f>
        <v>15346.494625419513</v>
      </c>
      <c r="Z111" s="47">
        <f>+Z110+Z91</f>
        <v>11.924238248189209</v>
      </c>
      <c r="AA111" s="48"/>
      <c r="AB111" s="49">
        <f>+AB110+AB91</f>
        <v>2056430.2798062149</v>
      </c>
      <c r="AC111" s="46">
        <f>+AC110+AC91</f>
        <v>15346.494625419515</v>
      </c>
      <c r="AD111" s="47">
        <f>+AD110+AD91</f>
        <v>12.928807603554773</v>
      </c>
    </row>
    <row r="112" spans="1:30" s="7" customFormat="1">
      <c r="A112" s="16"/>
      <c r="B112" s="23" t="s">
        <v>216</v>
      </c>
      <c r="L112" s="7">
        <f>0.15*(L110+L88)</f>
        <v>243137.02197093217</v>
      </c>
      <c r="P112" s="7">
        <f>0.15*(P110+P88)</f>
        <v>34050.211032511579</v>
      </c>
      <c r="Q112" s="7">
        <f>0.15*(Q110+Q88)</f>
        <v>11350.070344170528</v>
      </c>
      <c r="R112" s="17">
        <f>0.15*(R110+R88)</f>
        <v>9.4741822572375014</v>
      </c>
      <c r="T112" s="7">
        <f>0.15*(T110+T88)</f>
        <v>788337.58682320383</v>
      </c>
      <c r="U112" s="7">
        <f>0.15*(U110+U88)</f>
        <v>10799.145024975396</v>
      </c>
      <c r="V112" s="7">
        <f>0.15*(V110+V88)</f>
        <v>9.7553252258133636</v>
      </c>
      <c r="X112" s="7">
        <f>0.15*(X110+X88)</f>
        <v>686456.09582590871</v>
      </c>
      <c r="Y112" s="7">
        <f>0.15*(Y110+Y88)</f>
        <v>11835.449928032913</v>
      </c>
      <c r="Z112" s="7">
        <f>0.15*(Z110+Z88)</f>
        <v>9.1961537902353623</v>
      </c>
      <c r="AB112" s="7">
        <f>0.15*(AB110+AB88)</f>
        <v>1508843.8936816247</v>
      </c>
      <c r="AC112" s="7">
        <f>0.15*(AC110+AC88)</f>
        <v>11260.029057325557</v>
      </c>
      <c r="AD112" s="7">
        <f>0.15*(AD110+AD88)</f>
        <v>9.4861238899120099</v>
      </c>
    </row>
    <row r="113" spans="1:30" s="7" customFormat="1">
      <c r="A113" s="16"/>
      <c r="B113" s="45" t="s">
        <v>264</v>
      </c>
      <c r="C113" s="45"/>
      <c r="D113" s="90"/>
      <c r="E113" s="91"/>
      <c r="F113" s="91"/>
      <c r="G113" s="91"/>
      <c r="H113" s="91"/>
      <c r="I113" s="91"/>
      <c r="J113" s="91"/>
      <c r="K113" s="91"/>
      <c r="L113" s="46">
        <f>+L112+L111+L88</f>
        <v>2985720.5017771474</v>
      </c>
      <c r="M113" s="46"/>
      <c r="N113" s="92"/>
      <c r="O113" s="92"/>
      <c r="P113" s="46">
        <f>+P112+P111+P88</f>
        <v>286163.63284129527</v>
      </c>
      <c r="Q113" s="46">
        <f>+Q112+Q111+Q88</f>
        <v>95387.8776137651</v>
      </c>
      <c r="R113" s="47">
        <f>+R112+R111+R88</f>
        <v>79.622602348718772</v>
      </c>
      <c r="S113" s="48"/>
      <c r="T113" s="46">
        <f>+T112+T111+T88</f>
        <v>6654980.5288286423</v>
      </c>
      <c r="U113" s="46">
        <f>+U112+U111+U88</f>
        <v>91164.116833269072</v>
      </c>
      <c r="V113" s="47">
        <f>+V112+V111+V88</f>
        <v>82.35240906347704</v>
      </c>
      <c r="W113" s="48"/>
      <c r="X113" s="46">
        <f>+X112+X111+X88</f>
        <v>5748329.0232225154</v>
      </c>
      <c r="Y113" s="46">
        <f>+Y112+Y111+Y88</f>
        <v>99109.12109004338</v>
      </c>
      <c r="Z113" s="47">
        <f>+Z112+Z111+Z88</f>
        <v>77.007864094827795</v>
      </c>
      <c r="AA113" s="48"/>
      <c r="AB113" s="49">
        <f>+AB112+AB111+AB88</f>
        <v>12689473.184892457</v>
      </c>
      <c r="AC113" s="46">
        <f>+AC112+AC111+AC88</f>
        <v>94697.561081286985</v>
      </c>
      <c r="AD113" s="47">
        <f>+AD112+AD111+AD88</f>
        <v>79.77890571296291</v>
      </c>
    </row>
    <row r="114" spans="1:30" s="7" customFormat="1">
      <c r="A114" s="16"/>
      <c r="B114" s="23"/>
      <c r="R114" s="11"/>
    </row>
    <row r="115" spans="1:30" s="7" customFormat="1">
      <c r="A115" s="16"/>
      <c r="B115" s="26" t="s">
        <v>256</v>
      </c>
    </row>
    <row r="116" spans="1:30" s="7" customFormat="1">
      <c r="A116" s="16"/>
      <c r="B116" s="7" t="s">
        <v>68</v>
      </c>
      <c r="L116" s="7">
        <v>4000</v>
      </c>
      <c r="P116" s="38">
        <f>Q116*P$7</f>
        <v>89.552238805970148</v>
      </c>
      <c r="Q116" s="38">
        <f>+$L116/SM134Units</f>
        <v>29.850746268656717</v>
      </c>
      <c r="R116" s="10">
        <f t="shared" si="44"/>
        <v>2.4917150474671718E-2</v>
      </c>
      <c r="T116" s="38">
        <f>U116*T$7</f>
        <v>2179.1044776119402</v>
      </c>
      <c r="U116" s="38">
        <f>+$L116/SM134Units</f>
        <v>29.850746268656717</v>
      </c>
      <c r="V116" s="10">
        <f>+U116/U$8</f>
        <v>2.6965443783791072E-2</v>
      </c>
      <c r="X116" s="38">
        <f>Y116*X$7</f>
        <v>1731.3432835820895</v>
      </c>
      <c r="Y116" s="38">
        <f>+$L116/SM134Units</f>
        <v>29.850746268656717</v>
      </c>
      <c r="Z116" s="10">
        <f>+Y116/Y$8</f>
        <v>2.3194053044799313E-2</v>
      </c>
      <c r="AB116" s="18">
        <f>+X116+T116+P116</f>
        <v>4000</v>
      </c>
      <c r="AC116" s="40">
        <f>+AB116/AB$7</f>
        <v>29.850746268656717</v>
      </c>
      <c r="AD116" s="11">
        <f>+AC116/AC$8</f>
        <v>2.5148059198531355E-2</v>
      </c>
    </row>
    <row r="117" spans="1:30" s="7" customFormat="1">
      <c r="A117" s="16"/>
      <c r="B117" s="7" t="s">
        <v>257</v>
      </c>
      <c r="L117" s="7">
        <f>0.0075*0.75*13000000</f>
        <v>73125</v>
      </c>
      <c r="P117" s="39">
        <f>Q117*P$7</f>
        <v>1637.1268656716418</v>
      </c>
      <c r="Q117" s="7">
        <f>+$L117/SM134Units</f>
        <v>545.70895522388059</v>
      </c>
      <c r="R117" s="11">
        <f t="shared" si="44"/>
        <v>0.45551665711509232</v>
      </c>
      <c r="T117" s="39">
        <f>U117*T$7</f>
        <v>39836.753731343284</v>
      </c>
      <c r="U117" s="7">
        <f>+$L117/SM134Units</f>
        <v>545.70895522388059</v>
      </c>
      <c r="V117" s="11">
        <f>+U117/U$8</f>
        <v>0.49296201917243054</v>
      </c>
      <c r="X117" s="39">
        <f>Y117*X$7</f>
        <v>31651.119402985074</v>
      </c>
      <c r="Y117" s="7">
        <f>+$L117/SM134Units</f>
        <v>545.70895522388059</v>
      </c>
      <c r="Z117" s="11">
        <f>+Y117/Y$8</f>
        <v>0.42401628222523746</v>
      </c>
      <c r="AB117" s="18">
        <f>+X117+T117+P117</f>
        <v>73125</v>
      </c>
      <c r="AC117" s="40">
        <f>+AB117/AB$7</f>
        <v>545.70895522388059</v>
      </c>
      <c r="AD117" s="11">
        <f>+AC117/AC$8</f>
        <v>0.45973795722315131</v>
      </c>
    </row>
    <row r="118" spans="1:30" s="7" customFormat="1">
      <c r="A118" s="16"/>
      <c r="B118" s="7" t="s">
        <v>261</v>
      </c>
      <c r="L118" s="7">
        <f>0.0025*0.75*13000000</f>
        <v>24375</v>
      </c>
      <c r="P118" s="39">
        <f>Q118*P$7</f>
        <v>545.70895522388059</v>
      </c>
      <c r="Q118" s="7">
        <f>+$L118/SM134Units</f>
        <v>181.90298507462686</v>
      </c>
      <c r="R118" s="11">
        <f t="shared" si="44"/>
        <v>0.15183888570503076</v>
      </c>
      <c r="T118" s="39">
        <f>U118*T$7</f>
        <v>13278.917910447761</v>
      </c>
      <c r="U118" s="7">
        <f>+$L118/SM134Units</f>
        <v>181.90298507462686</v>
      </c>
      <c r="V118" s="11">
        <f>+U118/U$8</f>
        <v>0.16432067305747683</v>
      </c>
      <c r="X118" s="39">
        <f>Y118*X$7</f>
        <v>10550.373134328358</v>
      </c>
      <c r="Y118" s="7">
        <f>+$L118/SM134Units</f>
        <v>181.90298507462686</v>
      </c>
      <c r="Z118" s="11">
        <f>+Y118/Y$8</f>
        <v>0.14133876074174581</v>
      </c>
      <c r="AB118" s="18">
        <f>+X118+T118+P118</f>
        <v>24374.999999999996</v>
      </c>
      <c r="AC118" s="40">
        <f>+AB118/AB$7</f>
        <v>181.90298507462683</v>
      </c>
      <c r="AD118" s="11">
        <f>+AC118/AC$8</f>
        <v>0.15324598574105039</v>
      </c>
    </row>
    <row r="119" spans="1:30" s="7" customFormat="1">
      <c r="A119" s="16"/>
      <c r="B119" s="7" t="s">
        <v>258</v>
      </c>
      <c r="L119" s="7">
        <f>13000000*0.75*0.75*0.105*0.5</f>
        <v>383906.25</v>
      </c>
      <c r="P119" s="39">
        <f>Q119*P$7</f>
        <v>8594.9160447761187</v>
      </c>
      <c r="Q119" s="7">
        <f>+$L119/SM134Units</f>
        <v>2864.9720149253731</v>
      </c>
      <c r="R119" s="11">
        <f t="shared" si="44"/>
        <v>2.3914624498542345</v>
      </c>
      <c r="T119" s="39">
        <f>U119*T$7</f>
        <v>209142.95708955222</v>
      </c>
      <c r="U119" s="7">
        <f>+$L119/SM134Units</f>
        <v>2864.9720149253731</v>
      </c>
      <c r="V119" s="11">
        <f>+U119/U$8</f>
        <v>2.5880506006552602</v>
      </c>
      <c r="X119" s="39">
        <f>Y119*X$7</f>
        <v>166168.37686567163</v>
      </c>
      <c r="Y119" s="7">
        <f>+$L119/SM134Units</f>
        <v>2864.9720149253731</v>
      </c>
      <c r="Z119" s="11">
        <f>+Y119/Y$8</f>
        <v>2.2260854816824964</v>
      </c>
      <c r="AB119" s="18">
        <f>+X119+T119+P119</f>
        <v>383906.24999999994</v>
      </c>
      <c r="AC119" s="40">
        <f>+AB119/AB$7</f>
        <v>2864.9720149253726</v>
      </c>
      <c r="AD119" s="11">
        <f>+AC119/AC$8</f>
        <v>2.4136242754215438</v>
      </c>
    </row>
    <row r="120" spans="1:30" s="7" customFormat="1">
      <c r="A120" s="16"/>
      <c r="B120" s="29" t="s">
        <v>259</v>
      </c>
      <c r="L120" s="29">
        <f>SUM(L116:L119)</f>
        <v>485406.25</v>
      </c>
      <c r="M120" s="29"/>
      <c r="P120" s="93">
        <f>SUM(P116:P119)</f>
        <v>10867.304104477611</v>
      </c>
      <c r="Q120" s="93">
        <f>SUM(Q116:Q119)</f>
        <v>3622.434701492537</v>
      </c>
      <c r="R120" s="43">
        <f>SUM(R116:R119)</f>
        <v>3.0237351431490294</v>
      </c>
      <c r="T120" s="93">
        <f>SUM(T116:T119)</f>
        <v>264437.73320895521</v>
      </c>
      <c r="U120" s="93">
        <f>SUM(U116:U119)</f>
        <v>3622.434701492537</v>
      </c>
      <c r="V120" s="43">
        <f>SUM(V116:V119)</f>
        <v>3.2722987366689589</v>
      </c>
      <c r="X120" s="93">
        <f>SUM(X116:X119)</f>
        <v>210101.21268656716</v>
      </c>
      <c r="Y120" s="93">
        <f>SUM(Y116:Y119)</f>
        <v>3622.434701492537</v>
      </c>
      <c r="Z120" s="43">
        <f>SUM(Z116:Z119)</f>
        <v>2.8146345776942789</v>
      </c>
      <c r="AB120" s="93">
        <f>SUM(AB116:AB119)</f>
        <v>485406.24999999994</v>
      </c>
      <c r="AC120" s="93">
        <f>SUM(AC116:AC119)</f>
        <v>3622.434701492537</v>
      </c>
      <c r="AD120" s="43">
        <f>SUM(AD116:AD119)</f>
        <v>3.0517562775842766</v>
      </c>
    </row>
    <row r="121" spans="1:30" s="7" customFormat="1">
      <c r="A121" s="16"/>
      <c r="B121" s="27"/>
      <c r="L121" s="27"/>
      <c r="M121" s="27"/>
      <c r="P121" s="41"/>
      <c r="Q121" s="41"/>
      <c r="R121" s="94"/>
      <c r="T121" s="41"/>
      <c r="U121" s="41"/>
      <c r="V121" s="94"/>
      <c r="X121" s="41"/>
      <c r="Y121" s="41"/>
      <c r="Z121" s="94"/>
      <c r="AB121" s="41"/>
      <c r="AC121" s="41"/>
      <c r="AD121" s="94"/>
    </row>
    <row r="122" spans="1:30" s="7" customFormat="1" ht="12.75" thickBot="1">
      <c r="A122" s="16"/>
      <c r="B122" s="13" t="s">
        <v>260</v>
      </c>
      <c r="L122" s="13">
        <f>+L120+L113+L88</f>
        <v>4174154.9517771476</v>
      </c>
      <c r="M122" s="13"/>
      <c r="P122" s="2">
        <f>+P120+P113</f>
        <v>297030.9369457729</v>
      </c>
      <c r="Q122" s="2">
        <f>+Q120+Q113</f>
        <v>99010.312315257645</v>
      </c>
      <c r="R122" s="1">
        <f>+R120+R113</f>
        <v>82.646337491867797</v>
      </c>
      <c r="T122" s="2">
        <f>+T120+T113</f>
        <v>6919418.2620375976</v>
      </c>
      <c r="U122" s="2">
        <f>+U120+U113</f>
        <v>94786.551534761616</v>
      </c>
      <c r="V122" s="1">
        <f>+V120+V113</f>
        <v>85.624707800145998</v>
      </c>
      <c r="X122" s="2">
        <f>+X120+X113</f>
        <v>5958430.2359090829</v>
      </c>
      <c r="Y122" s="2">
        <f>+Y120+Y113</f>
        <v>102731.55579153591</v>
      </c>
      <c r="Z122" s="1">
        <f>+Z120+Z113</f>
        <v>79.822498672522073</v>
      </c>
      <c r="AB122" s="2">
        <f>+AB120+AB113</f>
        <v>13174879.434892457</v>
      </c>
      <c r="AC122" s="2">
        <f>+AC120+AC113</f>
        <v>98319.99578277953</v>
      </c>
      <c r="AD122" s="1">
        <f>+AD120+AD113</f>
        <v>82.830661990547185</v>
      </c>
    </row>
    <row r="123" spans="1:30" s="7" customFormat="1" ht="12.75" thickTop="1">
      <c r="A123" s="16"/>
    </row>
    <row r="124" spans="1:30">
      <c r="A124" s="16"/>
      <c r="B124" s="7" t="s">
        <v>265</v>
      </c>
      <c r="C124" s="7"/>
      <c r="D124" s="7"/>
      <c r="E124" s="7"/>
      <c r="F124" s="7"/>
      <c r="G124" s="7"/>
      <c r="H124" s="7"/>
      <c r="I124" s="7"/>
      <c r="J124" s="7"/>
      <c r="K124" s="7"/>
      <c r="L124" s="30">
        <v>0.75</v>
      </c>
      <c r="M124" s="35" t="s">
        <v>266</v>
      </c>
      <c r="P124" s="35">
        <f>0.75*P122</f>
        <v>222773.20270932966</v>
      </c>
      <c r="Q124" s="35">
        <f>0.75*Q122</f>
        <v>74257.734236443241</v>
      </c>
      <c r="R124" s="35">
        <f>0.75*R122</f>
        <v>61.984753118900848</v>
      </c>
      <c r="T124" s="35">
        <f>0.75*T122</f>
        <v>5189563.6965281982</v>
      </c>
      <c r="U124" s="35">
        <f>0.75*U122</f>
        <v>71089.913651071212</v>
      </c>
      <c r="V124" s="35">
        <f>0.75*V122</f>
        <v>64.218530850109502</v>
      </c>
      <c r="X124" s="35">
        <f>0.75*X122</f>
        <v>4468822.6769318124</v>
      </c>
      <c r="Y124" s="35">
        <f>0.75*Y122</f>
        <v>77048.666843651939</v>
      </c>
      <c r="Z124" s="35">
        <f>0.75*Z122</f>
        <v>59.866874004391555</v>
      </c>
      <c r="AB124" s="35">
        <f>0.75*AB122</f>
        <v>9881159.5761693418</v>
      </c>
      <c r="AC124" s="35">
        <f>0.75*AC122</f>
        <v>73739.996837084647</v>
      </c>
      <c r="AD124" s="35">
        <f>0.75*AD122</f>
        <v>62.122996492910389</v>
      </c>
    </row>
    <row r="125" spans="1:30">
      <c r="B125" s="95" t="s">
        <v>267</v>
      </c>
    </row>
    <row r="126" spans="1:30">
      <c r="B126" s="7" t="s">
        <v>252</v>
      </c>
      <c r="P126" s="35">
        <f>+P122-P124</f>
        <v>74257.734236443241</v>
      </c>
      <c r="T126" s="35">
        <f>+T122-T124</f>
        <v>1729854.5655093994</v>
      </c>
      <c r="X126" s="35">
        <f>+X122-X124</f>
        <v>1489607.5589772705</v>
      </c>
      <c r="AB126" s="35">
        <f>+AB122-AB124</f>
        <v>3293719.8587231152</v>
      </c>
    </row>
    <row r="127" spans="1:30">
      <c r="B127" s="7" t="s">
        <v>268</v>
      </c>
      <c r="P127" s="35">
        <f>-P112</f>
        <v>-34050.211032511579</v>
      </c>
      <c r="T127" s="35">
        <f>-T112</f>
        <v>-788337.58682320383</v>
      </c>
      <c r="X127" s="35">
        <f>-X112</f>
        <v>-686456.09582590871</v>
      </c>
      <c r="AB127" s="35">
        <f>-AB112</f>
        <v>-1508843.8936816247</v>
      </c>
    </row>
    <row r="128" spans="1:30">
      <c r="B128" s="7" t="s">
        <v>269</v>
      </c>
      <c r="P128" s="35">
        <f>+P127+P126</f>
        <v>40207.523203931662</v>
      </c>
      <c r="T128" s="35">
        <f>+T127+T126</f>
        <v>941516.97868619557</v>
      </c>
      <c r="X128" s="35">
        <f>+X127+X126</f>
        <v>803151.46315136179</v>
      </c>
      <c r="AB128" s="35">
        <f>+AB127+AB126</f>
        <v>1784875.9650414905</v>
      </c>
    </row>
    <row r="134" spans="12:24">
      <c r="L134" s="35">
        <f>10.3*43560</f>
        <v>448668.00000000006</v>
      </c>
      <c r="P134" s="35">
        <f>P$7*28</f>
        <v>84</v>
      </c>
      <c r="T134" s="35">
        <f>T7*15.83</f>
        <v>1155.5899999999999</v>
      </c>
      <c r="X134" s="35">
        <f>X7*26</f>
        <v>1508</v>
      </c>
    </row>
    <row r="135" spans="12:24">
      <c r="L135" s="35">
        <f>SQRT(L134)</f>
        <v>669.82684329608651</v>
      </c>
      <c r="M135" s="35">
        <f>L135*25</f>
        <v>16745.671082402161</v>
      </c>
      <c r="N135" s="35">
        <f>M135*4</f>
        <v>66982.684329608644</v>
      </c>
      <c r="P135" s="35">
        <f>P$7*20</f>
        <v>60</v>
      </c>
      <c r="T135" s="35">
        <f>T$7*20</f>
        <v>1460</v>
      </c>
      <c r="X135" s="35">
        <f>X$7*20</f>
        <v>1160</v>
      </c>
    </row>
    <row r="136" spans="12:24">
      <c r="L136" s="35">
        <f>L135*4-120</f>
        <v>2559.307373184346</v>
      </c>
      <c r="N136" s="35">
        <f>300*300</f>
        <v>90000</v>
      </c>
      <c r="P136" s="35">
        <f>+P135+P134</f>
        <v>144</v>
      </c>
      <c r="T136" s="35">
        <f>+T135+T134</f>
        <v>2615.59</v>
      </c>
      <c r="X136" s="35">
        <f>+X135+X134</f>
        <v>2668</v>
      </c>
    </row>
    <row r="137" spans="12:24">
      <c r="L137" s="35">
        <f>30*L136</f>
        <v>76779.221195530379</v>
      </c>
      <c r="N137" s="35">
        <f>+N136+N135</f>
        <v>156982.68432960863</v>
      </c>
    </row>
    <row r="138" spans="12:24">
      <c r="N138" s="35">
        <f>-2.5*60*80</f>
        <v>-12000</v>
      </c>
    </row>
    <row r="139" spans="12:24">
      <c r="N139" s="35">
        <f>-4000</f>
        <v>-4000</v>
      </c>
    </row>
    <row r="140" spans="12:24">
      <c r="N140" s="35">
        <f>SUM(N137:N139)</f>
        <v>140982.68432960863</v>
      </c>
    </row>
    <row r="141" spans="12:24">
      <c r="N141" s="35">
        <f>N140/134</f>
        <v>1052.1095845493182</v>
      </c>
    </row>
    <row r="142" spans="12:24">
      <c r="N142" s="35">
        <f>6500*12</f>
        <v>78000</v>
      </c>
    </row>
    <row r="143" spans="12:24">
      <c r="L143" s="35">
        <f>670-(37.5*2+25*2)</f>
        <v>545</v>
      </c>
    </row>
    <row r="144" spans="12:24">
      <c r="L144" s="35">
        <v>60</v>
      </c>
    </row>
    <row r="145" spans="2:14">
      <c r="L145" s="35">
        <v>4</v>
      </c>
    </row>
    <row r="146" spans="2:14">
      <c r="L146" s="35">
        <f>L145*L144*L143</f>
        <v>130800</v>
      </c>
    </row>
    <row r="147" spans="2:14">
      <c r="L147" s="35">
        <f>2*L146</f>
        <v>261600</v>
      </c>
    </row>
    <row r="148" spans="2:14">
      <c r="L148" s="35">
        <f>L143*L145*2.1</f>
        <v>4578</v>
      </c>
    </row>
    <row r="149" spans="2:14">
      <c r="L149" s="35">
        <f>10*L148</f>
        <v>45780</v>
      </c>
    </row>
    <row r="150" spans="2:14">
      <c r="L150" s="35">
        <f>+L149+L147</f>
        <v>307380</v>
      </c>
      <c r="M150" s="35">
        <f>75000*10.3</f>
        <v>772500</v>
      </c>
      <c r="N150" s="30">
        <f>+L150/M150</f>
        <v>0.39790291262135924</v>
      </c>
    </row>
    <row r="151" spans="2:14">
      <c r="L151" s="35">
        <f>+N140*1.5</f>
        <v>211474.02649441294</v>
      </c>
    </row>
    <row r="152" spans="2:14">
      <c r="B152" s="35" t="s">
        <v>223</v>
      </c>
      <c r="L152" s="35">
        <f>545*4*35</f>
        <v>76300</v>
      </c>
      <c r="M152" s="35">
        <v>16</v>
      </c>
    </row>
    <row r="153" spans="2:14">
      <c r="B153" s="35" t="s">
        <v>224</v>
      </c>
    </row>
    <row r="154" spans="2:14">
      <c r="B154" s="35" t="s">
        <v>225</v>
      </c>
    </row>
    <row r="155" spans="2:14">
      <c r="B155" s="35" t="s">
        <v>226</v>
      </c>
    </row>
    <row r="156" spans="2:14">
      <c r="B156" s="35" t="s">
        <v>227</v>
      </c>
      <c r="L156" s="35">
        <v>25000</v>
      </c>
    </row>
    <row r="157" spans="2:14">
      <c r="B157" s="35" t="s">
        <v>228</v>
      </c>
      <c r="L157" s="35">
        <f>10000</f>
        <v>10000</v>
      </c>
    </row>
    <row r="158" spans="2:14">
      <c r="B158" s="35" t="s">
        <v>230</v>
      </c>
      <c r="L158" s="35">
        <v>15000</v>
      </c>
    </row>
    <row r="159" spans="2:14">
      <c r="B159" s="35" t="s">
        <v>231</v>
      </c>
      <c r="L159" s="35">
        <v>15000</v>
      </c>
    </row>
    <row r="160" spans="2:14">
      <c r="B160" s="35" t="s">
        <v>232</v>
      </c>
      <c r="L160" s="35">
        <f>900*35</f>
        <v>31500</v>
      </c>
      <c r="M160" s="35">
        <f>SUM(L150:L160)</f>
        <v>691654.02649441292</v>
      </c>
      <c r="N160" s="35">
        <f>M160/10.3</f>
        <v>67150.876358680864</v>
      </c>
    </row>
    <row r="161" spans="2:14">
      <c r="B161" s="35" t="s">
        <v>233</v>
      </c>
      <c r="L161" s="35">
        <v>75000</v>
      </c>
    </row>
    <row r="162" spans="2:14">
      <c r="B162" s="35" t="s">
        <v>234</v>
      </c>
      <c r="L162" s="35">
        <v>4000</v>
      </c>
    </row>
    <row r="163" spans="2:14">
      <c r="B163" s="35" t="s">
        <v>235</v>
      </c>
      <c r="L163" s="35">
        <v>4000</v>
      </c>
      <c r="M163" s="35">
        <f>SUM(L150:L163)</f>
        <v>774654.02649441292</v>
      </c>
      <c r="N163" s="35">
        <f>M163/10.3</f>
        <v>75209.128785865323</v>
      </c>
    </row>
  </sheetData>
  <mergeCells count="4">
    <mergeCell ref="P5:R5"/>
    <mergeCell ref="T5:V5"/>
    <mergeCell ref="X5:Z5"/>
    <mergeCell ref="AB5:AD5"/>
  </mergeCells>
  <phoneticPr fontId="0" type="noConversion"/>
  <printOptions horizontalCentered="1" gridLines="1"/>
  <pageMargins left="0.5" right="0.5" top="1.81" bottom="0.8" header="0.5" footer="0.5"/>
  <pageSetup scale="89" fitToHeight="3" orientation="landscape" horizontalDpi="300" verticalDpi="300" r:id="rId1"/>
  <headerFooter alignWithMargins="0">
    <oddHeader>&amp;C&amp;"Arial,Bold"&amp;11&amp;UConstruction Cost Summary
By Unit</oddHeader>
    <oddFooter xml:space="preserve">&amp;L&amp;F&amp;C&amp;D&amp;RPage &amp;P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Unit Costs</vt:lpstr>
      <vt:lpstr>CMF</vt:lpstr>
      <vt:lpstr>'Unit Costs'!Print_Area</vt:lpstr>
      <vt:lpstr>'Unit Costs'!Print_Titles</vt:lpstr>
      <vt:lpstr>SM134Units</vt:lpstr>
      <vt:lpstr>TRUnits</vt:lpstr>
    </vt:vector>
  </TitlesOfParts>
  <Company>GWR Development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Felienne</cp:lastModifiedBy>
  <cp:lastPrinted>2000-11-16T21:34:05Z</cp:lastPrinted>
  <dcterms:created xsi:type="dcterms:W3CDTF">1998-01-21T04:19:53Z</dcterms:created>
  <dcterms:modified xsi:type="dcterms:W3CDTF">2014-09-04T16:13:58Z</dcterms:modified>
</cp:coreProperties>
</file>