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40" windowWidth="14940" windowHeight="8385" activeTab="4"/>
  </bookViews>
  <sheets>
    <sheet name="Budget" sheetId="2" r:id="rId1"/>
    <sheet name="Breakeven" sheetId="4" r:id="rId2"/>
    <sheet name="Mkt." sheetId="8" r:id="rId3"/>
    <sheet name="Mtg." sheetId="9" r:id="rId4"/>
    <sheet name="Stabilized" sheetId="3" r:id="rId5"/>
  </sheets>
  <definedNames>
    <definedName name="_1__123Graph_ACHART_3" hidden="1">Stabilized!$C$47:$C$49</definedName>
    <definedName name="_Order1" hidden="1">255</definedName>
    <definedName name="_Order2" hidden="1">0</definedName>
    <definedName name="_xlnm.Print_Area" localSheetId="1">Breakeven!$A$2:$J$29</definedName>
    <definedName name="_xlnm.Print_Area" localSheetId="0">Budget!$A$1:$G$28</definedName>
    <definedName name="_xlnm.Print_Area" localSheetId="2">Mkt.!$A$2:$Q$29</definedName>
    <definedName name="_xlnm.Print_Area" localSheetId="4">Stabilized!$A$1:$K$41</definedName>
  </definedNames>
  <calcPr calcId="152511"/>
</workbook>
</file>

<file path=xl/calcChain.xml><?xml version="1.0" encoding="utf-8"?>
<calcChain xmlns="http://schemas.openxmlformats.org/spreadsheetml/2006/main">
  <c r="A1" i="4" l="1"/>
  <c r="B11" i="4"/>
  <c r="F11" i="4"/>
  <c r="E7" i="2"/>
  <c r="E18" i="2" s="1"/>
  <c r="G7" i="2"/>
  <c r="E8" i="2"/>
  <c r="G8" i="2"/>
  <c r="E10" i="2"/>
  <c r="F10" i="2"/>
  <c r="E11" i="2"/>
  <c r="F11" i="2"/>
  <c r="E12" i="2"/>
  <c r="E14" i="2"/>
  <c r="F14" i="2"/>
  <c r="F18" i="2" s="1"/>
  <c r="E15" i="2"/>
  <c r="F15" i="2"/>
  <c r="E16" i="2"/>
  <c r="F16" i="2"/>
  <c r="E17" i="2"/>
  <c r="F17" i="2"/>
  <c r="B18" i="2"/>
  <c r="G18" i="2"/>
  <c r="B23" i="2"/>
  <c r="B25" i="2" s="1"/>
  <c r="C25" i="2" s="1"/>
  <c r="B24" i="2"/>
  <c r="B26" i="2"/>
  <c r="B18" i="4" s="1"/>
  <c r="B21" i="4" s="1"/>
  <c r="B5" i="8"/>
  <c r="B6" i="8"/>
  <c r="B7" i="8"/>
  <c r="B14" i="8" s="1"/>
  <c r="B9" i="8"/>
  <c r="B10" i="8"/>
  <c r="B12" i="8"/>
  <c r="B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C17" i="8"/>
  <c r="D17" i="8" s="1"/>
  <c r="B21" i="8"/>
  <c r="D21" i="8"/>
  <c r="C22" i="8"/>
  <c r="C23" i="8"/>
  <c r="E8" i="9"/>
  <c r="F8" i="9"/>
  <c r="H8" i="9"/>
  <c r="I8" i="9"/>
  <c r="E9" i="9"/>
  <c r="F9" i="9"/>
  <c r="H9" i="9"/>
  <c r="I9" i="9"/>
  <c r="B10" i="9"/>
  <c r="E16" i="9"/>
  <c r="F16" i="9"/>
  <c r="H16" i="9"/>
  <c r="I16" i="9"/>
  <c r="B17" i="9"/>
  <c r="E6" i="3"/>
  <c r="E8" i="3" s="1"/>
  <c r="G6" i="3"/>
  <c r="G8" i="3" s="1"/>
  <c r="H6" i="3"/>
  <c r="J6" i="3"/>
  <c r="K6" i="3"/>
  <c r="E7" i="3"/>
  <c r="G7" i="3"/>
  <c r="H7" i="3"/>
  <c r="J7" i="3"/>
  <c r="J8" i="3" s="1"/>
  <c r="K7" i="3"/>
  <c r="B8" i="3"/>
  <c r="C15" i="2" s="1"/>
  <c r="C8" i="3"/>
  <c r="K8" i="3"/>
  <c r="F14" i="3" s="1"/>
  <c r="H17" i="3"/>
  <c r="H22" i="3"/>
  <c r="D23" i="3"/>
  <c r="H25" i="3"/>
  <c r="H26" i="3"/>
  <c r="D27" i="3"/>
  <c r="F30" i="3"/>
  <c r="I30" i="3" s="1"/>
  <c r="F31" i="3"/>
  <c r="I31" i="3" s="1"/>
  <c r="F8" i="3" l="1"/>
  <c r="B16" i="3"/>
  <c r="H8" i="3"/>
  <c r="B14" i="3" s="1"/>
  <c r="E17" i="8"/>
  <c r="D18" i="8"/>
  <c r="I8" i="3"/>
  <c r="F16" i="3"/>
  <c r="I15" i="4"/>
  <c r="I24" i="3"/>
  <c r="I28" i="3"/>
  <c r="D15" i="2"/>
  <c r="D17" i="2"/>
  <c r="E22" i="3"/>
  <c r="E26" i="3"/>
  <c r="E11" i="4"/>
  <c r="D10" i="2"/>
  <c r="I23" i="3"/>
  <c r="E17" i="3"/>
  <c r="I22" i="3"/>
  <c r="I26" i="3"/>
  <c r="D14" i="2"/>
  <c r="D16" i="2"/>
  <c r="E24" i="3"/>
  <c r="E28" i="3"/>
  <c r="I11" i="4"/>
  <c r="D8" i="2"/>
  <c r="D11" i="2"/>
  <c r="D18" i="2"/>
  <c r="E15" i="4"/>
  <c r="D8" i="3"/>
  <c r="E23" i="3"/>
  <c r="E27" i="3"/>
  <c r="D7" i="2"/>
  <c r="D12" i="2"/>
  <c r="I27" i="3"/>
  <c r="E25" i="3"/>
  <c r="I25" i="3"/>
  <c r="I17" i="3"/>
  <c r="D25" i="3"/>
  <c r="D17" i="3"/>
  <c r="H31" i="3"/>
  <c r="H30" i="3"/>
  <c r="H28" i="3"/>
  <c r="H24" i="3"/>
  <c r="C7" i="3"/>
  <c r="C26" i="2"/>
  <c r="C18" i="2"/>
  <c r="C11" i="2"/>
  <c r="C8" i="2"/>
  <c r="F16" i="4"/>
  <c r="H11" i="4"/>
  <c r="D28" i="3"/>
  <c r="D24" i="3"/>
  <c r="C16" i="2"/>
  <c r="C14" i="2"/>
  <c r="F33" i="3"/>
  <c r="F36" i="3" s="1"/>
  <c r="B33" i="3"/>
  <c r="B30" i="3"/>
  <c r="H27" i="3"/>
  <c r="H23" i="3"/>
  <c r="C6" i="3"/>
  <c r="C12" i="2"/>
  <c r="C10" i="2"/>
  <c r="C7" i="2"/>
  <c r="D11" i="4"/>
  <c r="D26" i="3"/>
  <c r="D22" i="3"/>
  <c r="C17" i="2"/>
  <c r="I16" i="3" l="1"/>
  <c r="H16" i="3"/>
  <c r="F10" i="4"/>
  <c r="F18" i="3"/>
  <c r="D30" i="3"/>
  <c r="B31" i="3"/>
  <c r="E30" i="3"/>
  <c r="I16" i="4"/>
  <c r="H16" i="4"/>
  <c r="F18" i="4"/>
  <c r="F21" i="4" s="1"/>
  <c r="B36" i="3"/>
  <c r="D22" i="8"/>
  <c r="D23" i="8" s="1"/>
  <c r="E21" i="8" s="1"/>
  <c r="E23" i="8" s="1"/>
  <c r="F21" i="8" s="1"/>
  <c r="C16" i="3"/>
  <c r="D16" i="3"/>
  <c r="E16" i="3"/>
  <c r="B10" i="4"/>
  <c r="B18" i="3"/>
  <c r="E18" i="8"/>
  <c r="E22" i="8" s="1"/>
  <c r="F17" i="8"/>
  <c r="D10" i="4" l="1"/>
  <c r="B12" i="4"/>
  <c r="E10" i="4"/>
  <c r="F19" i="3"/>
  <c r="G17" i="3"/>
  <c r="G18" i="3"/>
  <c r="H18" i="3"/>
  <c r="I18" i="3"/>
  <c r="F18" i="8"/>
  <c r="G17" i="8"/>
  <c r="B16" i="4"/>
  <c r="E31" i="3"/>
  <c r="D31" i="3"/>
  <c r="C18" i="3"/>
  <c r="E18" i="3"/>
  <c r="C17" i="3"/>
  <c r="D18" i="3"/>
  <c r="B19" i="3"/>
  <c r="B20" i="3"/>
  <c r="G16" i="3"/>
  <c r="F12" i="4"/>
  <c r="G10" i="4"/>
  <c r="H10" i="4"/>
  <c r="I10" i="4"/>
  <c r="F22" i="8" l="1"/>
  <c r="F23" i="8" s="1"/>
  <c r="G21" i="8" s="1"/>
  <c r="C20" i="3"/>
  <c r="D20" i="3"/>
  <c r="C25" i="3"/>
  <c r="B32" i="3"/>
  <c r="C24" i="3"/>
  <c r="C23" i="3"/>
  <c r="C27" i="3"/>
  <c r="C22" i="3"/>
  <c r="C26" i="3"/>
  <c r="E20" i="3"/>
  <c r="C28" i="3"/>
  <c r="C30" i="3"/>
  <c r="E16" i="4"/>
  <c r="C16" i="4"/>
  <c r="D16" i="4"/>
  <c r="C19" i="3"/>
  <c r="E19" i="3"/>
  <c r="D19" i="3"/>
  <c r="C31" i="3"/>
  <c r="G19" i="3"/>
  <c r="H19" i="3"/>
  <c r="I19" i="3"/>
  <c r="G18" i="8"/>
  <c r="G22" i="8" s="1"/>
  <c r="H17" i="8"/>
  <c r="C12" i="4"/>
  <c r="D12" i="4"/>
  <c r="B13" i="4"/>
  <c r="B14" i="4"/>
  <c r="E12" i="4"/>
  <c r="C11" i="4"/>
  <c r="F13" i="4"/>
  <c r="F14" i="4"/>
  <c r="G12" i="4"/>
  <c r="H12" i="4"/>
  <c r="I12" i="4"/>
  <c r="G11" i="4"/>
  <c r="F20" i="3"/>
  <c r="C10" i="4"/>
  <c r="H18" i="8" l="1"/>
  <c r="I17" i="8"/>
  <c r="G23" i="3"/>
  <c r="G27" i="3"/>
  <c r="G22" i="3"/>
  <c r="G26" i="3"/>
  <c r="G20" i="3"/>
  <c r="G25" i="3"/>
  <c r="H20" i="3"/>
  <c r="F32" i="3"/>
  <c r="I20" i="3"/>
  <c r="G28" i="3"/>
  <c r="G30" i="3"/>
  <c r="G24" i="3"/>
  <c r="G31" i="3"/>
  <c r="C14" i="4"/>
  <c r="D14" i="4"/>
  <c r="B17" i="4"/>
  <c r="E14" i="4"/>
  <c r="D32" i="3"/>
  <c r="B39" i="3"/>
  <c r="E32" i="3"/>
  <c r="B37" i="3"/>
  <c r="B38" i="3"/>
  <c r="C32" i="3"/>
  <c r="C13" i="4"/>
  <c r="B4" i="4" s="1"/>
  <c r="B5" i="4" s="1"/>
  <c r="B6" i="4" s="1"/>
  <c r="D13" i="4"/>
  <c r="E13" i="4"/>
  <c r="G14" i="4"/>
  <c r="H14" i="4"/>
  <c r="F17" i="4"/>
  <c r="I14" i="4"/>
  <c r="G16" i="4"/>
  <c r="G13" i="4"/>
  <c r="F4" i="4" s="1"/>
  <c r="F5" i="4" s="1"/>
  <c r="F6" i="4" s="1"/>
  <c r="H13" i="4"/>
  <c r="I13" i="4"/>
  <c r="G23" i="8"/>
  <c r="H21" i="8" s="1"/>
  <c r="I17" i="4" l="1"/>
  <c r="F23" i="4"/>
  <c r="G17" i="4"/>
  <c r="F22" i="4"/>
  <c r="H17" i="4"/>
  <c r="D17" i="4"/>
  <c r="C17" i="4"/>
  <c r="E17" i="4"/>
  <c r="B22" i="4"/>
  <c r="B23" i="4"/>
  <c r="I32" i="3"/>
  <c r="F38" i="3"/>
  <c r="F39" i="3"/>
  <c r="H32" i="3"/>
  <c r="G32" i="3"/>
  <c r="F37" i="3"/>
  <c r="I18" i="8"/>
  <c r="I22" i="8" s="1"/>
  <c r="J17" i="8"/>
  <c r="H22" i="8"/>
  <c r="H23" i="8" s="1"/>
  <c r="I21" i="8" s="1"/>
  <c r="I23" i="8" s="1"/>
  <c r="J21" i="8" s="1"/>
  <c r="J18" i="8" l="1"/>
  <c r="J22" i="8" s="1"/>
  <c r="J23" i="8" s="1"/>
  <c r="K21" i="8" s="1"/>
  <c r="K17" i="8"/>
  <c r="L17" i="8" l="1"/>
  <c r="K18" i="8"/>
  <c r="K22" i="8" l="1"/>
  <c r="K23" i="8" s="1"/>
  <c r="L21" i="8" s="1"/>
  <c r="M17" i="8"/>
  <c r="L18" i="8"/>
  <c r="L22" i="8" s="1"/>
  <c r="M18" i="8" l="1"/>
  <c r="M22" i="8" s="1"/>
  <c r="N17" i="8"/>
  <c r="L23" i="8"/>
  <c r="M21" i="8" s="1"/>
  <c r="M23" i="8" s="1"/>
  <c r="N21" i="8" s="1"/>
  <c r="N18" i="8" l="1"/>
  <c r="N22" i="8" s="1"/>
  <c r="O17" i="8"/>
  <c r="N23" i="8"/>
  <c r="O21" i="8" s="1"/>
  <c r="P17" i="8" l="1"/>
  <c r="O18" i="8"/>
  <c r="O22" i="8" s="1"/>
  <c r="O23" i="8" s="1"/>
  <c r="P21" i="8" s="1"/>
  <c r="P18" i="8" l="1"/>
  <c r="P22" i="8" s="1"/>
  <c r="P23" i="8" s="1"/>
  <c r="Q21" i="8" s="1"/>
  <c r="Q17" i="8"/>
  <c r="Q18" i="8" s="1"/>
  <c r="Q22" i="8" l="1"/>
  <c r="Q23" i="8" s="1"/>
  <c r="B18" i="8"/>
  <c r="B25" i="8" s="1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B2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F21" authorId="0" shapeId="0">
      <text>
        <r>
          <rPr>
            <sz val="8"/>
            <color indexed="81"/>
            <rFont val="Tahoma"/>
          </rPr>
          <t>Formula failed to convert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</authors>
  <commentList>
    <comment ref="B3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F36" authorId="0" shapeId="0">
      <text>
        <r>
          <rPr>
            <sz val="8"/>
            <color indexed="81"/>
            <rFont val="Tahoma"/>
          </rPr>
          <t>Formula failed to convert</t>
        </r>
      </text>
    </comment>
  </commentList>
</comments>
</file>

<file path=xl/sharedStrings.xml><?xml version="1.0" encoding="utf-8"?>
<sst xmlns="http://schemas.openxmlformats.org/spreadsheetml/2006/main" count="274" uniqueCount="94">
  <si>
    <t xml:space="preserve"> </t>
  </si>
  <si>
    <t>Break-even Occupancy:</t>
  </si>
  <si>
    <t>Units Occupied:</t>
  </si>
  <si>
    <t>Budget</t>
  </si>
  <si>
    <t/>
  </si>
  <si>
    <t>$/Unit</t>
  </si>
  <si>
    <t>$/SF</t>
  </si>
  <si>
    <t>Loan Amount</t>
  </si>
  <si>
    <t>Stabilized Pro Forma</t>
  </si>
  <si>
    <t>Bank's</t>
  </si>
  <si>
    <t>Borrower's</t>
  </si>
  <si>
    <t>Unit Type</t>
  </si>
  <si>
    <t>Units</t>
  </si>
  <si>
    <t>% Total</t>
  </si>
  <si>
    <t>Unit Size</t>
  </si>
  <si>
    <t>Size</t>
  </si>
  <si>
    <t>Unit Rent</t>
  </si>
  <si>
    <t>Rent</t>
  </si>
  <si>
    <t>TOTAL</t>
  </si>
  <si>
    <t>PRO FORMA:</t>
  </si>
  <si>
    <t>Bank</t>
  </si>
  <si>
    <t>Borrower</t>
  </si>
  <si>
    <t>Assumptions:</t>
  </si>
  <si>
    <t>Stabilized Vacancy\Collection:</t>
  </si>
  <si>
    <t>Average monthly rental rates:</t>
  </si>
  <si>
    <t>REVENUE</t>
  </si>
  <si>
    <t>Amount</t>
  </si>
  <si>
    <t>Per Unit</t>
  </si>
  <si>
    <t>psf</t>
  </si>
  <si>
    <t>Rental Income</t>
  </si>
  <si>
    <t>Other Income</t>
  </si>
  <si>
    <t>PGI</t>
  </si>
  <si>
    <t>Less: Vacancy/Collection</t>
  </si>
  <si>
    <t>EGI</t>
  </si>
  <si>
    <t>EXPENSES</t>
  </si>
  <si>
    <t>Total Expenses</t>
  </si>
  <si>
    <t>NOI</t>
  </si>
  <si>
    <t>Phantom Rate</t>
  </si>
  <si>
    <t>Amortization</t>
  </si>
  <si>
    <t>DS</t>
  </si>
  <si>
    <t>Surplus</t>
  </si>
  <si>
    <t>DCR</t>
  </si>
  <si>
    <t>x</t>
  </si>
  <si>
    <t>Constant Coverage</t>
  </si>
  <si>
    <t>Break-even Analysis</t>
  </si>
  <si>
    <t>Break-even Vacancy:</t>
  </si>
  <si>
    <t>Less: Vacancy</t>
  </si>
  <si>
    <t>Utilities</t>
  </si>
  <si>
    <t xml:space="preserve">  </t>
  </si>
  <si>
    <t>Total Use of Funds</t>
  </si>
  <si>
    <t>Reserves @ $350/unit</t>
  </si>
  <si>
    <t>LTC</t>
  </si>
  <si>
    <t>2 BR/2.5 BA</t>
  </si>
  <si>
    <t>3 BR/3.5 BA</t>
  </si>
  <si>
    <t>Real Estate Taxes</t>
  </si>
  <si>
    <t>Insurnce</t>
  </si>
  <si>
    <t>Management Fees</t>
  </si>
  <si>
    <t>Administration</t>
  </si>
  <si>
    <t>Maintenance/Repairs</t>
  </si>
  <si>
    <t>Misc.</t>
  </si>
  <si>
    <t>Land</t>
  </si>
  <si>
    <t>Improvements</t>
  </si>
  <si>
    <t>Amenities</t>
  </si>
  <si>
    <t>Unit Const.</t>
  </si>
  <si>
    <t>Equity</t>
  </si>
  <si>
    <t>Debt</t>
  </si>
  <si>
    <t>Appraisal</t>
  </si>
  <si>
    <t>Origination</t>
  </si>
  <si>
    <t>Closing Costs</t>
  </si>
  <si>
    <t>Interest Reserve</t>
  </si>
  <si>
    <t>Const. Overhead and Profit</t>
  </si>
  <si>
    <t>% of Budget</t>
  </si>
  <si>
    <t>FUNDINGS</t>
  </si>
  <si>
    <t>Land/Taxes</t>
  </si>
  <si>
    <t>Less Developer's Equity @ Closing</t>
  </si>
  <si>
    <t>Cumulative Principal Outstanding</t>
  </si>
  <si>
    <t>Beginning Interest Reserve</t>
  </si>
  <si>
    <t>Less: Interest</t>
  </si>
  <si>
    <t>Ending Interest Reserve</t>
  </si>
  <si>
    <t>Interest Coverage</t>
  </si>
  <si>
    <t>Direct Unit Costs</t>
  </si>
  <si>
    <t>Const. Profit &amp; Overhead</t>
  </si>
  <si>
    <t>Origination &amp; Closing</t>
  </si>
  <si>
    <t>Interest Expense</t>
  </si>
  <si>
    <t>Interest Only @ 8.65%</t>
  </si>
  <si>
    <t xml:space="preserve">Bank </t>
  </si>
  <si>
    <t xml:space="preserve">  Land</t>
  </si>
  <si>
    <t xml:space="preserve">  Deferred Profit/Overhead</t>
  </si>
  <si>
    <t xml:space="preserve">  Cash</t>
  </si>
  <si>
    <t>Total Equity</t>
  </si>
  <si>
    <t>Rent/BR</t>
  </si>
  <si>
    <t>Subject - Eagle Sagewood Phase II</t>
  </si>
  <si>
    <t>Existing Project</t>
  </si>
  <si>
    <t>Sagewood M/F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</si>
</sst>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0.0%"/>
    <numFmt numFmtId="168" formatCode="&quot;$&quot;#,##0.000_);\(&quot;$&quot;#,##0.000\)"/>
    <numFmt numFmtId="169" formatCode="#,##0.0000_);\(#,##0.0000\)"/>
    <numFmt numFmtId="170" formatCode="0.000%"/>
    <numFmt numFmtId="174" formatCode="&quot;$&quot;#,##0"/>
    <numFmt numFmtId="175" formatCode="&quot;$&quot;#,##0.00"/>
  </numFmts>
  <fonts count="20">
    <font>
      <sz val="12"/>
      <name val="Arial MT"/>
    </font>
    <font>
      <sz val="10"/>
      <name val="Arial"/>
    </font>
    <font>
      <b/>
      <sz val="18"/>
      <name val="Times New Roman"/>
      <family val="1"/>
    </font>
    <font>
      <sz val="12"/>
      <name val="Arial MT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indexed="18"/>
      <name val="Times New Roman"/>
      <family val="1"/>
    </font>
    <font>
      <sz val="10"/>
      <color indexed="8"/>
      <name val="Times New Roman"/>
      <family val="1"/>
    </font>
    <font>
      <sz val="12"/>
      <name val="Times New Roman"/>
      <family val="1"/>
    </font>
    <font>
      <u/>
      <sz val="10"/>
      <name val="Times New Roman"/>
      <family val="1"/>
    </font>
    <font>
      <u/>
      <sz val="10"/>
      <color indexed="18"/>
      <name val="Times New Roman"/>
      <family val="1"/>
    </font>
    <font>
      <b/>
      <sz val="14"/>
      <name val="Times New Roman"/>
      <family val="1"/>
    </font>
    <font>
      <b/>
      <u/>
      <sz val="10"/>
      <name val="Times New Roman"/>
      <family val="1"/>
    </font>
    <font>
      <sz val="10"/>
      <name val="Tahoma"/>
      <family val="2"/>
    </font>
    <font>
      <i/>
      <sz val="10"/>
      <name val="Times New Roman"/>
      <family val="1"/>
    </font>
    <font>
      <b/>
      <u/>
      <sz val="10"/>
      <color indexed="8"/>
      <name val="Times New Roman"/>
      <family val="1"/>
    </font>
    <font>
      <sz val="8"/>
      <color indexed="81"/>
      <name val="Tahoma"/>
    </font>
    <font>
      <sz val="10"/>
      <name val="Arial MT"/>
    </font>
    <font>
      <u/>
      <sz val="10"/>
      <name val="Arial MT"/>
    </font>
    <font>
      <u val="double"/>
      <sz val="10"/>
      <name val="Arial MT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43"/>
      </patternFill>
    </fill>
    <fill>
      <patternFill patternType="solid">
        <fgColor indexed="4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3">
    <xf numFmtId="0" fontId="0" fillId="0" borderId="0" xfId="0"/>
    <xf numFmtId="0" fontId="3" fillId="0" borderId="0" xfId="0" applyFont="1" applyProtection="1"/>
    <xf numFmtId="0" fontId="5" fillId="0" borderId="0" xfId="0" applyFont="1" applyProtection="1"/>
    <xf numFmtId="0" fontId="6" fillId="0" borderId="0" xfId="0" applyFont="1" applyProtection="1"/>
    <xf numFmtId="0" fontId="4" fillId="0" borderId="0" xfId="0" applyFont="1" applyAlignment="1" applyProtection="1">
      <alignment horizontal="centerContinuous"/>
    </xf>
    <xf numFmtId="0" fontId="5" fillId="0" borderId="1" xfId="0" applyFont="1" applyBorder="1" applyProtection="1"/>
    <xf numFmtId="0" fontId="2" fillId="0" borderId="0" xfId="0" applyFont="1" applyAlignment="1" applyProtection="1">
      <alignment horizontal="centerContinuous"/>
    </xf>
    <xf numFmtId="0" fontId="11" fillId="0" borderId="0" xfId="0" applyFont="1" applyAlignment="1" applyProtection="1">
      <alignment horizontal="centerContinuous"/>
    </xf>
    <xf numFmtId="5" fontId="6" fillId="0" borderId="2" xfId="0" applyNumberFormat="1" applyFont="1" applyBorder="1" applyProtection="1"/>
    <xf numFmtId="7" fontId="6" fillId="0" borderId="3" xfId="0" applyNumberFormat="1" applyFont="1" applyBorder="1" applyProtection="1"/>
    <xf numFmtId="0" fontId="4" fillId="0" borderId="0" xfId="0" applyFont="1" applyProtection="1"/>
    <xf numFmtId="5" fontId="5" fillId="0" borderId="4" xfId="0" applyNumberFormat="1" applyFont="1" applyBorder="1" applyProtection="1"/>
    <xf numFmtId="5" fontId="4" fillId="0" borderId="0" xfId="0" applyNumberFormat="1" applyFont="1" applyProtection="1"/>
    <xf numFmtId="0" fontId="12" fillId="0" borderId="0" xfId="0" applyFont="1" applyProtection="1"/>
    <xf numFmtId="0" fontId="5" fillId="2" borderId="5" xfId="0" applyFont="1" applyFill="1" applyBorder="1" applyAlignment="1" applyProtection="1">
      <alignment horizontal="left"/>
    </xf>
    <xf numFmtId="0" fontId="5" fillId="2" borderId="6" xfId="0" applyFont="1" applyFill="1" applyBorder="1" applyAlignment="1" applyProtection="1">
      <alignment horizontal="right"/>
    </xf>
    <xf numFmtId="0" fontId="5" fillId="2" borderId="5" xfId="0" applyFont="1" applyFill="1" applyBorder="1" applyAlignment="1" applyProtection="1">
      <alignment horizontal="center"/>
    </xf>
    <xf numFmtId="0" fontId="5" fillId="2" borderId="6" xfId="0" applyFont="1" applyFill="1" applyBorder="1" applyAlignment="1" applyProtection="1">
      <alignment horizontal="center"/>
    </xf>
    <xf numFmtId="0" fontId="5" fillId="2" borderId="7" xfId="0" applyFont="1" applyFill="1" applyBorder="1" applyAlignment="1" applyProtection="1">
      <alignment horizontal="center"/>
    </xf>
    <xf numFmtId="0" fontId="6" fillId="0" borderId="8" xfId="0" applyFont="1" applyBorder="1" applyProtection="1"/>
    <xf numFmtId="166" fontId="6" fillId="0" borderId="0" xfId="0" applyNumberFormat="1" applyFont="1" applyProtection="1"/>
    <xf numFmtId="37" fontId="6" fillId="0" borderId="0" xfId="0" applyNumberFormat="1" applyFont="1" applyProtection="1"/>
    <xf numFmtId="37" fontId="4" fillId="0" borderId="0" xfId="0" applyNumberFormat="1" applyFont="1" applyProtection="1"/>
    <xf numFmtId="5" fontId="6" fillId="0" borderId="8" xfId="0" applyNumberFormat="1" applyFont="1" applyBorder="1" applyProtection="1"/>
    <xf numFmtId="5" fontId="10" fillId="0" borderId="8" xfId="0" applyNumberFormat="1" applyFont="1" applyBorder="1" applyProtection="1"/>
    <xf numFmtId="5" fontId="9" fillId="0" borderId="0" xfId="0" applyNumberFormat="1" applyFont="1" applyProtection="1"/>
    <xf numFmtId="0" fontId="5" fillId="0" borderId="9" xfId="0" applyFont="1" applyBorder="1" applyProtection="1"/>
    <xf numFmtId="166" fontId="5" fillId="0" borderId="1" xfId="0" applyNumberFormat="1" applyFont="1" applyBorder="1" applyProtection="1"/>
    <xf numFmtId="37" fontId="5" fillId="0" borderId="1" xfId="0" applyNumberFormat="1" applyFont="1" applyBorder="1" applyProtection="1"/>
    <xf numFmtId="5" fontId="5" fillId="0" borderId="9" xfId="0" applyNumberFormat="1" applyFont="1" applyBorder="1" applyProtection="1"/>
    <xf numFmtId="5" fontId="5" fillId="0" borderId="1" xfId="0" applyNumberFormat="1" applyFont="1" applyBorder="1" applyProtection="1"/>
    <xf numFmtId="166" fontId="3" fillId="0" borderId="0" xfId="0" applyNumberFormat="1" applyFont="1" applyProtection="1"/>
    <xf numFmtId="39" fontId="3" fillId="0" borderId="0" xfId="0" applyNumberFormat="1" applyFont="1" applyProtection="1"/>
    <xf numFmtId="37" fontId="3" fillId="0" borderId="0" xfId="0" applyNumberFormat="1" applyFont="1" applyProtection="1"/>
    <xf numFmtId="5" fontId="3" fillId="0" borderId="0" xfId="0" applyNumberFormat="1" applyFont="1" applyProtection="1"/>
    <xf numFmtId="0" fontId="5" fillId="0" borderId="0" xfId="0" applyFont="1" applyAlignment="1" applyProtection="1">
      <alignment horizontal="centerContinuous"/>
    </xf>
    <xf numFmtId="0" fontId="12" fillId="0" borderId="0" xfId="0" applyFont="1" applyAlignment="1" applyProtection="1">
      <alignment horizontal="centerContinuous"/>
    </xf>
    <xf numFmtId="168" fontId="7" fillId="0" borderId="0" xfId="0" applyNumberFormat="1" applyFont="1" applyProtection="1"/>
    <xf numFmtId="0" fontId="5" fillId="0" borderId="10" xfId="0" applyFont="1" applyBorder="1" applyProtection="1"/>
    <xf numFmtId="0" fontId="5" fillId="2" borderId="5" xfId="0" applyFont="1" applyFill="1" applyBorder="1" applyAlignment="1" applyProtection="1">
      <alignment horizontal="right"/>
    </xf>
    <xf numFmtId="0" fontId="5" fillId="2" borderId="7" xfId="0" applyFont="1" applyFill="1" applyBorder="1" applyAlignment="1" applyProtection="1">
      <alignment horizontal="right"/>
    </xf>
    <xf numFmtId="5" fontId="4" fillId="0" borderId="11" xfId="0" applyNumberFormat="1" applyFont="1" applyBorder="1" applyProtection="1"/>
    <xf numFmtId="166" fontId="4" fillId="0" borderId="12" xfId="0" applyNumberFormat="1" applyFont="1" applyBorder="1" applyProtection="1"/>
    <xf numFmtId="5" fontId="4" fillId="0" borderId="12" xfId="0" applyNumberFormat="1" applyFont="1" applyBorder="1" applyProtection="1"/>
    <xf numFmtId="7" fontId="4" fillId="0" borderId="13" xfId="0" applyNumberFormat="1" applyFont="1" applyBorder="1" applyAlignment="1" applyProtection="1">
      <alignment horizontal="right"/>
    </xf>
    <xf numFmtId="166" fontId="9" fillId="0" borderId="0" xfId="0" applyNumberFormat="1" applyFont="1" applyProtection="1"/>
    <xf numFmtId="7" fontId="9" fillId="0" borderId="3" xfId="0" applyNumberFormat="1" applyFont="1" applyBorder="1" applyAlignment="1" applyProtection="1">
      <alignment horizontal="right"/>
    </xf>
    <xf numFmtId="5" fontId="5" fillId="0" borderId="8" xfId="0" applyNumberFormat="1" applyFont="1" applyBorder="1" applyProtection="1"/>
    <xf numFmtId="166" fontId="5" fillId="0" borderId="0" xfId="0" applyNumberFormat="1" applyFont="1" applyProtection="1"/>
    <xf numFmtId="5" fontId="5" fillId="0" borderId="0" xfId="0" applyNumberFormat="1" applyFont="1" applyProtection="1"/>
    <xf numFmtId="7" fontId="5" fillId="0" borderId="3" xfId="0" applyNumberFormat="1" applyFont="1" applyBorder="1" applyAlignment="1" applyProtection="1">
      <alignment horizontal="right"/>
    </xf>
    <xf numFmtId="5" fontId="9" fillId="0" borderId="8" xfId="0" applyNumberFormat="1" applyFont="1" applyBorder="1" applyProtection="1"/>
    <xf numFmtId="5" fontId="3" fillId="0" borderId="8" xfId="0" applyNumberFormat="1" applyFont="1" applyBorder="1" applyProtection="1"/>
    <xf numFmtId="166" fontId="13" fillId="0" borderId="0" xfId="0" applyNumberFormat="1" applyFont="1" applyProtection="1"/>
    <xf numFmtId="7" fontId="4" fillId="0" borderId="3" xfId="0" applyNumberFormat="1" applyFont="1" applyBorder="1" applyAlignment="1" applyProtection="1">
      <alignment horizontal="right"/>
    </xf>
    <xf numFmtId="166" fontId="4" fillId="0" borderId="0" xfId="0" applyNumberFormat="1" applyFont="1" applyProtection="1"/>
    <xf numFmtId="5" fontId="7" fillId="0" borderId="8" xfId="0" applyNumberFormat="1" applyFont="1" applyBorder="1" applyProtection="1"/>
    <xf numFmtId="5" fontId="12" fillId="0" borderId="8" xfId="0" applyNumberFormat="1" applyFont="1" applyBorder="1" applyProtection="1"/>
    <xf numFmtId="166" fontId="12" fillId="0" borderId="0" xfId="0" applyNumberFormat="1" applyFont="1" applyProtection="1"/>
    <xf numFmtId="5" fontId="12" fillId="0" borderId="0" xfId="0" applyNumberFormat="1" applyFont="1" applyProtection="1"/>
    <xf numFmtId="7" fontId="12" fillId="0" borderId="3" xfId="0" applyNumberFormat="1" applyFont="1" applyBorder="1" applyAlignment="1" applyProtection="1">
      <alignment horizontal="right"/>
    </xf>
    <xf numFmtId="7" fontId="5" fillId="0" borderId="14" xfId="0" applyNumberFormat="1" applyFont="1" applyBorder="1" applyAlignment="1" applyProtection="1">
      <alignment horizontal="right"/>
    </xf>
    <xf numFmtId="0" fontId="14" fillId="0" borderId="0" xfId="0" applyFont="1" applyProtection="1"/>
    <xf numFmtId="5" fontId="14" fillId="0" borderId="0" xfId="0" applyNumberFormat="1" applyFont="1" applyProtection="1"/>
    <xf numFmtId="166" fontId="14" fillId="0" borderId="0" xfId="0" applyNumberFormat="1" applyFont="1" applyProtection="1"/>
    <xf numFmtId="7" fontId="14" fillId="0" borderId="0" xfId="0" applyNumberFormat="1" applyFont="1" applyAlignment="1" applyProtection="1">
      <alignment horizontal="right"/>
    </xf>
    <xf numFmtId="10" fontId="14" fillId="0" borderId="0" xfId="0" applyNumberFormat="1" applyFont="1" applyProtection="1"/>
    <xf numFmtId="7" fontId="4" fillId="0" borderId="0" xfId="0" applyNumberFormat="1" applyFont="1" applyAlignment="1" applyProtection="1">
      <alignment horizontal="right"/>
    </xf>
    <xf numFmtId="7" fontId="5" fillId="0" borderId="0" xfId="0" applyNumberFormat="1" applyFont="1" applyAlignment="1" applyProtection="1">
      <alignment horizontal="right"/>
    </xf>
    <xf numFmtId="39" fontId="5" fillId="0" borderId="0" xfId="0" applyNumberFormat="1" applyFont="1" applyProtection="1"/>
    <xf numFmtId="169" fontId="5" fillId="0" borderId="0" xfId="0" applyNumberFormat="1" applyFont="1" applyProtection="1"/>
    <xf numFmtId="170" fontId="7" fillId="0" borderId="0" xfId="0" applyNumberFormat="1" applyFont="1" applyProtection="1"/>
    <xf numFmtId="0" fontId="15" fillId="0" borderId="0" xfId="0" applyFont="1" applyAlignment="1" applyProtection="1">
      <alignment horizontal="centerContinuous"/>
    </xf>
    <xf numFmtId="0" fontId="7" fillId="0" borderId="0" xfId="0" applyFont="1" applyAlignment="1" applyProtection="1">
      <alignment horizontal="centerContinuous"/>
    </xf>
    <xf numFmtId="0" fontId="7" fillId="0" borderId="0" xfId="0" applyFont="1" applyProtection="1"/>
    <xf numFmtId="170" fontId="5" fillId="0" borderId="0" xfId="0" applyNumberFormat="1" applyFont="1" applyAlignment="1" applyProtection="1">
      <alignment horizontal="centerContinuous"/>
    </xf>
    <xf numFmtId="5" fontId="4" fillId="0" borderId="8" xfId="0" applyNumberFormat="1" applyFont="1" applyBorder="1" applyProtection="1"/>
    <xf numFmtId="5" fontId="6" fillId="0" borderId="3" xfId="0" applyNumberFormat="1" applyFont="1" applyBorder="1" applyProtection="1"/>
    <xf numFmtId="5" fontId="5" fillId="0" borderId="0" xfId="0" applyNumberFormat="1" applyFont="1" applyBorder="1" applyProtection="1"/>
    <xf numFmtId="7" fontId="5" fillId="0" borderId="0" xfId="0" applyNumberFormat="1" applyFont="1" applyBorder="1" applyProtection="1"/>
    <xf numFmtId="0" fontId="5" fillId="2" borderId="10" xfId="0" applyFont="1" applyFill="1" applyBorder="1" applyAlignment="1" applyProtection="1">
      <alignment horizontal="center"/>
    </xf>
    <xf numFmtId="0" fontId="8" fillId="0" borderId="0" xfId="0" applyFont="1"/>
    <xf numFmtId="5" fontId="10" fillId="0" borderId="3" xfId="0" applyNumberFormat="1" applyFont="1" applyBorder="1" applyProtection="1"/>
    <xf numFmtId="7" fontId="5" fillId="0" borderId="4" xfId="0" applyNumberFormat="1" applyFont="1" applyBorder="1" applyProtection="1"/>
    <xf numFmtId="9" fontId="7" fillId="0" borderId="0" xfId="0" applyNumberFormat="1" applyFont="1" applyProtection="1"/>
    <xf numFmtId="5" fontId="10" fillId="0" borderId="2" xfId="0" applyNumberFormat="1" applyFont="1" applyBorder="1" applyProtection="1"/>
    <xf numFmtId="7" fontId="10" fillId="0" borderId="3" xfId="0" applyNumberFormat="1" applyFont="1" applyBorder="1" applyProtection="1"/>
    <xf numFmtId="0" fontId="10" fillId="0" borderId="0" xfId="0" applyFont="1" applyProtection="1"/>
    <xf numFmtId="166" fontId="10" fillId="0" borderId="0" xfId="0" applyNumberFormat="1" applyFont="1" applyProtection="1"/>
    <xf numFmtId="37" fontId="10" fillId="0" borderId="0" xfId="0" applyNumberFormat="1" applyFont="1" applyProtection="1"/>
    <xf numFmtId="37" fontId="9" fillId="0" borderId="0" xfId="0" applyNumberFormat="1" applyFont="1" applyProtection="1"/>
    <xf numFmtId="6" fontId="0" fillId="0" borderId="0" xfId="0" applyNumberFormat="1"/>
    <xf numFmtId="9" fontId="0" fillId="0" borderId="0" xfId="0" applyNumberFormat="1"/>
    <xf numFmtId="174" fontId="0" fillId="0" borderId="0" xfId="2" applyNumberFormat="1" applyFont="1" applyAlignment="1"/>
    <xf numFmtId="9" fontId="0" fillId="0" borderId="0" xfId="3" applyFont="1"/>
    <xf numFmtId="174" fontId="5" fillId="0" borderId="0" xfId="3" applyNumberFormat="1" applyFont="1" applyProtection="1"/>
    <xf numFmtId="9" fontId="6" fillId="0" borderId="3" xfId="3" applyFont="1" applyBorder="1" applyProtection="1"/>
    <xf numFmtId="9" fontId="5" fillId="0" borderId="4" xfId="0" applyNumberFormat="1" applyFont="1" applyBorder="1" applyProtection="1"/>
    <xf numFmtId="9" fontId="10" fillId="0" borderId="3" xfId="3" applyFont="1" applyBorder="1" applyProtection="1"/>
    <xf numFmtId="0" fontId="17" fillId="0" borderId="0" xfId="0" applyFont="1"/>
    <xf numFmtId="0" fontId="17" fillId="3" borderId="15" xfId="0" applyFont="1" applyFill="1" applyBorder="1"/>
    <xf numFmtId="0" fontId="17" fillId="3" borderId="16" xfId="0" applyFont="1" applyFill="1" applyBorder="1"/>
    <xf numFmtId="6" fontId="17" fillId="0" borderId="0" xfId="0" applyNumberFormat="1" applyFont="1"/>
    <xf numFmtId="38" fontId="19" fillId="0" borderId="0" xfId="0" applyNumberFormat="1" applyFont="1"/>
    <xf numFmtId="174" fontId="17" fillId="0" borderId="0" xfId="0" applyNumberFormat="1" applyFont="1"/>
    <xf numFmtId="174" fontId="18" fillId="0" borderId="0" xfId="0" applyNumberFormat="1" applyFont="1"/>
    <xf numFmtId="43" fontId="17" fillId="0" borderId="17" xfId="1" applyFont="1" applyBorder="1"/>
    <xf numFmtId="0" fontId="5" fillId="0" borderId="0" xfId="0" applyFont="1"/>
    <xf numFmtId="9" fontId="5" fillId="0" borderId="0" xfId="3" applyFont="1"/>
    <xf numFmtId="175" fontId="3" fillId="0" borderId="0" xfId="0" applyNumberFormat="1" applyFont="1" applyProtection="1"/>
    <xf numFmtId="7" fontId="4" fillId="0" borderId="0" xfId="0" applyNumberFormat="1" applyFont="1" applyProtection="1"/>
    <xf numFmtId="174" fontId="12" fillId="0" borderId="0" xfId="3" applyNumberFormat="1" applyFont="1" applyProtection="1"/>
    <xf numFmtId="5" fontId="4" fillId="0" borderId="3" xfId="0" applyNumberFormat="1" applyFont="1" applyBorder="1" applyProtection="1"/>
    <xf numFmtId="5" fontId="9" fillId="0" borderId="3" xfId="0" applyNumberFormat="1" applyFont="1" applyBorder="1" applyProtection="1"/>
    <xf numFmtId="5" fontId="5" fillId="0" borderId="14" xfId="0" applyNumberFormat="1" applyFont="1" applyBorder="1" applyProtection="1"/>
    <xf numFmtId="5" fontId="0" fillId="0" borderId="0" xfId="0" applyNumberFormat="1"/>
    <xf numFmtId="5" fontId="5" fillId="2" borderId="7" xfId="0" applyNumberFormat="1" applyFont="1" applyFill="1" applyBorder="1" applyAlignment="1" applyProtection="1">
      <alignment horizontal="center"/>
    </xf>
    <xf numFmtId="10" fontId="5" fillId="0" borderId="0" xfId="3" applyNumberFormat="1" applyFont="1" applyProtection="1"/>
    <xf numFmtId="10" fontId="0" fillId="0" borderId="0" xfId="3" applyNumberFormat="1" applyFont="1"/>
    <xf numFmtId="5" fontId="9" fillId="0" borderId="0" xfId="0" applyNumberFormat="1" applyFont="1" applyBorder="1" applyProtection="1"/>
    <xf numFmtId="5" fontId="4" fillId="0" borderId="0" xfId="0" applyNumberFormat="1" applyFont="1" applyBorder="1" applyProtection="1"/>
    <xf numFmtId="5" fontId="12" fillId="0" borderId="0" xfId="0" applyNumberFormat="1" applyFont="1" applyBorder="1" applyProtection="1"/>
    <xf numFmtId="0" fontId="5" fillId="2" borderId="13" xfId="0" applyFont="1" applyFill="1" applyBorder="1" applyAlignment="1" applyProtection="1">
      <alignment horizontal="righ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H40"/>
  <sheetViews>
    <sheetView defaultGridColor="0" colorId="22" zoomScale="80" workbookViewId="0">
      <selection activeCell="C21" sqref="C21"/>
    </sheetView>
  </sheetViews>
  <sheetFormatPr defaultColWidth="9.77734375" defaultRowHeight="15"/>
  <cols>
    <col min="1" max="1" width="22.77734375" customWidth="1"/>
    <col min="2" max="2" width="11.5546875" customWidth="1"/>
    <col min="3" max="3" width="11.88671875" customWidth="1"/>
    <col min="4" max="4" width="11.6640625" customWidth="1"/>
    <col min="6" max="6" width="11.88671875" bestFit="1" customWidth="1"/>
    <col min="7" max="7" width="11.109375" bestFit="1" customWidth="1"/>
    <col min="8" max="8" width="11.44140625" bestFit="1" customWidth="1"/>
  </cols>
  <sheetData>
    <row r="1" spans="1:8" ht="22.5">
      <c r="A1" s="6" t="s">
        <v>0</v>
      </c>
      <c r="B1" s="4"/>
      <c r="C1" s="4"/>
      <c r="D1" s="4"/>
    </row>
    <row r="2" spans="1:8" ht="18.75">
      <c r="A2" s="7" t="s">
        <v>3</v>
      </c>
      <c r="B2" s="4"/>
      <c r="C2" s="4"/>
      <c r="D2" s="4"/>
    </row>
    <row r="3" spans="1:8" ht="18.75">
      <c r="A3" s="7"/>
      <c r="B3" s="4"/>
      <c r="C3" s="4"/>
      <c r="D3" s="4"/>
    </row>
    <row r="4" spans="1:8" ht="15.75">
      <c r="A4" s="81" t="s">
        <v>0</v>
      </c>
    </row>
    <row r="6" spans="1:8">
      <c r="A6" s="1"/>
      <c r="B6" s="80" t="s">
        <v>4</v>
      </c>
      <c r="C6" s="18" t="s">
        <v>5</v>
      </c>
      <c r="D6" s="18" t="s">
        <v>6</v>
      </c>
      <c r="E6" s="18" t="s">
        <v>71</v>
      </c>
      <c r="F6" s="18" t="s">
        <v>85</v>
      </c>
      <c r="G6" s="18" t="s">
        <v>21</v>
      </c>
    </row>
    <row r="7" spans="1:8">
      <c r="A7" s="3" t="s">
        <v>60</v>
      </c>
      <c r="B7" s="8">
        <v>1121670</v>
      </c>
      <c r="C7" s="77">
        <f>+B7/Stabilized!$B$8</f>
        <v>8370.6716417910447</v>
      </c>
      <c r="D7" s="9">
        <f>+B7/Stabilized!$E$8</f>
        <v>7.5706157490837667</v>
      </c>
      <c r="E7" s="96">
        <f>+B7/$B$18</f>
        <v>9.4865834031856722E-2</v>
      </c>
      <c r="F7" s="77">
        <v>0</v>
      </c>
      <c r="G7" s="77">
        <f>+B7</f>
        <v>1121670</v>
      </c>
    </row>
    <row r="8" spans="1:8">
      <c r="A8" s="3" t="s">
        <v>61</v>
      </c>
      <c r="B8" s="8">
        <v>627030</v>
      </c>
      <c r="C8" s="77">
        <f>+B8/Stabilized!$B$8</f>
        <v>4679.3283582089553</v>
      </c>
      <c r="D8" s="9">
        <f>+B8/Stabilized!$E$8</f>
        <v>4.2320853665944478</v>
      </c>
      <c r="E8" s="96">
        <f>+B8/$B$18</f>
        <v>5.3031394182776685E-2</v>
      </c>
      <c r="F8" s="77">
        <v>0</v>
      </c>
      <c r="G8" s="77">
        <f>+B8</f>
        <v>627030</v>
      </c>
      <c r="H8" s="115" t="s">
        <v>0</v>
      </c>
    </row>
    <row r="9" spans="1:8">
      <c r="A9" s="3" t="s">
        <v>0</v>
      </c>
      <c r="B9" s="8" t="s">
        <v>0</v>
      </c>
      <c r="C9" s="77" t="s">
        <v>0</v>
      </c>
      <c r="D9" s="9" t="s">
        <v>0</v>
      </c>
      <c r="E9" s="96" t="s">
        <v>0</v>
      </c>
      <c r="F9" s="77"/>
      <c r="G9" s="9"/>
      <c r="H9" s="115" t="s">
        <v>0</v>
      </c>
    </row>
    <row r="10" spans="1:8">
      <c r="A10" s="3" t="s">
        <v>62</v>
      </c>
      <c r="B10" s="8">
        <v>758447</v>
      </c>
      <c r="C10" s="77">
        <f>+B10/Stabilized!$B$8</f>
        <v>5660.0522388059699</v>
      </c>
      <c r="D10" s="9">
        <f>+B10/Stabilized!$E$8</f>
        <v>5.1190731704024675</v>
      </c>
      <c r="E10" s="96">
        <f>+B10/$B$18</f>
        <v>6.4146056526393352E-2</v>
      </c>
      <c r="F10" s="77">
        <f>+B10</f>
        <v>758447</v>
      </c>
      <c r="G10" s="9">
        <v>0</v>
      </c>
    </row>
    <row r="11" spans="1:8">
      <c r="A11" s="3" t="s">
        <v>63</v>
      </c>
      <c r="B11" s="8">
        <v>7662441</v>
      </c>
      <c r="C11" s="77">
        <f>+B11/Stabilized!$B$8</f>
        <v>57182.395522388062</v>
      </c>
      <c r="D11" s="9">
        <f>+B11/Stabilized!$E$8</f>
        <v>51.716990301091379</v>
      </c>
      <c r="E11" s="96">
        <f>+B11/$B$18</f>
        <v>0.64805500386467885</v>
      </c>
      <c r="F11" s="77">
        <f>+B11-G11</f>
        <v>6870203</v>
      </c>
      <c r="G11" s="77">
        <v>792238</v>
      </c>
    </row>
    <row r="12" spans="1:8">
      <c r="A12" s="3" t="s">
        <v>70</v>
      </c>
      <c r="B12" s="8">
        <v>830000</v>
      </c>
      <c r="C12" s="77">
        <f>+B12/Stabilized!$B$8</f>
        <v>6194.0298507462685</v>
      </c>
      <c r="D12" s="9">
        <f>+B12/Stabilized!$E$8</f>
        <v>5.6020140252833066</v>
      </c>
      <c r="E12" s="96">
        <f>+B12/$B$18</f>
        <v>7.0197689379622424E-2</v>
      </c>
      <c r="F12" s="77">
        <v>415000</v>
      </c>
      <c r="G12" s="77">
        <v>415000</v>
      </c>
    </row>
    <row r="13" spans="1:8">
      <c r="A13" s="3"/>
      <c r="B13" s="8"/>
      <c r="C13" s="77" t="s">
        <v>48</v>
      </c>
      <c r="D13" s="9" t="s">
        <v>0</v>
      </c>
      <c r="E13" s="96" t="s">
        <v>0</v>
      </c>
      <c r="F13" s="77"/>
      <c r="G13" s="9"/>
    </row>
    <row r="14" spans="1:8">
      <c r="A14" s="3" t="s">
        <v>66</v>
      </c>
      <c r="B14" s="8">
        <v>4000</v>
      </c>
      <c r="C14" s="77">
        <f>+B14/Stabilized!$B$8</f>
        <v>29.850746268656717</v>
      </c>
      <c r="D14" s="9">
        <f>+B14/Stabilized!$E$8</f>
        <v>2.6997657953172563E-2</v>
      </c>
      <c r="E14" s="96">
        <f>+B14/$B$18</f>
        <v>3.3830211749215626E-4</v>
      </c>
      <c r="F14" s="77">
        <f>+B14</f>
        <v>4000</v>
      </c>
      <c r="G14" s="9">
        <v>0</v>
      </c>
    </row>
    <row r="15" spans="1:8">
      <c r="A15" s="3" t="s">
        <v>67</v>
      </c>
      <c r="B15" s="8">
        <v>123073</v>
      </c>
      <c r="C15" s="77">
        <f>+B15/Stabilized!$B$8</f>
        <v>918.45522388059703</v>
      </c>
      <c r="D15" s="9">
        <f>+B15/Stabilized!$E$8</f>
        <v>0.83067068931770172</v>
      </c>
      <c r="E15" s="96">
        <f>+B15/$B$18</f>
        <v>1.0408964126528036E-2</v>
      </c>
      <c r="F15" s="77">
        <f>+B15</f>
        <v>123073</v>
      </c>
      <c r="G15" s="9">
        <v>0</v>
      </c>
    </row>
    <row r="16" spans="1:8">
      <c r="A16" s="3" t="s">
        <v>68</v>
      </c>
      <c r="B16" s="8">
        <v>30768</v>
      </c>
      <c r="C16" s="77">
        <f>+B16/Stabilized!$B$8</f>
        <v>229.61194029850745</v>
      </c>
      <c r="D16" s="9">
        <f>+B16/Stabilized!$E$8</f>
        <v>0.20766598497580335</v>
      </c>
      <c r="E16" s="96">
        <f>+B16/$B$18</f>
        <v>2.6022198877496661E-3</v>
      </c>
      <c r="F16" s="77">
        <f>+B16</f>
        <v>30768</v>
      </c>
      <c r="G16" s="9">
        <v>0</v>
      </c>
    </row>
    <row r="17" spans="1:8">
      <c r="A17" s="3" t="s">
        <v>69</v>
      </c>
      <c r="B17" s="85">
        <v>666322</v>
      </c>
      <c r="C17" s="82">
        <f>+B17/Stabilized!$B$8</f>
        <v>4972.5522388059699</v>
      </c>
      <c r="D17" s="86">
        <f>+B17/Stabilized!$E$8</f>
        <v>4.4972833606684617</v>
      </c>
      <c r="E17" s="98">
        <f>+B17/$B$18</f>
        <v>5.6354535882902138E-2</v>
      </c>
      <c r="F17" s="82">
        <f>+B17</f>
        <v>666322</v>
      </c>
      <c r="G17" s="86">
        <v>0</v>
      </c>
    </row>
    <row r="18" spans="1:8">
      <c r="A18" s="2" t="s">
        <v>49</v>
      </c>
      <c r="B18" s="11">
        <f>SUM(B7:B17)</f>
        <v>11823751</v>
      </c>
      <c r="C18" s="11">
        <f>+B18/Stabilized!$B$8</f>
        <v>88236.947761194024</v>
      </c>
      <c r="D18" s="83">
        <f>+B18/Stabilized!$E$8</f>
        <v>79.803396305370512</v>
      </c>
      <c r="E18" s="97">
        <f>SUM(E7:E17)</f>
        <v>1</v>
      </c>
      <c r="F18" s="11">
        <f>SUM(F7:F17)</f>
        <v>8867813</v>
      </c>
      <c r="G18" s="11">
        <f>SUM(G7:G17)</f>
        <v>2955938</v>
      </c>
      <c r="H18" s="115" t="s">
        <v>0</v>
      </c>
    </row>
    <row r="19" spans="1:8">
      <c r="A19" s="2"/>
      <c r="B19" s="78"/>
      <c r="C19" s="78"/>
      <c r="D19" s="79"/>
    </row>
    <row r="20" spans="1:8">
      <c r="A20" s="2"/>
      <c r="B20" s="78"/>
      <c r="C20" s="78"/>
      <c r="D20" s="79"/>
      <c r="G20" s="118" t="s">
        <v>0</v>
      </c>
    </row>
    <row r="21" spans="1:8">
      <c r="A21" s="2" t="s">
        <v>64</v>
      </c>
      <c r="B21" s="95" t="s">
        <v>0</v>
      </c>
      <c r="C21" s="12"/>
      <c r="D21" s="1"/>
    </row>
    <row r="22" spans="1:8">
      <c r="A22" s="2" t="s">
        <v>86</v>
      </c>
      <c r="B22" s="95">
        <v>1121670</v>
      </c>
      <c r="C22" s="12"/>
      <c r="D22" s="1"/>
    </row>
    <row r="23" spans="1:8">
      <c r="A23" s="2" t="s">
        <v>87</v>
      </c>
      <c r="B23" s="95">
        <f>+G12</f>
        <v>415000</v>
      </c>
      <c r="C23" s="12" t="s">
        <v>0</v>
      </c>
      <c r="D23" s="109" t="s">
        <v>0</v>
      </c>
    </row>
    <row r="24" spans="1:8">
      <c r="A24" s="2" t="s">
        <v>88</v>
      </c>
      <c r="B24" s="111">
        <f>1351924+67344</f>
        <v>1419268</v>
      </c>
      <c r="C24" s="110" t="s">
        <v>0</v>
      </c>
      <c r="D24" s="1"/>
    </row>
    <row r="25" spans="1:8">
      <c r="A25" s="2" t="s">
        <v>89</v>
      </c>
      <c r="B25" s="95">
        <f>SUM(B22:B24)</f>
        <v>2955938</v>
      </c>
      <c r="C25" s="117">
        <f>+B25/B18</f>
        <v>0.25000002114388237</v>
      </c>
      <c r="D25" s="95"/>
    </row>
    <row r="26" spans="1:8">
      <c r="A26" s="2" t="s">
        <v>65</v>
      </c>
      <c r="B26" s="95">
        <f>+B18*0.75</f>
        <v>8867813.25</v>
      </c>
      <c r="C26" s="117">
        <f>+B26/B18</f>
        <v>0.75</v>
      </c>
      <c r="D26" s="95" t="s">
        <v>51</v>
      </c>
    </row>
    <row r="27" spans="1:8">
      <c r="A27" s="107" t="s">
        <v>51</v>
      </c>
      <c r="B27" s="108" t="s">
        <v>0</v>
      </c>
      <c r="C27" s="93"/>
    </row>
    <row r="28" spans="1:8">
      <c r="C28" s="93"/>
    </row>
    <row r="29" spans="1:8">
      <c r="C29" s="93"/>
    </row>
    <row r="30" spans="1:8">
      <c r="C30" s="93"/>
    </row>
    <row r="32" spans="1:8">
      <c r="C32" s="91"/>
    </row>
    <row r="33" spans="3:7">
      <c r="C33" s="91"/>
    </row>
    <row r="34" spans="3:7">
      <c r="C34" s="91"/>
    </row>
    <row r="35" spans="3:7">
      <c r="C35" s="91"/>
    </row>
    <row r="36" spans="3:7">
      <c r="C36" s="91"/>
    </row>
    <row r="37" spans="3:7">
      <c r="C37" s="91"/>
    </row>
    <row r="39" spans="3:7">
      <c r="C39" s="91"/>
    </row>
    <row r="40" spans="3:7">
      <c r="C40" s="94"/>
      <c r="G40" s="92" t="s">
        <v>0</v>
      </c>
    </row>
  </sheetData>
  <pageMargins left="0.25" right="0.25" top="0.25" bottom="0.214" header="0.5" footer="0.5"/>
  <pageSetup scale="97" orientation="portrait" r:id="rId1"/>
  <headerFooter alignWithMargins="0">
    <oddFooter>&amp;L&amp;D&amp;C&amp;R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J23"/>
  <sheetViews>
    <sheetView defaultGridColor="0" topLeftCell="A2" colorId="22" zoomScale="80" workbookViewId="0">
      <selection activeCell="D23" sqref="D23"/>
    </sheetView>
  </sheetViews>
  <sheetFormatPr defaultColWidth="9.77734375" defaultRowHeight="15"/>
  <cols>
    <col min="1" max="1" width="16.77734375" customWidth="1"/>
    <col min="2" max="2" width="10.5546875" customWidth="1"/>
    <col min="3" max="3" width="8.88671875" customWidth="1"/>
    <col min="4" max="4" width="8.44140625" customWidth="1"/>
    <col min="5" max="5" width="8" customWidth="1"/>
    <col min="6" max="6" width="12.77734375" customWidth="1"/>
    <col min="7" max="7" width="6.77734375" customWidth="1"/>
    <col min="8" max="8" width="7.77734375" customWidth="1"/>
    <col min="9" max="9" width="6.77734375" customWidth="1"/>
  </cols>
  <sheetData>
    <row r="1" spans="1:10" ht="22.5">
      <c r="A1" s="6" t="e">
        <f>#REF!</f>
        <v>#REF!</v>
      </c>
      <c r="B1" s="4"/>
      <c r="C1" s="4"/>
      <c r="D1" s="4"/>
      <c r="E1" s="4"/>
      <c r="F1" s="4"/>
      <c r="G1" s="4"/>
      <c r="H1" s="4"/>
      <c r="I1" s="4"/>
      <c r="J1" s="1"/>
    </row>
    <row r="2" spans="1:10" ht="18.75">
      <c r="A2" s="7" t="s">
        <v>44</v>
      </c>
      <c r="B2" s="4"/>
      <c r="C2" s="4"/>
      <c r="D2" s="4"/>
      <c r="E2" s="4"/>
      <c r="F2" s="4"/>
      <c r="G2" s="4"/>
      <c r="H2" s="4"/>
      <c r="I2" s="4"/>
      <c r="J2" s="1"/>
    </row>
    <row r="3" spans="1:10">
      <c r="A3" s="35"/>
      <c r="B3" s="4" t="s">
        <v>0</v>
      </c>
      <c r="C3" s="4"/>
      <c r="D3" s="4"/>
      <c r="E3" s="4"/>
      <c r="F3" s="1"/>
      <c r="G3" s="1"/>
      <c r="H3" s="1"/>
      <c r="I3" s="1"/>
      <c r="J3" s="1"/>
    </row>
    <row r="4" spans="1:10">
      <c r="A4" s="13" t="s">
        <v>45</v>
      </c>
      <c r="B4" s="84">
        <f>C13</f>
        <v>0.16100168610408569</v>
      </c>
      <c r="C4" s="72"/>
      <c r="D4" s="73"/>
      <c r="E4" s="74"/>
      <c r="F4" s="84">
        <f>G13</f>
        <v>0.30862930259906785</v>
      </c>
      <c r="G4" s="36"/>
      <c r="H4" s="4"/>
      <c r="I4" s="1"/>
      <c r="J4" s="1"/>
    </row>
    <row r="5" spans="1:10">
      <c r="A5" s="13" t="s">
        <v>1</v>
      </c>
      <c r="B5" s="84">
        <f>1-B4</f>
        <v>0.83899831389591428</v>
      </c>
      <c r="C5" s="1"/>
      <c r="D5" s="1"/>
      <c r="E5" s="33"/>
      <c r="F5" s="84">
        <f>1-F4</f>
        <v>0.69137069740093215</v>
      </c>
      <c r="G5" s="1"/>
      <c r="H5" s="1"/>
      <c r="I5" s="1"/>
      <c r="J5" s="1"/>
    </row>
    <row r="6" spans="1:10">
      <c r="A6" s="36" t="s">
        <v>2</v>
      </c>
      <c r="B6" s="22">
        <f>+B5*Stabilized!B8</f>
        <v>112.42577406205251</v>
      </c>
      <c r="C6" s="10"/>
      <c r="D6" s="10"/>
      <c r="E6" s="22"/>
      <c r="F6" s="22">
        <f>+F5*Stabilized!B8</f>
        <v>92.643673451724908</v>
      </c>
      <c r="G6" s="1"/>
      <c r="H6" s="1"/>
      <c r="I6" s="1"/>
      <c r="J6" s="1"/>
    </row>
    <row r="7" spans="1:10">
      <c r="A7" s="13"/>
      <c r="B7" s="71"/>
      <c r="C7" s="1"/>
      <c r="D7" s="1"/>
      <c r="E7" s="33"/>
      <c r="F7" s="71"/>
      <c r="G7" s="1"/>
      <c r="H7" s="1"/>
      <c r="I7" s="1"/>
      <c r="J7" s="1"/>
    </row>
    <row r="8" spans="1:10">
      <c r="A8" s="1"/>
      <c r="B8" s="75" t="s">
        <v>20</v>
      </c>
      <c r="C8" s="4"/>
      <c r="D8" s="4"/>
      <c r="E8" s="4"/>
      <c r="F8" s="75" t="s">
        <v>21</v>
      </c>
      <c r="G8" s="4"/>
      <c r="H8" s="4"/>
      <c r="I8" s="4"/>
      <c r="J8" s="1"/>
    </row>
    <row r="9" spans="1:10" ht="12" customHeight="1">
      <c r="A9" s="38" t="s">
        <v>25</v>
      </c>
      <c r="B9" s="39" t="s">
        <v>26</v>
      </c>
      <c r="C9" s="15" t="s">
        <v>13</v>
      </c>
      <c r="D9" s="15" t="s">
        <v>27</v>
      </c>
      <c r="E9" s="122" t="s">
        <v>28</v>
      </c>
      <c r="F9" s="39" t="s">
        <v>26</v>
      </c>
      <c r="G9" s="15" t="s">
        <v>13</v>
      </c>
      <c r="H9" s="15" t="s">
        <v>27</v>
      </c>
      <c r="I9" s="40" t="s">
        <v>28</v>
      </c>
      <c r="J9" s="1"/>
    </row>
    <row r="10" spans="1:10" ht="12" customHeight="1">
      <c r="A10" s="10" t="s">
        <v>29</v>
      </c>
      <c r="B10" s="41">
        <f>Stabilized!B16</f>
        <v>1747200</v>
      </c>
      <c r="C10" s="42">
        <f>B10/B$12</f>
        <v>0.98137014370062814</v>
      </c>
      <c r="D10" s="120">
        <f>+B10/Stabilized!$B$8</f>
        <v>13038.805970149253</v>
      </c>
      <c r="E10" s="44">
        <f>+B10/Stabilized!$E$8</f>
        <v>11.792576993945776</v>
      </c>
      <c r="F10" s="43">
        <f>Stabilized!F16</f>
        <v>2127360</v>
      </c>
      <c r="G10" s="42">
        <f>F10/F$12</f>
        <v>0.98464819710737372</v>
      </c>
      <c r="H10" s="120">
        <f>+F10/Stabilized!$B$8</f>
        <v>15875.820895522387</v>
      </c>
      <c r="I10" s="44">
        <f>+F10/Stabilized!$E$8</f>
        <v>14.358434405815295</v>
      </c>
      <c r="J10" s="1"/>
    </row>
    <row r="11" spans="1:10" ht="12" customHeight="1">
      <c r="A11" s="10" t="s">
        <v>30</v>
      </c>
      <c r="B11" s="51">
        <f>Stabilized!B17</f>
        <v>33168</v>
      </c>
      <c r="C11" s="45">
        <f>B11/B$12</f>
        <v>1.8629856299371816E-2</v>
      </c>
      <c r="D11" s="119">
        <f>+B11/Stabilized!$B$8</f>
        <v>247.52238805970148</v>
      </c>
      <c r="E11" s="46">
        <f>+B11/Stabilized!$E$8</f>
        <v>0.22386457974770688</v>
      </c>
      <c r="F11" s="119">
        <f>Stabilized!F17</f>
        <v>33168</v>
      </c>
      <c r="G11" s="45">
        <f>F11/F$12</f>
        <v>1.5351802892626247E-2</v>
      </c>
      <c r="H11" s="119">
        <f>+F11/Stabilized!$B$8</f>
        <v>247.52238805970148</v>
      </c>
      <c r="I11" s="46">
        <f>+F11/Stabilized!$E$8</f>
        <v>0.22386457974770688</v>
      </c>
      <c r="J11" s="1"/>
    </row>
    <row r="12" spans="1:10" ht="12" customHeight="1">
      <c r="A12" s="2" t="s">
        <v>31</v>
      </c>
      <c r="B12" s="47">
        <f>B11+B10</f>
        <v>1780368</v>
      </c>
      <c r="C12" s="48">
        <f>B12/B$12</f>
        <v>1</v>
      </c>
      <c r="D12" s="78">
        <f>+B12/Stabilized!$B$8</f>
        <v>13286.328358208955</v>
      </c>
      <c r="E12" s="50">
        <f>+B12/Stabilized!$E$8</f>
        <v>12.016441573693482</v>
      </c>
      <c r="F12" s="78">
        <f>F11+F10</f>
        <v>2160528</v>
      </c>
      <c r="G12" s="48">
        <f>F12/F$12</f>
        <v>1</v>
      </c>
      <c r="H12" s="78">
        <f>+F12/Stabilized!$B$8</f>
        <v>16123.343283582089</v>
      </c>
      <c r="I12" s="50">
        <f>+F12/Stabilized!$E$8</f>
        <v>14.582298985563002</v>
      </c>
      <c r="J12" s="1"/>
    </row>
    <row r="13" spans="1:10" ht="12" customHeight="1">
      <c r="A13" s="10" t="s">
        <v>46</v>
      </c>
      <c r="B13" s="51">
        <f>B12-B16-B21</f>
        <v>286642.24988575885</v>
      </c>
      <c r="C13" s="45">
        <f>B13/B$12</f>
        <v>0.16100168610408569</v>
      </c>
      <c r="D13" s="119">
        <f>+B13/Stabilized!$B$8</f>
        <v>2139.1212678041707</v>
      </c>
      <c r="E13" s="46">
        <f>+B13/Stabilized!$E$8</f>
        <v>1.9346673543358837</v>
      </c>
      <c r="F13" s="119">
        <f>F12-F16-F21</f>
        <v>666802.24988575885</v>
      </c>
      <c r="G13" s="45">
        <f>F13/F$12</f>
        <v>0.30862930259906785</v>
      </c>
      <c r="H13" s="119">
        <f>+F13/Stabilized!$B$8</f>
        <v>4976.1361931773044</v>
      </c>
      <c r="I13" s="46">
        <f>+F13/Stabilized!$E$8</f>
        <v>4.5005247662054035</v>
      </c>
      <c r="J13" s="1"/>
    </row>
    <row r="14" spans="1:10" ht="12" customHeight="1">
      <c r="A14" s="2" t="s">
        <v>33</v>
      </c>
      <c r="B14" s="47">
        <f>B12-B13</f>
        <v>1493725.7501142411</v>
      </c>
      <c r="C14" s="48">
        <f>B14/B14</f>
        <v>1</v>
      </c>
      <c r="D14" s="120">
        <f>+B14/Stabilized!$B$8</f>
        <v>11147.207090404785</v>
      </c>
      <c r="E14" s="50">
        <f>+B14/Stabilized!$E$8</f>
        <v>10.081774219357598</v>
      </c>
      <c r="F14" s="78">
        <f>F12-F13</f>
        <v>1493725.7501142411</v>
      </c>
      <c r="G14" s="48">
        <f>F14/F14</f>
        <v>1</v>
      </c>
      <c r="H14" s="120">
        <f>+F14/Stabilized!$B$8</f>
        <v>11147.207090404785</v>
      </c>
      <c r="I14" s="50">
        <f>+F14/Stabilized!$E$8</f>
        <v>10.081774219357598</v>
      </c>
      <c r="J14" s="1"/>
    </row>
    <row r="15" spans="1:10" ht="12" customHeight="1">
      <c r="A15" s="38" t="s">
        <v>34</v>
      </c>
      <c r="B15" s="76"/>
      <c r="C15" s="55"/>
      <c r="D15" s="120" t="s">
        <v>0</v>
      </c>
      <c r="E15" s="54">
        <f>+B15/Stabilized!$E$8</f>
        <v>0</v>
      </c>
      <c r="F15" s="120"/>
      <c r="G15" s="55"/>
      <c r="H15" s="120" t="s">
        <v>0</v>
      </c>
      <c r="I15" s="54">
        <f>+F15/Stabilized!$E$8</f>
        <v>0</v>
      </c>
      <c r="J15" s="1"/>
    </row>
    <row r="16" spans="1:10" ht="12" customHeight="1">
      <c r="A16" s="2" t="s">
        <v>35</v>
      </c>
      <c r="B16" s="57">
        <f>Stabilized!B31</f>
        <v>616400</v>
      </c>
      <c r="C16" s="58">
        <f>B16/B$12</f>
        <v>0.34622055664896245</v>
      </c>
      <c r="D16" s="121">
        <f>+B16/Stabilized!$B$8</f>
        <v>4600</v>
      </c>
      <c r="E16" s="60">
        <f>+B16/Stabilized!$E$8</f>
        <v>4.160339090583892</v>
      </c>
      <c r="F16" s="121">
        <f>Stabilized!F31</f>
        <v>616400</v>
      </c>
      <c r="G16" s="58">
        <f>F16/F$14</f>
        <v>0.41265941887448704</v>
      </c>
      <c r="H16" s="121">
        <f>+F16/Stabilized!$B$8</f>
        <v>4600</v>
      </c>
      <c r="I16" s="60">
        <f>+F16/Stabilized!$E$8</f>
        <v>4.160339090583892</v>
      </c>
      <c r="J16" s="1"/>
    </row>
    <row r="17" spans="1:10" ht="12" customHeight="1">
      <c r="A17" s="2" t="s">
        <v>36</v>
      </c>
      <c r="B17" s="29">
        <f>B14-B16</f>
        <v>877325.75011424115</v>
      </c>
      <c r="C17" s="27">
        <f>B17/B$12</f>
        <v>0.49277775724695183</v>
      </c>
      <c r="D17" s="30">
        <f>+B17/Stabilized!$B$8</f>
        <v>6547.207090404785</v>
      </c>
      <c r="E17" s="61">
        <f>+B17/Stabilized!$E$8</f>
        <v>5.921435128773707</v>
      </c>
      <c r="F17" s="29">
        <f>F14-F16</f>
        <v>877325.75011424115</v>
      </c>
      <c r="G17" s="27">
        <f>F17/F$14</f>
        <v>0.58734058112551291</v>
      </c>
      <c r="H17" s="30">
        <f>+F17/Stabilized!$B$8</f>
        <v>6547.207090404785</v>
      </c>
      <c r="I17" s="61">
        <f>+F17/Stabilized!$E$8</f>
        <v>5.921435128773707</v>
      </c>
      <c r="J17" s="1"/>
    </row>
    <row r="18" spans="1:10" ht="12" customHeight="1">
      <c r="A18" s="62" t="s">
        <v>7</v>
      </c>
      <c r="B18" s="63">
        <f>+Budget!B26</f>
        <v>8867813.25</v>
      </c>
      <c r="C18" s="64" t="s">
        <v>0</v>
      </c>
      <c r="D18" s="63" t="s">
        <v>0</v>
      </c>
      <c r="E18" s="65" t="s">
        <v>0</v>
      </c>
      <c r="F18" s="63">
        <f>+Stabilized!B33</f>
        <v>8867813.25</v>
      </c>
      <c r="G18" s="64" t="s">
        <v>0</v>
      </c>
      <c r="H18" s="63" t="s">
        <v>0</v>
      </c>
      <c r="I18" s="65" t="s">
        <v>0</v>
      </c>
      <c r="J18" s="1"/>
    </row>
    <row r="19" spans="1:10" ht="12" customHeight="1">
      <c r="A19" s="62" t="s">
        <v>37</v>
      </c>
      <c r="B19" s="66">
        <v>8.6499999999999994E-2</v>
      </c>
      <c r="C19" s="64"/>
      <c r="D19" s="63"/>
      <c r="E19" s="67"/>
      <c r="F19" s="66">
        <v>8.6499999999999994E-2</v>
      </c>
      <c r="G19" s="64"/>
      <c r="H19" s="63"/>
      <c r="I19" s="67"/>
      <c r="J19" s="1"/>
    </row>
    <row r="20" spans="1:10" ht="12" customHeight="1">
      <c r="A20" s="62" t="s">
        <v>38</v>
      </c>
      <c r="B20" s="62">
        <v>300</v>
      </c>
      <c r="C20" s="64"/>
      <c r="D20" s="63"/>
      <c r="E20" s="67"/>
      <c r="F20" s="62">
        <v>300</v>
      </c>
      <c r="G20" s="64"/>
      <c r="H20" s="63"/>
      <c r="I20" s="67"/>
      <c r="J20" s="1"/>
    </row>
    <row r="21" spans="1:10" ht="12" customHeight="1">
      <c r="A21" s="62" t="s">
        <v>39</v>
      </c>
      <c r="B21" s="12">
        <f>PMT(B19,B20/12,-B18)</f>
        <v>877325.75011424115</v>
      </c>
      <c r="C21" s="55" t="s">
        <v>0</v>
      </c>
      <c r="D21" s="12" t="s">
        <v>0</v>
      </c>
      <c r="E21" s="67" t="s">
        <v>0</v>
      </c>
      <c r="F21" s="12">
        <f>PMT(F19,F20/12,-F18)</f>
        <v>877325.75011424115</v>
      </c>
      <c r="G21" s="55" t="s">
        <v>0</v>
      </c>
      <c r="H21" s="12" t="s">
        <v>0</v>
      </c>
      <c r="I21" s="67" t="s">
        <v>0</v>
      </c>
      <c r="J21" s="1"/>
    </row>
    <row r="22" spans="1:10">
      <c r="A22" s="2" t="s">
        <v>41</v>
      </c>
      <c r="B22" s="69">
        <f>B17/B21</f>
        <v>1</v>
      </c>
      <c r="C22" s="48"/>
      <c r="D22" s="49"/>
      <c r="E22" s="68"/>
      <c r="F22" s="69">
        <f>F17/F21</f>
        <v>1</v>
      </c>
      <c r="G22" s="48"/>
      <c r="H22" s="49"/>
      <c r="I22" s="68"/>
      <c r="J22" s="1"/>
    </row>
    <row r="23" spans="1:10">
      <c r="A23" s="2" t="s">
        <v>43</v>
      </c>
      <c r="B23" s="70">
        <f>B17/B18</f>
        <v>9.8933719664680703E-2</v>
      </c>
      <c r="C23" s="48"/>
      <c r="D23" s="49"/>
      <c r="E23" s="68"/>
      <c r="F23" s="70">
        <f>F17/F18</f>
        <v>9.8933719664680703E-2</v>
      </c>
      <c r="G23" s="48"/>
      <c r="H23" s="49"/>
      <c r="I23" s="68"/>
      <c r="J23" s="1"/>
    </row>
  </sheetData>
  <pageMargins left="0.25" right="0.25" top="0.25" bottom="0.214" header="0.5" footer="0.5"/>
  <pageSetup scale="88" orientation="portrait" r:id="rId1"/>
  <headerFooter alignWithMargins="0">
    <oddFooter>&amp;L&amp;D&amp;C&amp;R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S33"/>
  <sheetViews>
    <sheetView defaultGridColor="0" colorId="22" zoomScale="80" workbookViewId="0">
      <selection activeCell="A27" sqref="A27"/>
    </sheetView>
  </sheetViews>
  <sheetFormatPr defaultColWidth="9.77734375" defaultRowHeight="15"/>
  <cols>
    <col min="1" max="1" width="24.88671875" customWidth="1"/>
    <col min="2" max="2" width="13.5546875" customWidth="1"/>
    <col min="3" max="3" width="10.109375" customWidth="1"/>
    <col min="4" max="4" width="10.44140625" customWidth="1"/>
    <col min="5" max="5" width="9.88671875" customWidth="1"/>
    <col min="6" max="6" width="10.21875" customWidth="1"/>
    <col min="7" max="7" width="10.77734375" customWidth="1"/>
    <col min="8" max="8" width="11.21875" customWidth="1"/>
    <col min="9" max="9" width="11.33203125" customWidth="1"/>
    <col min="10" max="10" width="0" hidden="1" customWidth="1"/>
    <col min="12" max="12" width="11" customWidth="1"/>
    <col min="13" max="13" width="0" hidden="1" customWidth="1"/>
  </cols>
  <sheetData>
    <row r="1" spans="1:19">
      <c r="A1" s="99"/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</row>
    <row r="2" spans="1:19">
      <c r="A2" s="99" t="s">
        <v>0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</row>
    <row r="3" spans="1:19">
      <c r="A3" s="99"/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</row>
    <row r="4" spans="1:19">
      <c r="A4" s="99" t="s">
        <v>72</v>
      </c>
      <c r="B4" s="100" t="s">
        <v>18</v>
      </c>
      <c r="C4" s="101">
        <v>0</v>
      </c>
      <c r="D4" s="101">
        <v>1</v>
      </c>
      <c r="E4" s="101">
        <v>2</v>
      </c>
      <c r="F4" s="101">
        <v>3</v>
      </c>
      <c r="G4" s="101">
        <v>4</v>
      </c>
      <c r="H4" s="101">
        <v>5</v>
      </c>
      <c r="I4" s="101">
        <v>6</v>
      </c>
      <c r="J4" s="101">
        <v>7</v>
      </c>
      <c r="K4" s="101">
        <v>7</v>
      </c>
      <c r="L4" s="101">
        <v>8</v>
      </c>
      <c r="M4" s="101"/>
      <c r="N4" s="101">
        <v>9</v>
      </c>
      <c r="O4" s="101">
        <v>10</v>
      </c>
      <c r="P4" s="101">
        <v>11</v>
      </c>
      <c r="Q4" s="101">
        <v>12</v>
      </c>
      <c r="R4" s="99"/>
      <c r="S4" s="99"/>
    </row>
    <row r="5" spans="1:19">
      <c r="A5" s="99" t="s">
        <v>73</v>
      </c>
      <c r="B5" s="104">
        <f>SUM(C5:Q5)</f>
        <v>1121670</v>
      </c>
      <c r="C5" s="104">
        <v>1121670</v>
      </c>
      <c r="D5" s="104">
        <v>0</v>
      </c>
      <c r="E5" s="104">
        <v>0</v>
      </c>
      <c r="F5" s="104">
        <v>0</v>
      </c>
      <c r="G5" s="104">
        <v>0</v>
      </c>
      <c r="H5" s="104">
        <v>0</v>
      </c>
      <c r="I5" s="104">
        <v>0</v>
      </c>
      <c r="J5" s="104">
        <v>0</v>
      </c>
      <c r="K5" s="104">
        <v>0</v>
      </c>
      <c r="L5" s="104">
        <v>0</v>
      </c>
      <c r="M5" s="104"/>
      <c r="N5" s="104">
        <v>0</v>
      </c>
      <c r="O5" s="104">
        <v>0</v>
      </c>
      <c r="P5" s="104">
        <v>0</v>
      </c>
      <c r="Q5" s="104">
        <v>0</v>
      </c>
      <c r="R5" s="99"/>
      <c r="S5" s="99"/>
    </row>
    <row r="6" spans="1:19">
      <c r="A6" s="99" t="s">
        <v>61</v>
      </c>
      <c r="B6" s="104">
        <f>SUM(C6:Q6)</f>
        <v>627030</v>
      </c>
      <c r="C6" s="104"/>
      <c r="D6" s="104">
        <v>135770</v>
      </c>
      <c r="E6" s="104">
        <v>98252</v>
      </c>
      <c r="F6" s="104">
        <v>98252</v>
      </c>
      <c r="G6" s="104">
        <v>98252</v>
      </c>
      <c r="H6" s="104">
        <v>98252</v>
      </c>
      <c r="I6" s="104">
        <v>98252</v>
      </c>
      <c r="J6" s="104"/>
      <c r="K6" s="104">
        <v>0</v>
      </c>
      <c r="L6" s="104">
        <v>0</v>
      </c>
      <c r="M6" s="104"/>
      <c r="N6" s="104">
        <v>0</v>
      </c>
      <c r="O6" s="104">
        <v>0</v>
      </c>
      <c r="P6" s="104">
        <v>0</v>
      </c>
      <c r="Q6" s="104">
        <v>0</v>
      </c>
      <c r="R6" s="99"/>
      <c r="S6" s="99"/>
    </row>
    <row r="7" spans="1:19">
      <c r="A7" s="99" t="s">
        <v>62</v>
      </c>
      <c r="B7" s="104">
        <f>SUM(C7:Q7)</f>
        <v>785645</v>
      </c>
      <c r="C7" s="104">
        <v>0</v>
      </c>
      <c r="D7" s="104">
        <v>0</v>
      </c>
      <c r="E7" s="104">
        <v>20543</v>
      </c>
      <c r="F7" s="104">
        <v>20543</v>
      </c>
      <c r="G7" s="104">
        <v>20543</v>
      </c>
      <c r="H7" s="104">
        <v>20543</v>
      </c>
      <c r="I7" s="104">
        <v>13843</v>
      </c>
      <c r="J7" s="104">
        <v>0</v>
      </c>
      <c r="K7" s="104">
        <v>106543</v>
      </c>
      <c r="L7" s="104">
        <v>0</v>
      </c>
      <c r="M7" s="104"/>
      <c r="N7" s="104">
        <v>0</v>
      </c>
      <c r="O7" s="104">
        <v>0</v>
      </c>
      <c r="P7" s="104">
        <v>0</v>
      </c>
      <c r="Q7" s="104">
        <v>583087</v>
      </c>
      <c r="R7" s="99"/>
      <c r="S7" s="99"/>
    </row>
    <row r="8" spans="1:19">
      <c r="A8" s="99" t="s">
        <v>0</v>
      </c>
      <c r="B8" s="104" t="s">
        <v>0</v>
      </c>
      <c r="C8" s="104" t="s">
        <v>0</v>
      </c>
      <c r="D8" s="104" t="s">
        <v>0</v>
      </c>
      <c r="E8" s="104" t="s">
        <v>48</v>
      </c>
      <c r="F8" s="104" t="s">
        <v>0</v>
      </c>
      <c r="G8" s="104" t="s">
        <v>0</v>
      </c>
      <c r="H8" s="104" t="s">
        <v>0</v>
      </c>
      <c r="I8" s="104" t="s">
        <v>0</v>
      </c>
      <c r="J8" s="104">
        <v>0</v>
      </c>
      <c r="K8" s="104" t="s">
        <v>0</v>
      </c>
      <c r="L8" s="104" t="s">
        <v>0</v>
      </c>
      <c r="M8" s="104"/>
      <c r="N8" s="104" t="s">
        <v>0</v>
      </c>
      <c r="O8" s="104" t="s">
        <v>0</v>
      </c>
      <c r="P8" s="104"/>
      <c r="Q8" s="104" t="s">
        <v>0</v>
      </c>
      <c r="R8" s="99"/>
      <c r="S8" s="99"/>
    </row>
    <row r="9" spans="1:19">
      <c r="A9" s="99" t="s">
        <v>80</v>
      </c>
      <c r="B9" s="104">
        <f>SUM(C9:Q9)</f>
        <v>7929823</v>
      </c>
      <c r="C9" s="104">
        <v>0</v>
      </c>
      <c r="D9" s="104">
        <v>290552</v>
      </c>
      <c r="E9" s="104">
        <v>110245</v>
      </c>
      <c r="F9" s="104">
        <v>363821</v>
      </c>
      <c r="G9" s="104">
        <v>792926</v>
      </c>
      <c r="H9" s="104">
        <v>917671</v>
      </c>
      <c r="I9" s="104">
        <v>1248636</v>
      </c>
      <c r="J9" s="104">
        <v>0</v>
      </c>
      <c r="K9" s="104">
        <v>1288465</v>
      </c>
      <c r="L9" s="104">
        <v>1097973</v>
      </c>
      <c r="M9" s="104"/>
      <c r="N9" s="104">
        <v>947482</v>
      </c>
      <c r="O9" s="104">
        <v>564905</v>
      </c>
      <c r="P9" s="104">
        <v>252233</v>
      </c>
      <c r="Q9" s="104">
        <v>54914</v>
      </c>
      <c r="R9" s="99"/>
      <c r="S9" s="99"/>
    </row>
    <row r="10" spans="1:19">
      <c r="A10" s="99" t="s">
        <v>81</v>
      </c>
      <c r="B10" s="104">
        <f>SUM(C10:Q10)</f>
        <v>830000</v>
      </c>
      <c r="C10" s="104">
        <v>0</v>
      </c>
      <c r="D10" s="104">
        <v>0</v>
      </c>
      <c r="E10" s="104">
        <v>0</v>
      </c>
      <c r="F10" s="104">
        <v>0</v>
      </c>
      <c r="G10" s="104">
        <v>0</v>
      </c>
      <c r="H10" s="104">
        <v>0</v>
      </c>
      <c r="I10" s="104">
        <v>0</v>
      </c>
      <c r="J10" s="104">
        <v>0</v>
      </c>
      <c r="K10" s="104">
        <v>0</v>
      </c>
      <c r="L10" s="104">
        <v>0</v>
      </c>
      <c r="M10" s="104"/>
      <c r="N10" s="104">
        <v>0</v>
      </c>
      <c r="O10" s="104">
        <v>0</v>
      </c>
      <c r="P10" s="104">
        <v>0</v>
      </c>
      <c r="Q10" s="104">
        <v>830000</v>
      </c>
      <c r="R10" s="99"/>
      <c r="S10" s="99"/>
    </row>
    <row r="11" spans="1:19">
      <c r="A11" s="102" t="s">
        <v>0</v>
      </c>
      <c r="B11" s="104" t="s">
        <v>0</v>
      </c>
      <c r="C11" s="104" t="s">
        <v>0</v>
      </c>
      <c r="D11" s="104" t="s">
        <v>0</v>
      </c>
      <c r="E11" s="104" t="s">
        <v>0</v>
      </c>
      <c r="F11" s="104" t="s">
        <v>0</v>
      </c>
      <c r="G11" s="104" t="s">
        <v>0</v>
      </c>
      <c r="H11" s="104" t="s">
        <v>0</v>
      </c>
      <c r="I11" s="104" t="s">
        <v>0</v>
      </c>
      <c r="J11" s="104">
        <v>0</v>
      </c>
      <c r="K11" s="104" t="s">
        <v>0</v>
      </c>
      <c r="L11" s="104" t="s">
        <v>0</v>
      </c>
      <c r="M11" s="104"/>
      <c r="N11" s="104" t="s">
        <v>0</v>
      </c>
      <c r="O11" s="104"/>
      <c r="P11" s="104"/>
      <c r="Q11" s="104"/>
      <c r="R11" s="99"/>
      <c r="S11" s="99"/>
    </row>
    <row r="12" spans="1:19">
      <c r="A12" s="99" t="s">
        <v>82</v>
      </c>
      <c r="B12" s="104">
        <f>SUM(C12:Q12)</f>
        <v>145313</v>
      </c>
      <c r="C12" s="104">
        <v>145313</v>
      </c>
      <c r="D12" s="104">
        <v>0</v>
      </c>
      <c r="E12" s="104">
        <v>0</v>
      </c>
      <c r="F12" s="104">
        <v>0</v>
      </c>
      <c r="G12" s="104">
        <v>0</v>
      </c>
      <c r="H12" s="104">
        <v>0</v>
      </c>
      <c r="I12" s="104">
        <v>0</v>
      </c>
      <c r="J12" s="104">
        <v>0</v>
      </c>
      <c r="K12" s="104">
        <v>0</v>
      </c>
      <c r="L12" s="104">
        <v>0</v>
      </c>
      <c r="M12" s="104"/>
      <c r="N12" s="104">
        <v>0</v>
      </c>
      <c r="O12" s="104">
        <v>0</v>
      </c>
      <c r="P12" s="104">
        <v>0</v>
      </c>
      <c r="Q12" s="104">
        <v>0</v>
      </c>
      <c r="R12" s="99"/>
      <c r="S12" s="99"/>
    </row>
    <row r="13" spans="1:19">
      <c r="A13" s="99" t="s">
        <v>83</v>
      </c>
      <c r="B13" s="105">
        <f>SUM(D13:Q13)</f>
        <v>421725</v>
      </c>
      <c r="C13" s="105">
        <v>0</v>
      </c>
      <c r="D13" s="105">
        <v>3053</v>
      </c>
      <c r="E13" s="105">
        <v>4982</v>
      </c>
      <c r="F13" s="105">
        <v>7206</v>
      </c>
      <c r="G13" s="105">
        <v>12134</v>
      </c>
      <c r="H13" s="105">
        <v>19519</v>
      </c>
      <c r="I13" s="105">
        <v>28682</v>
      </c>
      <c r="J13" s="105">
        <v>0</v>
      </c>
      <c r="K13" s="105">
        <v>38744</v>
      </c>
      <c r="L13" s="105">
        <v>48930</v>
      </c>
      <c r="M13" s="105"/>
      <c r="N13" s="105">
        <v>57516</v>
      </c>
      <c r="O13" s="105">
        <v>63652</v>
      </c>
      <c r="P13" s="105">
        <v>67554</v>
      </c>
      <c r="Q13" s="105">
        <v>69753</v>
      </c>
      <c r="R13" s="99"/>
      <c r="S13" s="99"/>
    </row>
    <row r="14" spans="1:19">
      <c r="A14" s="99" t="s">
        <v>18</v>
      </c>
      <c r="B14" s="103">
        <f>SUM(B5:B13)</f>
        <v>11861206</v>
      </c>
      <c r="C14" s="103">
        <f>SUM(C5:C13)</f>
        <v>1266983</v>
      </c>
      <c r="D14" s="103">
        <f t="shared" ref="D14:Q14" si="0">SUM(D5:D13)</f>
        <v>429375</v>
      </c>
      <c r="E14" s="103">
        <f t="shared" si="0"/>
        <v>234022</v>
      </c>
      <c r="F14" s="103">
        <f t="shared" si="0"/>
        <v>489822</v>
      </c>
      <c r="G14" s="103">
        <f t="shared" si="0"/>
        <v>923855</v>
      </c>
      <c r="H14" s="103">
        <f t="shared" si="0"/>
        <v>1055985</v>
      </c>
      <c r="I14" s="103">
        <f t="shared" si="0"/>
        <v>1389413</v>
      </c>
      <c r="J14" s="103">
        <f t="shared" si="0"/>
        <v>0</v>
      </c>
      <c r="K14" s="103">
        <f t="shared" si="0"/>
        <v>1433752</v>
      </c>
      <c r="L14" s="103">
        <f t="shared" si="0"/>
        <v>1146903</v>
      </c>
      <c r="M14" s="103">
        <f t="shared" si="0"/>
        <v>0</v>
      </c>
      <c r="N14" s="103">
        <f t="shared" si="0"/>
        <v>1004998</v>
      </c>
      <c r="O14" s="103">
        <f t="shared" si="0"/>
        <v>628557</v>
      </c>
      <c r="P14" s="103">
        <f t="shared" si="0"/>
        <v>319787</v>
      </c>
      <c r="Q14" s="103">
        <f t="shared" si="0"/>
        <v>1537754</v>
      </c>
      <c r="R14" s="99"/>
      <c r="S14" s="99"/>
    </row>
    <row r="15" spans="1:19">
      <c r="A15" s="99"/>
      <c r="B15" s="102" t="s">
        <v>0</v>
      </c>
      <c r="C15" s="99" t="s">
        <v>0</v>
      </c>
      <c r="D15" s="99" t="s">
        <v>0</v>
      </c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</row>
    <row r="16" spans="1:19">
      <c r="A16" s="99" t="s">
        <v>74</v>
      </c>
      <c r="B16" s="102" t="s">
        <v>0</v>
      </c>
      <c r="C16" s="102">
        <v>1121670</v>
      </c>
      <c r="D16" s="102">
        <v>429375</v>
      </c>
      <c r="E16" s="102">
        <v>234022</v>
      </c>
      <c r="F16" s="102">
        <v>226369</v>
      </c>
      <c r="G16" s="102">
        <v>0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  <c r="P16" s="102">
        <v>0</v>
      </c>
      <c r="Q16" s="102">
        <v>1340957</v>
      </c>
      <c r="R16" s="99"/>
      <c r="S16" s="99"/>
    </row>
    <row r="17" spans="1:19">
      <c r="A17" s="99" t="s">
        <v>75</v>
      </c>
      <c r="B17" s="102" t="s">
        <v>0</v>
      </c>
      <c r="C17" s="102">
        <f>+C14-C16</f>
        <v>145313</v>
      </c>
      <c r="D17" s="102">
        <f>+C17+D14-D16</f>
        <v>145313</v>
      </c>
      <c r="E17" s="102">
        <f>+D17+E14-E16</f>
        <v>145313</v>
      </c>
      <c r="F17" s="102">
        <f>+E17+F14+F16</f>
        <v>861504</v>
      </c>
      <c r="G17" s="102">
        <f>+F17+G14-G16</f>
        <v>1785359</v>
      </c>
      <c r="H17" s="102">
        <f>+G17+H14-H16</f>
        <v>2841344</v>
      </c>
      <c r="I17" s="102">
        <f t="shared" ref="I17:Q17" si="1">+H17+I14-I16</f>
        <v>4230757</v>
      </c>
      <c r="J17" s="102">
        <f t="shared" si="1"/>
        <v>4230757</v>
      </c>
      <c r="K17" s="102">
        <f t="shared" si="1"/>
        <v>5664509</v>
      </c>
      <c r="L17" s="102">
        <f t="shared" si="1"/>
        <v>6811412</v>
      </c>
      <c r="M17" s="102">
        <f t="shared" si="1"/>
        <v>6811412</v>
      </c>
      <c r="N17" s="102">
        <f t="shared" si="1"/>
        <v>7816410</v>
      </c>
      <c r="O17" s="102">
        <f t="shared" si="1"/>
        <v>8444967</v>
      </c>
      <c r="P17" s="102">
        <f t="shared" si="1"/>
        <v>8764754</v>
      </c>
      <c r="Q17" s="102">
        <f t="shared" si="1"/>
        <v>8961551</v>
      </c>
      <c r="R17" s="99"/>
      <c r="S17" s="99"/>
    </row>
    <row r="18" spans="1:19">
      <c r="A18" s="99" t="s">
        <v>84</v>
      </c>
      <c r="B18" s="102">
        <f>SUM(C18:Q18)</f>
        <v>486673.23441666662</v>
      </c>
      <c r="C18" s="102">
        <v>0</v>
      </c>
      <c r="D18" s="102">
        <f>+D17*(0.0865/12)</f>
        <v>1047.4645416666667</v>
      </c>
      <c r="E18" s="102">
        <f>+E17*(0.0865/12)</f>
        <v>1047.4645416666667</v>
      </c>
      <c r="F18" s="102">
        <f>+F17*(0.0865/12)</f>
        <v>6210.0079999999998</v>
      </c>
      <c r="G18" s="102">
        <f>+G17*(0.0865/12)</f>
        <v>12869.462791666667</v>
      </c>
      <c r="H18" s="102">
        <f>+H17*(0.0865/12)</f>
        <v>20481.354666666666</v>
      </c>
      <c r="I18" s="102">
        <f t="shared" ref="I18:Q18" si="2">+I17*(0.0865/12)</f>
        <v>30496.706708333331</v>
      </c>
      <c r="J18" s="102">
        <f t="shared" si="2"/>
        <v>30496.706708333331</v>
      </c>
      <c r="K18" s="102">
        <f t="shared" si="2"/>
        <v>40831.669041666668</v>
      </c>
      <c r="L18" s="102">
        <f t="shared" si="2"/>
        <v>49098.928166666665</v>
      </c>
      <c r="M18" s="102">
        <f t="shared" si="2"/>
        <v>49098.928166666665</v>
      </c>
      <c r="N18" s="102">
        <f t="shared" si="2"/>
        <v>56343.28875</v>
      </c>
      <c r="O18" s="102">
        <f t="shared" si="2"/>
        <v>60874.137125000001</v>
      </c>
      <c r="P18" s="102">
        <f t="shared" si="2"/>
        <v>63179.268416666666</v>
      </c>
      <c r="Q18" s="102">
        <f t="shared" si="2"/>
        <v>64597.846791666663</v>
      </c>
      <c r="R18" s="99"/>
      <c r="S18" s="99"/>
    </row>
    <row r="19" spans="1:19">
      <c r="A19" s="99" t="s">
        <v>0</v>
      </c>
      <c r="B19" s="99"/>
      <c r="C19" s="99" t="s">
        <v>0</v>
      </c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</row>
    <row r="20" spans="1:19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</row>
    <row r="21" spans="1:19">
      <c r="A21" s="99" t="s">
        <v>76</v>
      </c>
      <c r="B21" s="102">
        <f>+C21</f>
        <v>666632</v>
      </c>
      <c r="C21" s="102">
        <v>666632</v>
      </c>
      <c r="D21" s="102">
        <f>+C23</f>
        <v>521319</v>
      </c>
      <c r="E21" s="102">
        <f>+D23</f>
        <v>520271.53545833332</v>
      </c>
      <c r="F21" s="102">
        <f t="shared" ref="F21:Q21" si="3">+E23</f>
        <v>519224.07091666665</v>
      </c>
      <c r="G21" s="102">
        <f t="shared" si="3"/>
        <v>513014.06291666668</v>
      </c>
      <c r="H21" s="102">
        <f t="shared" si="3"/>
        <v>500144.600125</v>
      </c>
      <c r="I21" s="102">
        <f t="shared" si="3"/>
        <v>479663.24545833335</v>
      </c>
      <c r="J21" s="102">
        <f t="shared" si="3"/>
        <v>449166.53875000001</v>
      </c>
      <c r="K21" s="102">
        <f t="shared" si="3"/>
        <v>418669.83204166667</v>
      </c>
      <c r="L21" s="102">
        <f t="shared" si="3"/>
        <v>377838.163</v>
      </c>
      <c r="M21" s="102">
        <f t="shared" si="3"/>
        <v>328739.23483333335</v>
      </c>
      <c r="N21" s="102">
        <f t="shared" si="3"/>
        <v>279640.3066666667</v>
      </c>
      <c r="O21" s="102">
        <f t="shared" si="3"/>
        <v>223297.01791666669</v>
      </c>
      <c r="P21" s="102">
        <f t="shared" si="3"/>
        <v>162422.88079166668</v>
      </c>
      <c r="Q21" s="102">
        <f t="shared" si="3"/>
        <v>99243.612375000026</v>
      </c>
      <c r="R21" s="99"/>
      <c r="S21" s="99"/>
    </row>
    <row r="22" spans="1:19">
      <c r="A22" s="99" t="s">
        <v>77</v>
      </c>
      <c r="B22" s="99"/>
      <c r="C22" s="102">
        <f>+C17</f>
        <v>145313</v>
      </c>
      <c r="D22" s="102">
        <f>+D18</f>
        <v>1047.4645416666667</v>
      </c>
      <c r="E22" s="102">
        <f>+E18</f>
        <v>1047.4645416666667</v>
      </c>
      <c r="F22" s="102">
        <f t="shared" ref="F22:Q22" si="4">+F18</f>
        <v>6210.0079999999998</v>
      </c>
      <c r="G22" s="102">
        <f t="shared" si="4"/>
        <v>12869.462791666667</v>
      </c>
      <c r="H22" s="102">
        <f t="shared" si="4"/>
        <v>20481.354666666666</v>
      </c>
      <c r="I22" s="102">
        <f t="shared" si="4"/>
        <v>30496.706708333331</v>
      </c>
      <c r="J22" s="102">
        <f t="shared" si="4"/>
        <v>30496.706708333331</v>
      </c>
      <c r="K22" s="102">
        <f t="shared" si="4"/>
        <v>40831.669041666668</v>
      </c>
      <c r="L22" s="102">
        <f t="shared" si="4"/>
        <v>49098.928166666665</v>
      </c>
      <c r="M22" s="102">
        <f t="shared" si="4"/>
        <v>49098.928166666665</v>
      </c>
      <c r="N22" s="102">
        <f t="shared" si="4"/>
        <v>56343.28875</v>
      </c>
      <c r="O22" s="102">
        <f t="shared" si="4"/>
        <v>60874.137125000001</v>
      </c>
      <c r="P22" s="102">
        <f t="shared" si="4"/>
        <v>63179.268416666666</v>
      </c>
      <c r="Q22" s="102">
        <f t="shared" si="4"/>
        <v>64597.846791666663</v>
      </c>
      <c r="R22" s="99"/>
      <c r="S22" s="99"/>
    </row>
    <row r="23" spans="1:19">
      <c r="A23" s="99" t="s">
        <v>78</v>
      </c>
      <c r="B23" s="99"/>
      <c r="C23" s="102">
        <f>+C21-C22</f>
        <v>521319</v>
      </c>
      <c r="D23" s="102">
        <f>+D21-D22</f>
        <v>520271.53545833332</v>
      </c>
      <c r="E23" s="102">
        <f>+E21-E22</f>
        <v>519224.07091666665</v>
      </c>
      <c r="F23" s="102">
        <f t="shared" ref="F23:Q23" si="5">+F21-F22</f>
        <v>513014.06291666668</v>
      </c>
      <c r="G23" s="102">
        <f t="shared" si="5"/>
        <v>500144.600125</v>
      </c>
      <c r="H23" s="102">
        <f t="shared" si="5"/>
        <v>479663.24545833335</v>
      </c>
      <c r="I23" s="102">
        <f t="shared" si="5"/>
        <v>449166.53875000001</v>
      </c>
      <c r="J23" s="102">
        <f t="shared" si="5"/>
        <v>418669.83204166667</v>
      </c>
      <c r="K23" s="102">
        <f t="shared" si="5"/>
        <v>377838.163</v>
      </c>
      <c r="L23" s="102">
        <f t="shared" si="5"/>
        <v>328739.23483333335</v>
      </c>
      <c r="M23" s="102">
        <f t="shared" si="5"/>
        <v>279640.3066666667</v>
      </c>
      <c r="N23" s="102">
        <f t="shared" si="5"/>
        <v>223297.01791666669</v>
      </c>
      <c r="O23" s="102">
        <f t="shared" si="5"/>
        <v>162422.88079166668</v>
      </c>
      <c r="P23" s="102">
        <f t="shared" si="5"/>
        <v>99243.612375000026</v>
      </c>
      <c r="Q23" s="102">
        <f t="shared" si="5"/>
        <v>34645.765583333363</v>
      </c>
      <c r="R23" s="99"/>
      <c r="S23" s="99"/>
    </row>
    <row r="24" spans="1:19" ht="15.75" thickBot="1">
      <c r="A24" s="99"/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</row>
    <row r="25" spans="1:19" ht="15.75" thickBot="1">
      <c r="A25" s="99" t="s">
        <v>79</v>
      </c>
      <c r="B25" s="106">
        <f>+B21/B18</f>
        <v>1.3697732952152886</v>
      </c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</row>
    <row r="26" spans="1:19">
      <c r="A26" s="99"/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</row>
    <row r="27" spans="1:19">
      <c r="A27" s="99"/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</row>
    <row r="28" spans="1:19">
      <c r="A28" s="99"/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</row>
    <row r="29" spans="1:19">
      <c r="A29" s="99"/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</row>
    <row r="30" spans="1:19">
      <c r="A30" s="99"/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</row>
    <row r="31" spans="1:19">
      <c r="A31" s="99"/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</row>
    <row r="32" spans="1:19">
      <c r="A32" s="99"/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</row>
    <row r="33" spans="1:19">
      <c r="A33" s="99"/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</row>
  </sheetData>
  <pageMargins left="0.25" right="0.25" top="0.25" bottom="0.214" header="0.5" footer="0.5"/>
  <pageSetup scale="65" orientation="landscape" r:id="rId1"/>
  <headerFooter alignWithMargins="0">
    <oddFooter>&amp;L&amp;D&amp;C&amp;R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5:I18"/>
  <sheetViews>
    <sheetView defaultGridColor="0" colorId="22" zoomScale="80" workbookViewId="0">
      <selection activeCell="A11" sqref="A11"/>
    </sheetView>
  </sheetViews>
  <sheetFormatPr defaultColWidth="9.77734375" defaultRowHeight="15"/>
  <sheetData>
    <row r="5" spans="1:9">
      <c r="A5" s="1" t="s">
        <v>91</v>
      </c>
      <c r="B5" s="1"/>
      <c r="C5" s="1"/>
      <c r="D5" s="1"/>
      <c r="E5" s="1"/>
      <c r="F5" s="1"/>
      <c r="G5" s="1"/>
      <c r="H5" s="1"/>
      <c r="I5" s="1"/>
    </row>
    <row r="6" spans="1:9">
      <c r="A6" s="2" t="s">
        <v>0</v>
      </c>
      <c r="B6" s="1"/>
      <c r="C6" s="1"/>
      <c r="D6" s="13" t="s">
        <v>9</v>
      </c>
      <c r="E6" s="1"/>
      <c r="F6" s="1"/>
      <c r="G6" s="13" t="s">
        <v>10</v>
      </c>
      <c r="H6" s="1"/>
      <c r="I6" s="1"/>
    </row>
    <row r="7" spans="1:9">
      <c r="A7" s="14" t="s">
        <v>11</v>
      </c>
      <c r="B7" s="15" t="s">
        <v>12</v>
      </c>
      <c r="C7" s="15" t="s">
        <v>14</v>
      </c>
      <c r="D7" s="16" t="s">
        <v>16</v>
      </c>
      <c r="E7" s="17" t="s">
        <v>17</v>
      </c>
      <c r="F7" s="18" t="s">
        <v>90</v>
      </c>
      <c r="G7" s="17" t="s">
        <v>16</v>
      </c>
      <c r="H7" s="17" t="s">
        <v>17</v>
      </c>
      <c r="I7" s="18" t="s">
        <v>90</v>
      </c>
    </row>
    <row r="8" spans="1:9">
      <c r="A8" s="19" t="s">
        <v>52</v>
      </c>
      <c r="B8" s="3">
        <v>73</v>
      </c>
      <c r="C8" s="21">
        <v>1016</v>
      </c>
      <c r="D8" s="23">
        <v>950</v>
      </c>
      <c r="E8" s="12">
        <f>D8*B8</f>
        <v>69350</v>
      </c>
      <c r="F8" s="112">
        <f>+D8/2</f>
        <v>475</v>
      </c>
      <c r="G8" s="23">
        <v>1150</v>
      </c>
      <c r="H8" s="12">
        <f>G8*B8</f>
        <v>83950</v>
      </c>
      <c r="I8" s="112">
        <f>+G8/2</f>
        <v>575</v>
      </c>
    </row>
    <row r="9" spans="1:9">
      <c r="A9" s="19" t="s">
        <v>53</v>
      </c>
      <c r="B9" s="87">
        <v>61</v>
      </c>
      <c r="C9" s="89">
        <v>1213</v>
      </c>
      <c r="D9" s="24">
        <v>1250</v>
      </c>
      <c r="E9" s="25">
        <f>D9*B9</f>
        <v>76250</v>
      </c>
      <c r="F9" s="113">
        <f>+D9/3</f>
        <v>416.66666666666669</v>
      </c>
      <c r="G9" s="24">
        <v>1530</v>
      </c>
      <c r="H9" s="25">
        <f>G9*B9</f>
        <v>93330</v>
      </c>
      <c r="I9" s="113">
        <f>+G9/3</f>
        <v>510</v>
      </c>
    </row>
    <row r="10" spans="1:9">
      <c r="A10" s="26" t="s">
        <v>18</v>
      </c>
      <c r="B10" s="5">
        <f>SUM(B8:B9)</f>
        <v>134</v>
      </c>
      <c r="C10" s="28" t="s">
        <v>0</v>
      </c>
      <c r="D10" s="29" t="s">
        <v>0</v>
      </c>
      <c r="E10" s="30" t="s">
        <v>0</v>
      </c>
      <c r="F10" s="114" t="s">
        <v>0</v>
      </c>
      <c r="G10" s="29" t="s">
        <v>0</v>
      </c>
      <c r="H10" s="30" t="s">
        <v>0</v>
      </c>
      <c r="I10" s="114" t="s">
        <v>0</v>
      </c>
    </row>
    <row r="11" spans="1:9">
      <c r="A11" s="1"/>
      <c r="B11" s="1"/>
      <c r="C11" s="32"/>
      <c r="D11" s="1"/>
      <c r="E11" s="1"/>
      <c r="F11" s="34"/>
      <c r="G11" s="1"/>
      <c r="H11" s="1"/>
      <c r="I11" s="34"/>
    </row>
    <row r="12" spans="1:9">
      <c r="F12" s="115"/>
      <c r="I12" s="115"/>
    </row>
    <row r="13" spans="1:9">
      <c r="A13" t="s">
        <v>92</v>
      </c>
      <c r="F13" s="115"/>
      <c r="I13" s="115"/>
    </row>
    <row r="14" spans="1:9">
      <c r="A14" s="2" t="s">
        <v>0</v>
      </c>
      <c r="B14" s="1"/>
      <c r="C14" s="1"/>
      <c r="D14" s="13" t="s">
        <v>9</v>
      </c>
      <c r="E14" s="1"/>
      <c r="F14" s="34"/>
      <c r="G14" s="13" t="s">
        <v>10</v>
      </c>
      <c r="H14" s="1"/>
      <c r="I14" s="34"/>
    </row>
    <row r="15" spans="1:9">
      <c r="A15" s="14" t="s">
        <v>11</v>
      </c>
      <c r="B15" s="15" t="s">
        <v>12</v>
      </c>
      <c r="C15" s="15" t="s">
        <v>14</v>
      </c>
      <c r="D15" s="16" t="s">
        <v>16</v>
      </c>
      <c r="E15" s="17" t="s">
        <v>17</v>
      </c>
      <c r="F15" s="116" t="s">
        <v>90</v>
      </c>
      <c r="G15" s="17" t="s">
        <v>16</v>
      </c>
      <c r="H15" s="17" t="s">
        <v>17</v>
      </c>
      <c r="I15" s="116" t="s">
        <v>90</v>
      </c>
    </row>
    <row r="16" spans="1:9">
      <c r="A16" s="19" t="s">
        <v>53</v>
      </c>
      <c r="B16" s="87">
        <v>28</v>
      </c>
      <c r="C16" s="89">
        <v>1310</v>
      </c>
      <c r="D16" s="24">
        <v>1250</v>
      </c>
      <c r="E16" s="25">
        <f>D16*B16</f>
        <v>35000</v>
      </c>
      <c r="F16" s="113">
        <f>+D16/3</f>
        <v>416.66666666666669</v>
      </c>
      <c r="G16" s="24">
        <v>1250</v>
      </c>
      <c r="H16" s="25">
        <f>G16*B16</f>
        <v>35000</v>
      </c>
      <c r="I16" s="113">
        <f>+G16/3</f>
        <v>416.66666666666669</v>
      </c>
    </row>
    <row r="17" spans="1:9">
      <c r="A17" s="26" t="s">
        <v>18</v>
      </c>
      <c r="B17" s="5">
        <f>SUM(B16:B16)</f>
        <v>28</v>
      </c>
      <c r="C17" s="28" t="s">
        <v>0</v>
      </c>
      <c r="D17" s="29" t="s">
        <v>0</v>
      </c>
      <c r="E17" s="30" t="s">
        <v>0</v>
      </c>
      <c r="F17" s="114" t="s">
        <v>0</v>
      </c>
      <c r="G17" s="29" t="s">
        <v>0</v>
      </c>
      <c r="H17" s="30" t="s">
        <v>0</v>
      </c>
      <c r="I17" s="114" t="s">
        <v>0</v>
      </c>
    </row>
    <row r="18" spans="1:9">
      <c r="A18" s="1"/>
      <c r="B18" s="1"/>
      <c r="C18" s="32"/>
      <c r="D18" s="1"/>
      <c r="E18" s="1"/>
      <c r="F18" s="1"/>
      <c r="G18" s="1"/>
      <c r="H18" s="1"/>
      <c r="I18" s="1"/>
    </row>
  </sheetData>
  <pageMargins left="0.25" right="0.25" top="0.25" bottom="0.214" header="0.5" footer="0.5"/>
  <pageSetup scale="96" orientation="portrait" r:id="rId1"/>
  <headerFooter alignWithMargins="0">
    <oddFooter>&amp;L&amp;D&amp;C&amp;R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O49"/>
  <sheetViews>
    <sheetView tabSelected="1" defaultGridColor="0" colorId="22" zoomScale="80" workbookViewId="0">
      <selection activeCell="C27" sqref="C27"/>
    </sheetView>
  </sheetViews>
  <sheetFormatPr defaultColWidth="9.77734375" defaultRowHeight="15"/>
  <cols>
    <col min="1" max="1" width="20.109375" customWidth="1"/>
    <col min="2" max="2" width="11.6640625" customWidth="1"/>
    <col min="3" max="3" width="6.77734375" customWidth="1"/>
    <col min="4" max="5" width="8.77734375" customWidth="1"/>
    <col min="6" max="6" width="11.88671875" customWidth="1"/>
    <col min="7" max="9" width="7.77734375" customWidth="1"/>
    <col min="10" max="10" width="11.88671875" customWidth="1"/>
    <col min="13" max="14" width="7.77734375" customWidth="1"/>
  </cols>
  <sheetData>
    <row r="1" spans="1:15" ht="22.5">
      <c r="A1" s="6" t="s">
        <v>93</v>
      </c>
      <c r="B1" s="4"/>
      <c r="C1" s="4"/>
      <c r="D1" s="4"/>
      <c r="E1" s="4"/>
      <c r="F1" s="4"/>
      <c r="G1" s="4"/>
      <c r="H1" s="4"/>
      <c r="I1" s="4"/>
      <c r="J1" s="4"/>
      <c r="K1" s="4"/>
      <c r="L1" s="1"/>
      <c r="M1" s="1"/>
      <c r="N1" s="1"/>
      <c r="O1" s="1"/>
    </row>
    <row r="2" spans="1:15" ht="18.75">
      <c r="A2" s="7" t="s">
        <v>8</v>
      </c>
      <c r="B2" s="4"/>
      <c r="C2" s="4"/>
      <c r="D2" s="4"/>
      <c r="E2" s="4"/>
      <c r="F2" s="4"/>
      <c r="G2" s="4"/>
      <c r="H2" s="4"/>
      <c r="I2" s="4"/>
      <c r="J2" s="4"/>
      <c r="K2" s="4"/>
      <c r="L2" s="1"/>
      <c r="M2" s="1"/>
      <c r="N2" s="1"/>
      <c r="O2" s="1"/>
    </row>
    <row r="3" spans="1: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>
      <c r="A4" s="2" t="s">
        <v>0</v>
      </c>
      <c r="B4" s="1"/>
      <c r="C4" s="1"/>
      <c r="D4" s="1"/>
      <c r="E4" s="1"/>
      <c r="F4" s="13" t="s">
        <v>9</v>
      </c>
      <c r="G4" s="1"/>
      <c r="H4" s="1"/>
      <c r="I4" s="13" t="s">
        <v>10</v>
      </c>
      <c r="J4" s="1"/>
      <c r="K4" s="1"/>
      <c r="O4" s="1"/>
    </row>
    <row r="5" spans="1:15">
      <c r="A5" s="14" t="s">
        <v>11</v>
      </c>
      <c r="B5" s="15" t="s">
        <v>12</v>
      </c>
      <c r="C5" s="15" t="s">
        <v>13</v>
      </c>
      <c r="D5" s="15" t="s">
        <v>14</v>
      </c>
      <c r="E5" s="15" t="s">
        <v>15</v>
      </c>
      <c r="F5" s="16" t="s">
        <v>16</v>
      </c>
      <c r="G5" s="17" t="s">
        <v>17</v>
      </c>
      <c r="H5" s="18" t="s">
        <v>90</v>
      </c>
      <c r="I5" s="17" t="s">
        <v>16</v>
      </c>
      <c r="J5" s="17" t="s">
        <v>17</v>
      </c>
      <c r="K5" s="18" t="s">
        <v>90</v>
      </c>
      <c r="O5" s="1"/>
    </row>
    <row r="6" spans="1:15">
      <c r="A6" s="19" t="s">
        <v>52</v>
      </c>
      <c r="B6" s="3">
        <v>73</v>
      </c>
      <c r="C6" s="20">
        <f>B6/$B$8</f>
        <v>0.54477611940298509</v>
      </c>
      <c r="D6" s="21">
        <v>1016</v>
      </c>
      <c r="E6" s="22">
        <f>D6*B6</f>
        <v>74168</v>
      </c>
      <c r="F6" s="23">
        <v>950</v>
      </c>
      <c r="G6" s="12">
        <f>F6*B6</f>
        <v>69350</v>
      </c>
      <c r="H6" s="112">
        <f>+F6/2</f>
        <v>475</v>
      </c>
      <c r="I6" s="23">
        <v>1150</v>
      </c>
      <c r="J6" s="12">
        <f>I6*B6</f>
        <v>83950</v>
      </c>
      <c r="K6" s="112">
        <f>+I6/2</f>
        <v>575</v>
      </c>
      <c r="O6" s="1"/>
    </row>
    <row r="7" spans="1:15">
      <c r="A7" s="19" t="s">
        <v>53</v>
      </c>
      <c r="B7" s="87">
        <v>61</v>
      </c>
      <c r="C7" s="88">
        <f>B7/$B$8</f>
        <v>0.45522388059701491</v>
      </c>
      <c r="D7" s="89">
        <v>1213</v>
      </c>
      <c r="E7" s="90">
        <f>D7*B7</f>
        <v>73993</v>
      </c>
      <c r="F7" s="24">
        <v>1250</v>
      </c>
      <c r="G7" s="25">
        <f>F7*B7</f>
        <v>76250</v>
      </c>
      <c r="H7" s="113">
        <f>+F7/3</f>
        <v>416.66666666666669</v>
      </c>
      <c r="I7" s="24">
        <v>1530</v>
      </c>
      <c r="J7" s="25">
        <f>I7*B7</f>
        <v>93330</v>
      </c>
      <c r="K7" s="113">
        <f>+I7/3</f>
        <v>510</v>
      </c>
      <c r="O7" s="1"/>
    </row>
    <row r="8" spans="1:15">
      <c r="A8" s="26" t="s">
        <v>18</v>
      </c>
      <c r="B8" s="5">
        <f>SUM(B6:B7)</f>
        <v>134</v>
      </c>
      <c r="C8" s="27">
        <f>B8/$B$8</f>
        <v>1</v>
      </c>
      <c r="D8" s="28">
        <f>E8/B8</f>
        <v>1105.6791044776119</v>
      </c>
      <c r="E8" s="28">
        <f>SUM(E6:E7)</f>
        <v>148161</v>
      </c>
      <c r="F8" s="29">
        <f>G8/B8</f>
        <v>1086.5671641791046</v>
      </c>
      <c r="G8" s="30">
        <f>SUM(G6:G7)</f>
        <v>145600</v>
      </c>
      <c r="H8" s="114">
        <f>+G8/329</f>
        <v>442.55319148936172</v>
      </c>
      <c r="I8" s="29">
        <f>J8/B8</f>
        <v>1322.9850746268658</v>
      </c>
      <c r="J8" s="30">
        <f>SUM(J6:J7)</f>
        <v>177280</v>
      </c>
      <c r="K8" s="114">
        <f>+J8/329</f>
        <v>538.84498480243155</v>
      </c>
      <c r="O8" s="1"/>
    </row>
    <row r="9" spans="1:15">
      <c r="A9" s="1"/>
      <c r="B9" s="1"/>
      <c r="C9" s="31"/>
      <c r="D9" s="32"/>
      <c r="E9" s="33"/>
      <c r="F9" s="1"/>
      <c r="G9" s="1"/>
      <c r="H9" s="1"/>
      <c r="I9" s="1"/>
      <c r="J9" s="1"/>
      <c r="K9" s="1"/>
      <c r="O9" s="1"/>
    </row>
    <row r="10" spans="1:15">
      <c r="A10" s="13" t="s">
        <v>19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>
      <c r="A11" s="35"/>
      <c r="B11" s="36" t="s">
        <v>20</v>
      </c>
      <c r="C11" s="4"/>
      <c r="D11" s="4"/>
      <c r="E11" s="4"/>
      <c r="F11" s="36" t="s">
        <v>21</v>
      </c>
      <c r="G11" s="4"/>
      <c r="H11" s="4"/>
      <c r="I11" s="4"/>
      <c r="N11" s="1"/>
      <c r="O11" s="1"/>
    </row>
    <row r="12" spans="1:15">
      <c r="A12" s="13" t="s">
        <v>22</v>
      </c>
      <c r="B12" s="1"/>
      <c r="C12" s="1"/>
      <c r="D12" s="1"/>
      <c r="E12" s="1"/>
      <c r="F12" s="4"/>
      <c r="G12" s="4"/>
      <c r="H12" s="4"/>
      <c r="I12" s="4"/>
      <c r="N12" s="1"/>
      <c r="O12" s="1"/>
    </row>
    <row r="13" spans="1:15">
      <c r="A13" s="10" t="s">
        <v>23</v>
      </c>
      <c r="B13" s="20">
        <v>0.05</v>
      </c>
      <c r="C13" s="1"/>
      <c r="D13" s="1"/>
      <c r="E13" s="1"/>
      <c r="F13" s="20">
        <v>0.05</v>
      </c>
      <c r="G13" s="1"/>
      <c r="H13" s="1"/>
      <c r="I13" s="1"/>
      <c r="N13" s="1"/>
      <c r="O13" s="1"/>
    </row>
    <row r="14" spans="1:15">
      <c r="A14" s="10" t="s">
        <v>24</v>
      </c>
      <c r="B14" s="37">
        <f>H8</f>
        <v>442.55319148936172</v>
      </c>
      <c r="C14" s="37"/>
      <c r="D14" s="37"/>
      <c r="E14" s="37"/>
      <c r="F14" s="37">
        <f>K8</f>
        <v>538.84498480243155</v>
      </c>
      <c r="G14" s="1"/>
      <c r="H14" s="1"/>
      <c r="I14" s="1"/>
      <c r="N14" s="1"/>
      <c r="O14" s="1"/>
    </row>
    <row r="15" spans="1:15">
      <c r="A15" s="38" t="s">
        <v>25</v>
      </c>
      <c r="B15" s="39" t="s">
        <v>26</v>
      </c>
      <c r="C15" s="15" t="s">
        <v>13</v>
      </c>
      <c r="D15" s="15" t="s">
        <v>27</v>
      </c>
      <c r="E15" s="40" t="s">
        <v>28</v>
      </c>
      <c r="F15" s="39" t="s">
        <v>26</v>
      </c>
      <c r="G15" s="15" t="s">
        <v>13</v>
      </c>
      <c r="H15" s="15" t="s">
        <v>27</v>
      </c>
      <c r="I15" s="40" t="s">
        <v>28</v>
      </c>
      <c r="N15" s="1"/>
      <c r="O15" s="1"/>
    </row>
    <row r="16" spans="1:15">
      <c r="A16" s="10" t="s">
        <v>29</v>
      </c>
      <c r="B16" s="41">
        <f>+G8*12</f>
        <v>1747200</v>
      </c>
      <c r="C16" s="42">
        <f>B16/B$18</f>
        <v>0.98137014370062814</v>
      </c>
      <c r="D16" s="43">
        <f>B16/$B$8</f>
        <v>13038.805970149253</v>
      </c>
      <c r="E16" s="44">
        <f>B16/$E$8</f>
        <v>11.792576993945776</v>
      </c>
      <c r="F16" s="41">
        <f>+J8*12</f>
        <v>2127360</v>
      </c>
      <c r="G16" s="42">
        <f>F16/F$18</f>
        <v>0.98464819710737372</v>
      </c>
      <c r="H16" s="43">
        <f>F16/$B$8</f>
        <v>15875.820895522387</v>
      </c>
      <c r="I16" s="44">
        <f>F16/$E$8</f>
        <v>14.358434405815295</v>
      </c>
      <c r="N16" s="1"/>
      <c r="O16" s="1"/>
    </row>
    <row r="17" spans="1:15">
      <c r="A17" s="10" t="s">
        <v>30</v>
      </c>
      <c r="B17" s="24">
        <v>33168</v>
      </c>
      <c r="C17" s="45">
        <f>B17/B$18</f>
        <v>1.8629856299371816E-2</v>
      </c>
      <c r="D17" s="25">
        <f>B17/$B$8</f>
        <v>247.52238805970148</v>
      </c>
      <c r="E17" s="46">
        <f>B17/$E$8</f>
        <v>0.22386457974770688</v>
      </c>
      <c r="F17" s="24">
        <v>33168</v>
      </c>
      <c r="G17" s="45">
        <f>F17/F$18</f>
        <v>1.5351802892626247E-2</v>
      </c>
      <c r="H17" s="25">
        <f>F17/$B$8</f>
        <v>247.52238805970148</v>
      </c>
      <c r="I17" s="46">
        <f>F17/$E$8</f>
        <v>0.22386457974770688</v>
      </c>
      <c r="N17" s="1"/>
      <c r="O17" s="1"/>
    </row>
    <row r="18" spans="1:15">
      <c r="A18" s="2" t="s">
        <v>31</v>
      </c>
      <c r="B18" s="47">
        <f>B17+B16</f>
        <v>1780368</v>
      </c>
      <c r="C18" s="48">
        <f>B18/B$18</f>
        <v>1</v>
      </c>
      <c r="D18" s="49">
        <f t="shared" ref="D18:D32" si="0">B18/$B$8</f>
        <v>13286.328358208955</v>
      </c>
      <c r="E18" s="50">
        <f t="shared" ref="E18:E32" si="1">B18/$E$8</f>
        <v>12.016441573693482</v>
      </c>
      <c r="F18" s="47">
        <f>F17+F16</f>
        <v>2160528</v>
      </c>
      <c r="G18" s="48">
        <f>F18/F$18</f>
        <v>1</v>
      </c>
      <c r="H18" s="49">
        <f>F18/$B$8</f>
        <v>16123.343283582089</v>
      </c>
      <c r="I18" s="50">
        <f>F18/$E$8</f>
        <v>14.582298985563002</v>
      </c>
      <c r="N18" s="1"/>
      <c r="O18" s="1"/>
    </row>
    <row r="19" spans="1:15">
      <c r="A19" s="10" t="s">
        <v>32</v>
      </c>
      <c r="B19" s="51">
        <f>B18*B13</f>
        <v>89018.400000000009</v>
      </c>
      <c r="C19" s="45">
        <f>B19/B$18</f>
        <v>0.05</v>
      </c>
      <c r="D19" s="25">
        <f t="shared" si="0"/>
        <v>664.31641791044785</v>
      </c>
      <c r="E19" s="46">
        <f t="shared" si="1"/>
        <v>0.60082207868467419</v>
      </c>
      <c r="F19" s="51">
        <f>F18*F13</f>
        <v>108026.40000000001</v>
      </c>
      <c r="G19" s="45">
        <f>F19/F$18</f>
        <v>0.05</v>
      </c>
      <c r="H19" s="25">
        <f>F19/$B$8</f>
        <v>806.16716417910459</v>
      </c>
      <c r="I19" s="46">
        <f>F19/$E$8</f>
        <v>0.72911494927815013</v>
      </c>
      <c r="N19" s="1"/>
      <c r="O19" s="1"/>
    </row>
    <row r="20" spans="1:15">
      <c r="A20" s="10" t="s">
        <v>33</v>
      </c>
      <c r="B20" s="47">
        <f>B18-B19</f>
        <v>1691349.6</v>
      </c>
      <c r="C20" s="48">
        <f>B20/B20</f>
        <v>1</v>
      </c>
      <c r="D20" s="12">
        <f t="shared" si="0"/>
        <v>12622.011940298507</v>
      </c>
      <c r="E20" s="54">
        <f t="shared" si="1"/>
        <v>11.415619495008809</v>
      </c>
      <c r="F20" s="47">
        <f>F18-F19</f>
        <v>2052501.6</v>
      </c>
      <c r="G20" s="48">
        <f>F20/F20</f>
        <v>1</v>
      </c>
      <c r="H20" s="12">
        <f>F20/$B$8</f>
        <v>15317.176119402986</v>
      </c>
      <c r="I20" s="54">
        <f>F20/$E$8</f>
        <v>13.853184036284853</v>
      </c>
      <c r="N20" s="1"/>
      <c r="O20" s="1"/>
    </row>
    <row r="21" spans="1:15">
      <c r="A21" s="38" t="s">
        <v>34</v>
      </c>
      <c r="B21" s="52"/>
      <c r="C21" s="53"/>
      <c r="D21" s="12" t="s">
        <v>0</v>
      </c>
      <c r="E21" s="54" t="s">
        <v>0</v>
      </c>
      <c r="F21" s="52"/>
      <c r="G21" s="53"/>
      <c r="H21" s="12" t="s">
        <v>0</v>
      </c>
      <c r="I21" s="54" t="s">
        <v>0</v>
      </c>
      <c r="N21" s="1"/>
      <c r="O21" s="1"/>
    </row>
    <row r="22" spans="1:15">
      <c r="A22" s="10" t="s">
        <v>54</v>
      </c>
      <c r="B22" s="23">
        <v>234500</v>
      </c>
      <c r="C22" s="55">
        <f t="shared" ref="C22:C28" si="2">B22/B$20</f>
        <v>0.13864667600358907</v>
      </c>
      <c r="D22" s="12">
        <f t="shared" si="0"/>
        <v>1750</v>
      </c>
      <c r="E22" s="54">
        <f t="shared" si="1"/>
        <v>1.5827376975047414</v>
      </c>
      <c r="F22" s="23">
        <v>234500</v>
      </c>
      <c r="G22" s="55">
        <f t="shared" ref="G22:G28" si="3">F22/F$20</f>
        <v>0.11425082445733538</v>
      </c>
      <c r="H22" s="12">
        <f t="shared" ref="H22:H28" si="4">F22/$B$8</f>
        <v>1750</v>
      </c>
      <c r="I22" s="54">
        <f t="shared" ref="I22:I28" si="5">F22/$E$8</f>
        <v>1.5827376975047414</v>
      </c>
      <c r="N22" s="1"/>
      <c r="O22" s="1"/>
    </row>
    <row r="23" spans="1:15">
      <c r="A23" s="10" t="s">
        <v>55</v>
      </c>
      <c r="B23" s="23">
        <v>33500</v>
      </c>
      <c r="C23" s="55">
        <f t="shared" si="2"/>
        <v>1.9806668000512725E-2</v>
      </c>
      <c r="D23" s="12">
        <f t="shared" si="0"/>
        <v>250</v>
      </c>
      <c r="E23" s="54">
        <f t="shared" si="1"/>
        <v>0.22610538535782021</v>
      </c>
      <c r="F23" s="23">
        <v>33500</v>
      </c>
      <c r="G23" s="55">
        <f t="shared" si="3"/>
        <v>1.6321546351047912E-2</v>
      </c>
      <c r="H23" s="12">
        <f t="shared" si="4"/>
        <v>250</v>
      </c>
      <c r="I23" s="54">
        <f t="shared" si="5"/>
        <v>0.22610538535782021</v>
      </c>
      <c r="N23" s="1"/>
      <c r="O23" s="1"/>
    </row>
    <row r="24" spans="1:15">
      <c r="A24" s="10" t="s">
        <v>56</v>
      </c>
      <c r="B24" s="23">
        <v>46900</v>
      </c>
      <c r="C24" s="55">
        <f t="shared" si="2"/>
        <v>2.7729335200717815E-2</v>
      </c>
      <c r="D24" s="12">
        <f t="shared" si="0"/>
        <v>350</v>
      </c>
      <c r="E24" s="54">
        <f t="shared" si="1"/>
        <v>0.31654753950094827</v>
      </c>
      <c r="F24" s="23">
        <v>46900</v>
      </c>
      <c r="G24" s="55">
        <f t="shared" si="3"/>
        <v>2.2850164891467076E-2</v>
      </c>
      <c r="H24" s="12">
        <f t="shared" si="4"/>
        <v>350</v>
      </c>
      <c r="I24" s="54">
        <f t="shared" si="5"/>
        <v>0.31654753950094827</v>
      </c>
      <c r="N24" s="1"/>
      <c r="O24" s="1"/>
    </row>
    <row r="25" spans="1:15">
      <c r="A25" s="10" t="s">
        <v>57</v>
      </c>
      <c r="B25" s="23">
        <v>116580</v>
      </c>
      <c r="C25" s="55">
        <f t="shared" si="2"/>
        <v>6.8927204641784284E-2</v>
      </c>
      <c r="D25" s="12">
        <f t="shared" si="0"/>
        <v>870</v>
      </c>
      <c r="E25" s="54">
        <f t="shared" si="1"/>
        <v>0.78684674104521435</v>
      </c>
      <c r="F25" s="23">
        <v>116580</v>
      </c>
      <c r="G25" s="55">
        <f t="shared" si="3"/>
        <v>5.6798981301646727E-2</v>
      </c>
      <c r="H25" s="12">
        <f t="shared" si="4"/>
        <v>870</v>
      </c>
      <c r="I25" s="54">
        <f t="shared" si="5"/>
        <v>0.78684674104521435</v>
      </c>
      <c r="N25" s="1"/>
      <c r="O25" s="1"/>
    </row>
    <row r="26" spans="1:15">
      <c r="A26" s="10" t="s">
        <v>47</v>
      </c>
      <c r="B26" s="23">
        <v>43550</v>
      </c>
      <c r="C26" s="55">
        <f t="shared" si="2"/>
        <v>2.5748668400666544E-2</v>
      </c>
      <c r="D26" s="12">
        <f t="shared" si="0"/>
        <v>325</v>
      </c>
      <c r="E26" s="54">
        <f t="shared" si="1"/>
        <v>0.29393700096516628</v>
      </c>
      <c r="F26" s="23">
        <v>43550</v>
      </c>
      <c r="G26" s="55">
        <f t="shared" si="3"/>
        <v>2.1218010256362285E-2</v>
      </c>
      <c r="H26" s="12">
        <f t="shared" si="4"/>
        <v>325</v>
      </c>
      <c r="I26" s="54">
        <f t="shared" si="5"/>
        <v>0.29393700096516628</v>
      </c>
      <c r="K26" t="s">
        <v>0</v>
      </c>
      <c r="N26" s="1"/>
      <c r="O26" s="1"/>
    </row>
    <row r="27" spans="1:15">
      <c r="A27" s="10" t="s">
        <v>58</v>
      </c>
      <c r="B27" s="56">
        <v>93800</v>
      </c>
      <c r="C27" s="55">
        <f t="shared" si="2"/>
        <v>5.5458670401435629E-2</v>
      </c>
      <c r="D27" s="12">
        <f t="shared" si="0"/>
        <v>700</v>
      </c>
      <c r="E27" s="54">
        <f t="shared" si="1"/>
        <v>0.63309507900189654</v>
      </c>
      <c r="F27" s="56">
        <v>93800</v>
      </c>
      <c r="G27" s="55">
        <f t="shared" si="3"/>
        <v>4.5700329782934153E-2</v>
      </c>
      <c r="H27" s="12">
        <f t="shared" si="4"/>
        <v>700</v>
      </c>
      <c r="I27" s="54">
        <f t="shared" si="5"/>
        <v>0.63309507900189654</v>
      </c>
      <c r="N27" s="1"/>
      <c r="O27" s="1"/>
    </row>
    <row r="28" spans="1:15">
      <c r="A28" s="10" t="s">
        <v>59</v>
      </c>
      <c r="B28" s="56">
        <v>670</v>
      </c>
      <c r="C28" s="55">
        <f t="shared" si="2"/>
        <v>3.9613336001025453E-4</v>
      </c>
      <c r="D28" s="12">
        <f t="shared" si="0"/>
        <v>5</v>
      </c>
      <c r="E28" s="54">
        <f t="shared" si="1"/>
        <v>4.5221077071564038E-3</v>
      </c>
      <c r="F28" s="56">
        <v>670</v>
      </c>
      <c r="G28" s="55">
        <f t="shared" si="3"/>
        <v>3.2643092702095821E-4</v>
      </c>
      <c r="H28" s="12">
        <f t="shared" si="4"/>
        <v>5</v>
      </c>
      <c r="I28" s="54">
        <f t="shared" si="5"/>
        <v>4.5221077071564038E-3</v>
      </c>
      <c r="N28" s="1"/>
      <c r="O28" s="1"/>
    </row>
    <row r="29" spans="1:15">
      <c r="A29" s="10" t="s">
        <v>0</v>
      </c>
      <c r="B29" s="56" t="s">
        <v>0</v>
      </c>
      <c r="C29" s="55" t="s">
        <v>0</v>
      </c>
      <c r="D29" s="12" t="s">
        <v>0</v>
      </c>
      <c r="E29" s="54" t="s">
        <v>0</v>
      </c>
      <c r="F29" s="56" t="s">
        <v>0</v>
      </c>
      <c r="G29" s="55" t="s">
        <v>0</v>
      </c>
      <c r="H29" s="12" t="s">
        <v>0</v>
      </c>
      <c r="I29" s="54" t="s">
        <v>0</v>
      </c>
      <c r="N29" s="1"/>
      <c r="O29" s="1"/>
    </row>
    <row r="30" spans="1:15">
      <c r="A30" s="10" t="s">
        <v>50</v>
      </c>
      <c r="B30" s="56">
        <f>+B8*350</f>
        <v>46900</v>
      </c>
      <c r="C30" s="55">
        <f>B30/B$20</f>
        <v>2.7729335200717815E-2</v>
      </c>
      <c r="D30" s="12">
        <f t="shared" si="0"/>
        <v>350</v>
      </c>
      <c r="E30" s="54">
        <f t="shared" si="1"/>
        <v>0.31654753950094827</v>
      </c>
      <c r="F30" s="56">
        <f>+B8*350</f>
        <v>46900</v>
      </c>
      <c r="G30" s="55">
        <f>F30/F$20</f>
        <v>2.2850164891467076E-2</v>
      </c>
      <c r="H30" s="12">
        <f>F30/$B$8</f>
        <v>350</v>
      </c>
      <c r="I30" s="54">
        <f>F30/$E$8</f>
        <v>0.31654753950094827</v>
      </c>
      <c r="N30" s="1"/>
      <c r="O30" s="1"/>
    </row>
    <row r="31" spans="1:15">
      <c r="A31" s="2" t="s">
        <v>35</v>
      </c>
      <c r="B31" s="57">
        <f>SUM(B22:B30)</f>
        <v>616400</v>
      </c>
      <c r="C31" s="58">
        <f>B31/B$20</f>
        <v>0.36444269120943418</v>
      </c>
      <c r="D31" s="59">
        <f t="shared" si="0"/>
        <v>4600</v>
      </c>
      <c r="E31" s="60">
        <f t="shared" si="1"/>
        <v>4.160339090583892</v>
      </c>
      <c r="F31" s="57">
        <f>SUM(F22:F30)</f>
        <v>616400</v>
      </c>
      <c r="G31" s="58">
        <f>F31/F$20</f>
        <v>0.30031645285928155</v>
      </c>
      <c r="H31" s="59">
        <f>F31/$B$8</f>
        <v>4600</v>
      </c>
      <c r="I31" s="60">
        <f>F31/$E$8</f>
        <v>4.160339090583892</v>
      </c>
      <c r="N31" s="1"/>
      <c r="O31" s="1"/>
    </row>
    <row r="32" spans="1:15">
      <c r="A32" s="2" t="s">
        <v>36</v>
      </c>
      <c r="B32" s="29">
        <f>B20-B31</f>
        <v>1074949.6000000001</v>
      </c>
      <c r="C32" s="27">
        <f>B32/B$20</f>
        <v>0.63555730879056582</v>
      </c>
      <c r="D32" s="30">
        <f t="shared" si="0"/>
        <v>8022.0119402985083</v>
      </c>
      <c r="E32" s="61">
        <f t="shared" si="1"/>
        <v>7.2552804044249166</v>
      </c>
      <c r="F32" s="30">
        <f>F20-F31</f>
        <v>1436101.6</v>
      </c>
      <c r="G32" s="27">
        <f>F32/F$20</f>
        <v>0.69968354714071845</v>
      </c>
      <c r="H32" s="30">
        <f>F32/$B$8</f>
        <v>10717.176119402986</v>
      </c>
      <c r="I32" s="61">
        <f>F32/$E$8</f>
        <v>9.6928449457009602</v>
      </c>
      <c r="N32" s="1"/>
      <c r="O32" s="1"/>
    </row>
    <row r="33" spans="1:15">
      <c r="A33" s="62" t="s">
        <v>7</v>
      </c>
      <c r="B33" s="63">
        <f>+Budget!B26</f>
        <v>8867813.25</v>
      </c>
      <c r="C33" s="64"/>
      <c r="D33" s="63" t="s">
        <v>0</v>
      </c>
      <c r="E33" s="65" t="s">
        <v>0</v>
      </c>
      <c r="F33" s="63">
        <f>+Budget!B26</f>
        <v>8867813.25</v>
      </c>
      <c r="G33" s="64"/>
      <c r="H33" s="63" t="s">
        <v>0</v>
      </c>
      <c r="I33" s="65" t="s">
        <v>0</v>
      </c>
      <c r="N33" s="1"/>
      <c r="O33" s="1"/>
    </row>
    <row r="34" spans="1:15">
      <c r="A34" s="62" t="s">
        <v>37</v>
      </c>
      <c r="B34" s="66">
        <v>8.5999999999999993E-2</v>
      </c>
      <c r="C34" s="64"/>
      <c r="D34" s="63"/>
      <c r="E34" s="65"/>
      <c r="F34" s="66">
        <v>8.5999999999999993E-2</v>
      </c>
      <c r="G34" s="64"/>
      <c r="H34" s="63"/>
      <c r="I34" s="65"/>
      <c r="N34" s="1"/>
      <c r="O34" s="1"/>
    </row>
    <row r="35" spans="1:15">
      <c r="A35" s="62" t="s">
        <v>38</v>
      </c>
      <c r="B35" s="62">
        <v>300</v>
      </c>
      <c r="C35" s="64"/>
      <c r="D35" s="63"/>
      <c r="E35" s="65"/>
      <c r="F35" s="62">
        <v>300</v>
      </c>
      <c r="G35" s="64"/>
      <c r="H35" s="63"/>
      <c r="I35" s="65"/>
      <c r="N35" s="1"/>
      <c r="O35" s="1"/>
    </row>
    <row r="36" spans="1:15">
      <c r="A36" s="62" t="s">
        <v>39</v>
      </c>
      <c r="B36" s="12">
        <f>PMT(B34,B35/12,-B33)</f>
        <v>873708.06229729077</v>
      </c>
      <c r="C36" s="55" t="s">
        <v>0</v>
      </c>
      <c r="D36" s="12" t="s">
        <v>0</v>
      </c>
      <c r="E36" s="67" t="s">
        <v>0</v>
      </c>
      <c r="F36" s="12">
        <f>PMT(F34,F35/12,-F33)</f>
        <v>873708.06229729077</v>
      </c>
      <c r="G36" s="55" t="s">
        <v>0</v>
      </c>
      <c r="H36" s="12" t="s">
        <v>0</v>
      </c>
      <c r="I36" s="67" t="s">
        <v>0</v>
      </c>
      <c r="N36" s="1"/>
      <c r="O36" s="1"/>
    </row>
    <row r="37" spans="1:15">
      <c r="A37" s="2" t="s">
        <v>40</v>
      </c>
      <c r="B37" s="49">
        <f>B32-B36</f>
        <v>201241.53770270932</v>
      </c>
      <c r="C37" s="48" t="s">
        <v>0</v>
      </c>
      <c r="D37" s="49" t="s">
        <v>0</v>
      </c>
      <c r="E37" s="68" t="s">
        <v>0</v>
      </c>
      <c r="F37" s="49">
        <f>F32-F36</f>
        <v>562393.53770270932</v>
      </c>
      <c r="G37" s="48" t="s">
        <v>48</v>
      </c>
      <c r="H37" s="49" t="s">
        <v>0</v>
      </c>
      <c r="I37" s="68" t="s">
        <v>0</v>
      </c>
      <c r="N37" s="1"/>
      <c r="O37" s="1"/>
    </row>
    <row r="38" spans="1:15">
      <c r="A38" s="2" t="s">
        <v>41</v>
      </c>
      <c r="B38" s="69">
        <f>B32/B36</f>
        <v>1.2303304117093454</v>
      </c>
      <c r="C38" s="48" t="s">
        <v>42</v>
      </c>
      <c r="D38" s="49"/>
      <c r="E38" s="68"/>
      <c r="F38" s="69">
        <f>F32/F36</f>
        <v>1.6436858740023248</v>
      </c>
      <c r="G38" s="48" t="s">
        <v>42</v>
      </c>
      <c r="H38" s="49"/>
      <c r="I38" s="68"/>
      <c r="N38" s="1"/>
      <c r="O38" s="1"/>
    </row>
    <row r="39" spans="1:15">
      <c r="A39" s="2" t="s">
        <v>43</v>
      </c>
      <c r="B39" s="70">
        <f>B32/B33</f>
        <v>0.12121924195911547</v>
      </c>
      <c r="C39" s="48"/>
      <c r="D39" s="49"/>
      <c r="E39" s="68"/>
      <c r="F39" s="70">
        <f>F32/F33</f>
        <v>0.16194540407129121</v>
      </c>
      <c r="G39" s="48"/>
      <c r="H39" s="49"/>
      <c r="I39" s="68"/>
      <c r="N39" s="1"/>
      <c r="O39" s="1"/>
    </row>
    <row r="40" spans="1:15">
      <c r="A40" s="1"/>
      <c r="B40" s="1"/>
      <c r="C40" s="31"/>
      <c r="D40" s="34"/>
      <c r="E40" s="67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0"/>
      <c r="B43" s="12"/>
      <c r="C43" s="55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0"/>
      <c r="B44" s="12"/>
      <c r="C44" s="55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0"/>
      <c r="B45" s="12"/>
      <c r="C45" s="55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0"/>
      <c r="B46" s="12"/>
      <c r="C46" s="55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0"/>
      <c r="B47" s="12"/>
      <c r="C47" s="55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0"/>
      <c r="B48" s="12"/>
      <c r="C48" s="55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0"/>
      <c r="B49" s="12"/>
      <c r="C49" s="55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</sheetData>
  <pageMargins left="0.25" right="0.25" top="0.25" bottom="0.214" header="0.5" footer="0.5"/>
  <pageSetup scale="75" orientation="portrait" r:id="rId1"/>
  <headerFooter alignWithMargins="0">
    <oddFooter>&amp;L&amp;D&amp;C&amp;R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Budget</vt:lpstr>
      <vt:lpstr>Breakeven</vt:lpstr>
      <vt:lpstr>Mkt.</vt:lpstr>
      <vt:lpstr>Mtg.</vt:lpstr>
      <vt:lpstr>Stabilized</vt:lpstr>
      <vt:lpstr>Breakeven!Print_Area</vt:lpstr>
      <vt:lpstr>Budget!Print_Area</vt:lpstr>
      <vt:lpstr>Mkt.!Print_Area</vt:lpstr>
      <vt:lpstr>Stabilized!Print_Area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2001-03-07T18:33:06Z</cp:lastPrinted>
  <dcterms:created xsi:type="dcterms:W3CDTF">1999-10-06T19:56:43Z</dcterms:created>
  <dcterms:modified xsi:type="dcterms:W3CDTF">2014-09-04T13:28:06Z</dcterms:modified>
</cp:coreProperties>
</file>