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activeTab="1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Stabilized!$C$49:$C$51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Stabilized!$A$1:$K$43</definedName>
  </definedNames>
  <calcPr calcId="152511"/>
</workbook>
</file>

<file path=xl/calcChain.xml><?xml version="1.0" encoding="utf-8"?>
<calcChain xmlns="http://schemas.openxmlformats.org/spreadsheetml/2006/main">
  <c r="A1" i="4" l="1"/>
  <c r="B11" i="4"/>
  <c r="F11" i="4"/>
  <c r="I11" i="4"/>
  <c r="G7" i="2"/>
  <c r="G18" i="2" s="1"/>
  <c r="G8" i="2"/>
  <c r="F10" i="2"/>
  <c r="C11" i="2"/>
  <c r="D11" i="2"/>
  <c r="E11" i="2"/>
  <c r="F11" i="2"/>
  <c r="F12" i="2"/>
  <c r="G12" i="2"/>
  <c r="F14" i="2"/>
  <c r="E15" i="2"/>
  <c r="F15" i="2"/>
  <c r="F16" i="2"/>
  <c r="F17" i="2"/>
  <c r="B18" i="2"/>
  <c r="C18" i="2"/>
  <c r="B23" i="2"/>
  <c r="B5" i="8"/>
  <c r="B6" i="8"/>
  <c r="B7" i="8"/>
  <c r="B9" i="8"/>
  <c r="B10" i="8"/>
  <c r="B12" i="8"/>
  <c r="B13" i="8"/>
  <c r="C14" i="8"/>
  <c r="C17" i="8" s="1"/>
  <c r="D17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21" i="8"/>
  <c r="C22" i="8"/>
  <c r="C23" i="8"/>
  <c r="D21" i="8" s="1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E6" i="3"/>
  <c r="E10" i="3" s="1"/>
  <c r="G6" i="3"/>
  <c r="G10" i="3" s="1"/>
  <c r="H6" i="3"/>
  <c r="J6" i="3"/>
  <c r="J10" i="3" s="1"/>
  <c r="K6" i="3"/>
  <c r="E7" i="3"/>
  <c r="G7" i="3"/>
  <c r="H7" i="3"/>
  <c r="J7" i="3"/>
  <c r="K7" i="3"/>
  <c r="C8" i="3"/>
  <c r="E8" i="3"/>
  <c r="G8" i="3"/>
  <c r="H8" i="3"/>
  <c r="J8" i="3"/>
  <c r="K8" i="3"/>
  <c r="B10" i="3"/>
  <c r="C8" i="2" s="1"/>
  <c r="C10" i="3"/>
  <c r="D10" i="3"/>
  <c r="I10" i="3"/>
  <c r="I24" i="3"/>
  <c r="E26" i="3"/>
  <c r="H26" i="3"/>
  <c r="D29" i="3"/>
  <c r="E29" i="3"/>
  <c r="D30" i="3"/>
  <c r="L31" i="3"/>
  <c r="F32" i="3"/>
  <c r="L35" i="3"/>
  <c r="F10" i="3" l="1"/>
  <c r="B18" i="3"/>
  <c r="H10" i="3"/>
  <c r="B16" i="3" s="1"/>
  <c r="K10" i="3"/>
  <c r="F16" i="3" s="1"/>
  <c r="F18" i="3"/>
  <c r="E14" i="2"/>
  <c r="E16" i="2"/>
  <c r="D18" i="2"/>
  <c r="B26" i="2"/>
  <c r="E7" i="2"/>
  <c r="E10" i="2"/>
  <c r="E12" i="2"/>
  <c r="B25" i="2"/>
  <c r="E8" i="2"/>
  <c r="E17" i="2"/>
  <c r="H32" i="3"/>
  <c r="I32" i="3"/>
  <c r="F33" i="3"/>
  <c r="I15" i="4"/>
  <c r="I26" i="3"/>
  <c r="I30" i="3"/>
  <c r="I29" i="3"/>
  <c r="D17" i="2"/>
  <c r="E19" i="3"/>
  <c r="E24" i="3"/>
  <c r="E28" i="3"/>
  <c r="D7" i="2"/>
  <c r="D10" i="2"/>
  <c r="D12" i="2"/>
  <c r="I25" i="3"/>
  <c r="E27" i="3"/>
  <c r="D15" i="2"/>
  <c r="F18" i="2"/>
  <c r="H11" i="4"/>
  <c r="I28" i="3"/>
  <c r="D26" i="3"/>
  <c r="B14" i="8"/>
  <c r="H30" i="3"/>
  <c r="E25" i="3"/>
  <c r="D18" i="8"/>
  <c r="E17" i="8"/>
  <c r="E15" i="4"/>
  <c r="I27" i="3"/>
  <c r="D25" i="3"/>
  <c r="I19" i="3"/>
  <c r="D16" i="2"/>
  <c r="D8" i="2"/>
  <c r="D11" i="4"/>
  <c r="E11" i="4"/>
  <c r="E30" i="3"/>
  <c r="H27" i="3"/>
  <c r="H19" i="3"/>
  <c r="C16" i="2"/>
  <c r="D24" i="3"/>
  <c r="D28" i="3"/>
  <c r="D19" i="3"/>
  <c r="D27" i="3"/>
  <c r="B32" i="3"/>
  <c r="C6" i="3"/>
  <c r="C7" i="2"/>
  <c r="C10" i="2"/>
  <c r="C12" i="2"/>
  <c r="C7" i="3"/>
  <c r="H25" i="3"/>
  <c r="H29" i="3"/>
  <c r="C15" i="2"/>
  <c r="C17" i="2"/>
  <c r="H28" i="3"/>
  <c r="H24" i="3"/>
  <c r="D14" i="2"/>
  <c r="C14" i="2"/>
  <c r="B24" i="2" l="1"/>
  <c r="C25" i="2"/>
  <c r="I18" i="3"/>
  <c r="F20" i="3"/>
  <c r="F10" i="4"/>
  <c r="G18" i="3"/>
  <c r="H18" i="3"/>
  <c r="H33" i="3"/>
  <c r="I33" i="3"/>
  <c r="F16" i="4"/>
  <c r="E18" i="2"/>
  <c r="D18" i="3"/>
  <c r="B20" i="3"/>
  <c r="C18" i="3" s="1"/>
  <c r="E18" i="3"/>
  <c r="B10" i="4"/>
  <c r="E18" i="8"/>
  <c r="E22" i="8" s="1"/>
  <c r="F17" i="8"/>
  <c r="B35" i="3"/>
  <c r="F35" i="3"/>
  <c r="F38" i="3" s="1"/>
  <c r="B18" i="4"/>
  <c r="B21" i="4" s="1"/>
  <c r="C26" i="2"/>
  <c r="D22" i="8"/>
  <c r="D23" i="8" s="1"/>
  <c r="E21" i="8" s="1"/>
  <c r="E23" i="8" s="1"/>
  <c r="F21" i="8" s="1"/>
  <c r="B33" i="3"/>
  <c r="D32" i="3"/>
  <c r="E32" i="3"/>
  <c r="F12" i="4" l="1"/>
  <c r="I10" i="4"/>
  <c r="H10" i="4"/>
  <c r="F18" i="4"/>
  <c r="F21" i="4" s="1"/>
  <c r="B38" i="3"/>
  <c r="F21" i="3"/>
  <c r="F22" i="3"/>
  <c r="G20" i="3"/>
  <c r="H20" i="3"/>
  <c r="G19" i="3"/>
  <c r="I20" i="3"/>
  <c r="F18" i="8"/>
  <c r="G17" i="8"/>
  <c r="I16" i="4"/>
  <c r="H16" i="4"/>
  <c r="B16" i="4"/>
  <c r="D33" i="3"/>
  <c r="E33" i="3"/>
  <c r="C20" i="3"/>
  <c r="E20" i="3"/>
  <c r="C19" i="3"/>
  <c r="D20" i="3"/>
  <c r="B21" i="3"/>
  <c r="C10" i="4"/>
  <c r="D10" i="4"/>
  <c r="E10" i="4"/>
  <c r="B12" i="4"/>
  <c r="F22" i="8" l="1"/>
  <c r="F23" i="8" s="1"/>
  <c r="G21" i="8" s="1"/>
  <c r="G23" i="8" s="1"/>
  <c r="H21" i="8" s="1"/>
  <c r="C21" i="3"/>
  <c r="D21" i="3"/>
  <c r="E21" i="3"/>
  <c r="C16" i="4"/>
  <c r="D16" i="4"/>
  <c r="E16" i="4"/>
  <c r="B22" i="3"/>
  <c r="F13" i="4"/>
  <c r="F14" i="4"/>
  <c r="G11" i="4"/>
  <c r="H12" i="4"/>
  <c r="I12" i="4"/>
  <c r="G12" i="4"/>
  <c r="G10" i="4"/>
  <c r="C12" i="4"/>
  <c r="D12" i="4"/>
  <c r="E12" i="4"/>
  <c r="B13" i="4"/>
  <c r="B14" i="4"/>
  <c r="C11" i="4"/>
  <c r="G25" i="3"/>
  <c r="G29" i="3"/>
  <c r="G24" i="3"/>
  <c r="G28" i="3"/>
  <c r="G22" i="3"/>
  <c r="G30" i="3"/>
  <c r="H22" i="3"/>
  <c r="G26" i="3"/>
  <c r="G32" i="3"/>
  <c r="F34" i="3"/>
  <c r="I22" i="3"/>
  <c r="G27" i="3"/>
  <c r="G33" i="3"/>
  <c r="H21" i="3"/>
  <c r="I21" i="3"/>
  <c r="G21" i="3"/>
  <c r="G18" i="8"/>
  <c r="G22" i="8" s="1"/>
  <c r="H17" i="8"/>
  <c r="C14" i="4" l="1"/>
  <c r="D14" i="4"/>
  <c r="B17" i="4"/>
  <c r="E14" i="4"/>
  <c r="C13" i="4"/>
  <c r="B4" i="4" s="1"/>
  <c r="B5" i="4" s="1"/>
  <c r="B6" i="4" s="1"/>
  <c r="D13" i="4"/>
  <c r="E13" i="4"/>
  <c r="H14" i="4"/>
  <c r="F17" i="4"/>
  <c r="I14" i="4"/>
  <c r="G14" i="4"/>
  <c r="G16" i="4"/>
  <c r="G13" i="4"/>
  <c r="F4" i="4" s="1"/>
  <c r="F5" i="4" s="1"/>
  <c r="F6" i="4" s="1"/>
  <c r="H13" i="4"/>
  <c r="I13" i="4"/>
  <c r="C22" i="3"/>
  <c r="E22" i="3"/>
  <c r="B34" i="3"/>
  <c r="C26" i="3"/>
  <c r="C30" i="3"/>
  <c r="D22" i="3"/>
  <c r="C27" i="3"/>
  <c r="C25" i="3"/>
  <c r="C28" i="3"/>
  <c r="C29" i="3"/>
  <c r="C24" i="3"/>
  <c r="C32" i="3"/>
  <c r="C33" i="3"/>
  <c r="H18" i="8"/>
  <c r="I17" i="8"/>
  <c r="H34" i="3"/>
  <c r="I34" i="3"/>
  <c r="F39" i="3"/>
  <c r="L37" i="3" s="1"/>
  <c r="F40" i="3"/>
  <c r="G34" i="3"/>
  <c r="F41" i="3"/>
  <c r="C17" i="4" l="1"/>
  <c r="D17" i="4"/>
  <c r="B22" i="4"/>
  <c r="E17" i="4"/>
  <c r="B23" i="4"/>
  <c r="B39" i="3"/>
  <c r="B40" i="3"/>
  <c r="C34" i="3"/>
  <c r="B41" i="3"/>
  <c r="D34" i="3"/>
  <c r="E34" i="3"/>
  <c r="I17" i="4"/>
  <c r="F23" i="4"/>
  <c r="G17" i="4"/>
  <c r="H17" i="4"/>
  <c r="F22" i="4"/>
  <c r="J17" i="8"/>
  <c r="I18" i="8"/>
  <c r="I22" i="8" s="1"/>
  <c r="H22" i="8"/>
  <c r="H23" i="8" s="1"/>
  <c r="I21" i="8" s="1"/>
  <c r="I23" i="8" s="1"/>
  <c r="J21" i="8" s="1"/>
  <c r="K17" i="8" l="1"/>
  <c r="J18" i="8"/>
  <c r="J22" i="8" l="1"/>
  <c r="J23" i="8" s="1"/>
  <c r="K21" i="8" s="1"/>
  <c r="K18" i="8"/>
  <c r="K22" i="8" s="1"/>
  <c r="L17" i="8"/>
  <c r="M17" i="8" l="1"/>
  <c r="L18" i="8"/>
  <c r="L22" i="8" s="1"/>
  <c r="K23" i="8"/>
  <c r="L21" i="8" s="1"/>
  <c r="L23" i="8" s="1"/>
  <c r="M21" i="8" s="1"/>
  <c r="M18" i="8" l="1"/>
  <c r="M22" i="8" s="1"/>
  <c r="M23" i="8" s="1"/>
  <c r="N21" i="8" s="1"/>
  <c r="N17" i="8"/>
  <c r="N23" i="8" l="1"/>
  <c r="O21" i="8" s="1"/>
  <c r="N18" i="8"/>
  <c r="N22" i="8" s="1"/>
  <c r="O17" i="8"/>
  <c r="P17" i="8" l="1"/>
  <c r="O18" i="8"/>
  <c r="O22" i="8" s="1"/>
  <c r="O23" i="8" s="1"/>
  <c r="P21" i="8" s="1"/>
  <c r="P23" i="8" l="1"/>
  <c r="Q21" i="8" s="1"/>
  <c r="Q17" i="8"/>
  <c r="Q18" i="8" s="1"/>
  <c r="P18" i="8"/>
  <c r="P22" i="8" s="1"/>
  <c r="Q23" i="8" l="1"/>
  <c r="Q22" i="8"/>
  <c r="B18" i="8"/>
  <c r="B25" i="8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8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<sst xmlns="http://schemas.openxmlformats.org/spreadsheetml/2006/main" count="275" uniqueCount="94">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</sst>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3" formatCode="_(&quot;$&quot;* #,##0_);_(&quot;$&quot;* \(#,##0\);_(&quot;$&quot;* &quot;-&quot;??_);_(@_)"/>
    <numFmt numFmtId="174" formatCode="&quot;$&quot;#,##0"/>
    <numFmt numFmtId="175" formatCode="&quot;$&quot;#,##0.00"/>
    <numFmt numFmtId="178" formatCode="_(* #,##0_);_(* \(#,##0\);_(* &quot;-&quot;??_);_(@_)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  <xf numFmtId="173" fontId="5" fillId="0" borderId="1" xfId="2" applyNumberFormat="1" applyFont="1" applyBorder="1" applyProtection="1"/>
    <xf numFmtId="178" fontId="0" fillId="0" borderId="0" xfId="1" applyNumberFormat="1" applyFont="1"/>
    <xf numFmtId="178" fontId="3" fillId="0" borderId="0" xfId="1" applyNumberFormat="1" applyFo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B18" sqref="B18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+B7/Stabilized!$B$10</f>
        <v>8370.6716417910447</v>
      </c>
      <c r="D7" s="9">
        <f>+B7/Stabilized!$E$10</f>
        <v>8.0025541508518589</v>
      </c>
      <c r="E7" s="96">
        <f>+B7/$B$18</f>
        <v>0.10144949033314346</v>
      </c>
      <c r="F7" s="77">
        <v>0</v>
      </c>
      <c r="G7" s="77">
        <f>+B7</f>
        <v>1121670</v>
      </c>
    </row>
    <row r="8" spans="1:8">
      <c r="A8" s="3" t="s">
        <v>61</v>
      </c>
      <c r="B8" s="8">
        <v>500000</v>
      </c>
      <c r="C8" s="77">
        <f>+B8/Stabilized!$B$10</f>
        <v>3731.3432835820895</v>
      </c>
      <c r="D8" s="9">
        <f>+B8/Stabilized!$E$10</f>
        <v>3.5672497930995122</v>
      </c>
      <c r="E8" s="96">
        <f>+B8/$B$18</f>
        <v>4.5222521032542304E-2</v>
      </c>
      <c r="F8" s="77">
        <v>0</v>
      </c>
      <c r="G8" s="77">
        <f>+B8</f>
        <v>500000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700000</v>
      </c>
      <c r="C10" s="77">
        <f>+B10/Stabilized!$B$10</f>
        <v>5223.8805970149251</v>
      </c>
      <c r="D10" s="9">
        <f>+B10/Stabilized!$E$10</f>
        <v>4.9941497103393164</v>
      </c>
      <c r="E10" s="96">
        <f>+B10/$B$18</f>
        <v>6.3311529445559234E-2</v>
      </c>
      <c r="F10" s="77">
        <f>+B10</f>
        <v>700000</v>
      </c>
      <c r="G10" s="9">
        <v>0</v>
      </c>
    </row>
    <row r="11" spans="1:8">
      <c r="A11" s="3" t="s">
        <v>63</v>
      </c>
      <c r="B11" s="8">
        <v>7100000</v>
      </c>
      <c r="C11" s="77">
        <f>+B11/Stabilized!$B$10</f>
        <v>52985.074626865673</v>
      </c>
      <c r="D11" s="9">
        <f>+B11/Stabilized!$E$10</f>
        <v>50.654947062013072</v>
      </c>
      <c r="E11" s="96">
        <f>+B11/$B$18</f>
        <v>0.64215979866210071</v>
      </c>
      <c r="F11" s="77">
        <f>+B11-G11</f>
        <v>6307762</v>
      </c>
      <c r="G11" s="77">
        <v>792238</v>
      </c>
    </row>
    <row r="12" spans="1:8">
      <c r="A12" s="3" t="s">
        <v>70</v>
      </c>
      <c r="B12" s="8">
        <v>700000</v>
      </c>
      <c r="C12" s="77">
        <f>+B12/Stabilized!$B$10</f>
        <v>5223.8805970149251</v>
      </c>
      <c r="D12" s="9">
        <f>+B12/Stabilized!$E$10</f>
        <v>4.9941497103393164</v>
      </c>
      <c r="E12" s="96">
        <f>+B12/$B$18</f>
        <v>6.3311529445559234E-2</v>
      </c>
      <c r="F12" s="77">
        <f>B12*0.5</f>
        <v>350000</v>
      </c>
      <c r="G12" s="77">
        <f>B12*0.5</f>
        <v>350000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+B14/Stabilized!$B$10</f>
        <v>29.850746268656717</v>
      </c>
      <c r="D14" s="9">
        <f>+B14/Stabilized!$E$10</f>
        <v>2.8537998344796096E-2</v>
      </c>
      <c r="E14" s="96">
        <f>+B14/$B$18</f>
        <v>3.6178016826033846E-4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100000</v>
      </c>
      <c r="C15" s="77">
        <f>+B15/Stabilized!$B$10</f>
        <v>746.26865671641792</v>
      </c>
      <c r="D15" s="9">
        <f>+B15/Stabilized!$E$10</f>
        <v>0.71344995861990235</v>
      </c>
      <c r="E15" s="96">
        <f>+B15/$B$18</f>
        <v>9.0445042065084615E-3</v>
      </c>
      <c r="F15" s="77">
        <f>+B15</f>
        <v>100000</v>
      </c>
      <c r="G15" s="9">
        <v>0</v>
      </c>
    </row>
    <row r="16" spans="1:8">
      <c r="A16" s="3" t="s">
        <v>68</v>
      </c>
      <c r="B16" s="8">
        <v>30768</v>
      </c>
      <c r="C16" s="77">
        <f>+B16/Stabilized!$B$10</f>
        <v>229.61194029850745</v>
      </c>
      <c r="D16" s="9">
        <f>+B16/Stabilized!$E$10</f>
        <v>0.21951428326817157</v>
      </c>
      <c r="E16" s="96">
        <f>+B16/$B$18</f>
        <v>2.7828130542585233E-3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800000</v>
      </c>
      <c r="C17" s="82">
        <f>+B17/Stabilized!$B$10</f>
        <v>5970.1492537313434</v>
      </c>
      <c r="D17" s="86">
        <f>+B17/Stabilized!$E$10</f>
        <v>5.7075996689592188</v>
      </c>
      <c r="E17" s="98">
        <f>+B17/$B$18</f>
        <v>7.2356033652067692E-2</v>
      </c>
      <c r="F17" s="82">
        <f>+B17</f>
        <v>800000</v>
      </c>
      <c r="G17" s="86">
        <v>0</v>
      </c>
    </row>
    <row r="18" spans="1:8">
      <c r="A18" s="2" t="s">
        <v>49</v>
      </c>
      <c r="B18" s="11">
        <f>SUM(B7:B17)</f>
        <v>11056438</v>
      </c>
      <c r="C18" s="11">
        <f>+B18/Stabilized!$B$10</f>
        <v>82510.73134328358</v>
      </c>
      <c r="D18" s="83">
        <f>+B18/Stabilized!$E$10</f>
        <v>78.882152335835158</v>
      </c>
      <c r="E18" s="97">
        <f>SUM(E7:E17)</f>
        <v>1.0000000000000002</v>
      </c>
      <c r="F18" s="11">
        <f>SUM(F7:F17)</f>
        <v>8292530</v>
      </c>
      <c r="G18" s="11">
        <f>SUM(G7:G17)</f>
        <v>2763908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350000</v>
      </c>
      <c r="C23" s="12" t="s">
        <v>0</v>
      </c>
      <c r="D23" s="109" t="s">
        <v>0</v>
      </c>
    </row>
    <row r="24" spans="1:8">
      <c r="A24" s="2" t="s">
        <v>88</v>
      </c>
      <c r="B24" s="111">
        <f>B25-B22-B23</f>
        <v>1292439.5</v>
      </c>
      <c r="C24" s="110" t="s">
        <v>0</v>
      </c>
      <c r="D24" s="1"/>
    </row>
    <row r="25" spans="1:8">
      <c r="A25" s="2" t="s">
        <v>89</v>
      </c>
      <c r="B25" s="95">
        <f>B18*0.25</f>
        <v>2764109.5</v>
      </c>
      <c r="C25" s="117">
        <f>+B25/B18</f>
        <v>0.25</v>
      </c>
      <c r="D25" s="95"/>
    </row>
    <row r="26" spans="1:8">
      <c r="A26" s="2" t="s">
        <v>65</v>
      </c>
      <c r="B26" s="95">
        <f>+B18*0.75</f>
        <v>8292328.5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honeticPr fontId="0" type="noConversion"/>
  <pageMargins left="0.25" right="0.25" top="0.25" bottom="0.214" header="0.5" footer="0.5"/>
  <pageSetup scale="94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tabSelected="1" defaultGridColor="0" topLeftCell="A2" colorId="22" zoomScale="80" workbookViewId="0">
      <selection activeCell="D24" sqref="D24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0.13088633267372579</v>
      </c>
      <c r="C4" s="72"/>
      <c r="D4" s="73"/>
      <c r="E4" s="74"/>
      <c r="F4" s="84">
        <f>G13</f>
        <v>0.15763741643365409</v>
      </c>
      <c r="G4" s="36"/>
      <c r="H4" s="4"/>
      <c r="I4" s="1"/>
      <c r="J4" s="1"/>
    </row>
    <row r="5" spans="1:10">
      <c r="A5" s="13" t="s">
        <v>1</v>
      </c>
      <c r="B5" s="84">
        <f>1-B4</f>
        <v>0.86911366732627426</v>
      </c>
      <c r="C5" s="1"/>
      <c r="D5" s="1"/>
      <c r="E5" s="33"/>
      <c r="F5" s="84">
        <f>1-F4</f>
        <v>0.84236258356634597</v>
      </c>
      <c r="G5" s="1"/>
      <c r="H5" s="1"/>
      <c r="I5" s="1"/>
      <c r="J5" s="1"/>
    </row>
    <row r="6" spans="1:10">
      <c r="A6" s="36" t="s">
        <v>2</v>
      </c>
      <c r="B6" s="22">
        <f>+B5*Stabilized!B10</f>
        <v>116.46123142172075</v>
      </c>
      <c r="C6" s="10"/>
      <c r="D6" s="10"/>
      <c r="E6" s="22"/>
      <c r="F6" s="22">
        <f>+F5*Stabilized!B10</f>
        <v>112.87658619789036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Stabilized!B18</f>
        <v>1620000</v>
      </c>
      <c r="C10" s="42">
        <f>B10/B$12</f>
        <v>0.97993670334775418</v>
      </c>
      <c r="D10" s="120">
        <f>+B10/Stabilized!$B$10</f>
        <v>12089.552238805971</v>
      </c>
      <c r="E10" s="44">
        <f>+B10/Stabilized!$E$10</f>
        <v>11.557889329642419</v>
      </c>
      <c r="F10" s="43">
        <f>Stabilized!F18</f>
        <v>1672500</v>
      </c>
      <c r="G10" s="42">
        <f>F10/F$12</f>
        <v>0.98055424619562537</v>
      </c>
      <c r="H10" s="120">
        <f>+F10/Stabilized!$B$10</f>
        <v>12481.343283582089</v>
      </c>
      <c r="I10" s="44">
        <f>+F10/Stabilized!$E$10</f>
        <v>11.932450557917868</v>
      </c>
      <c r="J10" s="1"/>
    </row>
    <row r="11" spans="1:10" ht="12" customHeight="1">
      <c r="A11" s="10" t="s">
        <v>30</v>
      </c>
      <c r="B11" s="51">
        <f>Stabilized!B19</f>
        <v>33168</v>
      </c>
      <c r="C11" s="45">
        <f>B11/B$12</f>
        <v>2.006329665224587E-2</v>
      </c>
      <c r="D11" s="119">
        <f>+B11/Stabilized!$B$10</f>
        <v>247.52238805970148</v>
      </c>
      <c r="E11" s="46">
        <f>+B11/Stabilized!$E$10</f>
        <v>0.23663708227504923</v>
      </c>
      <c r="F11" s="119">
        <f>Stabilized!F19</f>
        <v>33168</v>
      </c>
      <c r="G11" s="45">
        <f>F11/F$12</f>
        <v>1.9445753804374591E-2</v>
      </c>
      <c r="H11" s="119">
        <f>+F11/Stabilized!$B$10</f>
        <v>247.52238805970148</v>
      </c>
      <c r="I11" s="46">
        <f>+F11/Stabilized!$E$10</f>
        <v>0.23663708227504923</v>
      </c>
      <c r="J11" s="1"/>
    </row>
    <row r="12" spans="1:10" ht="12" customHeight="1">
      <c r="A12" s="2" t="s">
        <v>31</v>
      </c>
      <c r="B12" s="47">
        <f>B11+B10</f>
        <v>1653168</v>
      </c>
      <c r="C12" s="48">
        <f>B12/B$12</f>
        <v>1</v>
      </c>
      <c r="D12" s="78">
        <f>+B12/Stabilized!$B$10</f>
        <v>12337.074626865671</v>
      </c>
      <c r="E12" s="50">
        <f>+B12/Stabilized!$E$10</f>
        <v>11.794526411917468</v>
      </c>
      <c r="F12" s="78">
        <f>F11+F10</f>
        <v>1705668</v>
      </c>
      <c r="G12" s="48">
        <f>F12/F$12</f>
        <v>1</v>
      </c>
      <c r="H12" s="78">
        <f>+F12/Stabilized!$B$10</f>
        <v>12728.865671641792</v>
      </c>
      <c r="I12" s="50">
        <f>+F12/Stabilized!$E$10</f>
        <v>12.169087640192917</v>
      </c>
      <c r="J12" s="1"/>
    </row>
    <row r="13" spans="1:10" ht="12" customHeight="1">
      <c r="A13" s="10" t="s">
        <v>46</v>
      </c>
      <c r="B13" s="51">
        <f>B12-B16-B21</f>
        <v>216377.0968135579</v>
      </c>
      <c r="C13" s="45">
        <f>B13/B$12</f>
        <v>0.13088633267372579</v>
      </c>
      <c r="D13" s="119">
        <f>+B13/Stabilized!$B$10</f>
        <v>1614.7544538325217</v>
      </c>
      <c r="E13" s="46">
        <f>+B13/Stabilized!$E$10</f>
        <v>1.5437423076792751</v>
      </c>
      <c r="F13" s="119">
        <f>F12-F16-F21</f>
        <v>268877.0968135579</v>
      </c>
      <c r="G13" s="45">
        <f>F13/F$12</f>
        <v>0.15763741643365409</v>
      </c>
      <c r="H13" s="119">
        <f>+F13/Stabilized!$B$10</f>
        <v>2006.5454986086411</v>
      </c>
      <c r="I13" s="46">
        <f>+F13/Stabilized!$E$10</f>
        <v>1.9183035359547238</v>
      </c>
      <c r="J13" s="1"/>
    </row>
    <row r="14" spans="1:10" ht="12" customHeight="1">
      <c r="A14" s="2" t="s">
        <v>33</v>
      </c>
      <c r="B14" s="47">
        <f>B12-B13</f>
        <v>1436790.9031864421</v>
      </c>
      <c r="C14" s="48">
        <f>B14/B14</f>
        <v>1</v>
      </c>
      <c r="D14" s="120">
        <f>+B14/Stabilized!$B$10</f>
        <v>10722.320173033149</v>
      </c>
      <c r="E14" s="50">
        <f>+B14/Stabilized!$E$10</f>
        <v>10.250784104238193</v>
      </c>
      <c r="F14" s="78">
        <f>F12-F13</f>
        <v>1436790.9031864421</v>
      </c>
      <c r="G14" s="48">
        <f>F14/F14</f>
        <v>1</v>
      </c>
      <c r="H14" s="120">
        <f>+F14/Stabilized!$B$10</f>
        <v>10722.320173033149</v>
      </c>
      <c r="I14" s="50">
        <f>+F14/Stabilized!$E$10</f>
        <v>10.250784104238193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+B15/Stabilized!$E$10</f>
        <v>0</v>
      </c>
      <c r="F15" s="120"/>
      <c r="G15" s="55"/>
      <c r="H15" s="120" t="s">
        <v>0</v>
      </c>
      <c r="I15" s="54">
        <f>+F15/Stabilized!$E$10</f>
        <v>0</v>
      </c>
      <c r="J15" s="1"/>
    </row>
    <row r="16" spans="1:10" ht="12" customHeight="1">
      <c r="A16" s="2" t="s">
        <v>35</v>
      </c>
      <c r="B16" s="57">
        <f>Stabilized!B33</f>
        <v>616400</v>
      </c>
      <c r="C16" s="58">
        <f>B16/B$12</f>
        <v>0.37285986663182447</v>
      </c>
      <c r="D16" s="121">
        <f>+B16/Stabilized!$B$10</f>
        <v>4600</v>
      </c>
      <c r="E16" s="60">
        <f>+B16/Stabilized!$E$10</f>
        <v>4.3977055449330784</v>
      </c>
      <c r="F16" s="121">
        <f>Stabilized!F33</f>
        <v>616400</v>
      </c>
      <c r="G16" s="58">
        <f>F16/F$14</f>
        <v>0.42901162488778244</v>
      </c>
      <c r="H16" s="121">
        <f>+F16/Stabilized!$B$10</f>
        <v>4600</v>
      </c>
      <c r="I16" s="60">
        <f>+F16/Stabilized!$E$10</f>
        <v>4.3977055449330784</v>
      </c>
      <c r="J16" s="1"/>
    </row>
    <row r="17" spans="1:10" ht="12" customHeight="1">
      <c r="A17" s="2" t="s">
        <v>36</v>
      </c>
      <c r="B17" s="29">
        <f>B14-B16</f>
        <v>820390.9031864421</v>
      </c>
      <c r="C17" s="27">
        <f>B17/B$12</f>
        <v>0.49625380069444974</v>
      </c>
      <c r="D17" s="30">
        <f>+B17/Stabilized!$B$10</f>
        <v>6122.3201730331502</v>
      </c>
      <c r="E17" s="61">
        <f>+B17/Stabilized!$E$10</f>
        <v>5.8530785593051151</v>
      </c>
      <c r="F17" s="29">
        <f>F14-F16</f>
        <v>820390.9031864421</v>
      </c>
      <c r="G17" s="27">
        <f>F17/F$14</f>
        <v>0.57098837511221756</v>
      </c>
      <c r="H17" s="30">
        <f>+F17/Stabilized!$B$10</f>
        <v>6122.3201730331502</v>
      </c>
      <c r="I17" s="61">
        <f>+F17/Stabilized!$E$10</f>
        <v>5.8530785593051151</v>
      </c>
      <c r="J17" s="1"/>
    </row>
    <row r="18" spans="1:10" ht="12" customHeight="1">
      <c r="A18" s="62" t="s">
        <v>7</v>
      </c>
      <c r="B18" s="63">
        <f>+Budget!B26</f>
        <v>8292328.5</v>
      </c>
      <c r="C18" s="64" t="s">
        <v>0</v>
      </c>
      <c r="D18" s="63" t="s">
        <v>0</v>
      </c>
      <c r="E18" s="65" t="s">
        <v>0</v>
      </c>
      <c r="F18" s="63">
        <f>+Stabilized!B35</f>
        <v>8292328.5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820390.9031864421</v>
      </c>
      <c r="C21" s="55" t="s">
        <v>0</v>
      </c>
      <c r="D21" s="12" t="s">
        <v>0</v>
      </c>
      <c r="E21" s="67" t="s">
        <v>0</v>
      </c>
      <c r="F21" s="12">
        <f>PMT(F19,F20/12,-F18)</f>
        <v>820390.9031864421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honeticPr fontId="0" type="noConversion"/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honeticPr fontId="0" type="noConversion"/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honeticPr fontId="0" type="noConversion"/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51"/>
  <sheetViews>
    <sheetView defaultGridColor="0" colorId="22" zoomScale="80" workbookViewId="0">
      <selection activeCell="A14" sqref="A14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7" width="8.77734375" customWidth="1"/>
    <col min="8" max="9" width="7.77734375" customWidth="1"/>
    <col min="10" max="10" width="11.88671875" customWidth="1"/>
    <col min="12" max="12" width="13.5546875" bestFit="1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27</v>
      </c>
      <c r="C6" s="20">
        <f>B6/$B$10</f>
        <v>0.20149253731343283</v>
      </c>
      <c r="D6" s="21">
        <v>540</v>
      </c>
      <c r="E6" s="22">
        <f>D6*B6</f>
        <v>14580</v>
      </c>
      <c r="F6" s="23">
        <v>550</v>
      </c>
      <c r="G6" s="12">
        <f>F6*B6</f>
        <v>14850</v>
      </c>
      <c r="H6" s="112">
        <f>+F6</f>
        <v>550</v>
      </c>
      <c r="I6" s="23">
        <v>575</v>
      </c>
      <c r="J6" s="12">
        <f>I6*B6</f>
        <v>15525</v>
      </c>
      <c r="K6" s="112">
        <f>+I6</f>
        <v>575</v>
      </c>
      <c r="O6" s="1"/>
    </row>
    <row r="7" spans="1:15">
      <c r="A7" s="19" t="s">
        <v>52</v>
      </c>
      <c r="B7" s="3">
        <v>33</v>
      </c>
      <c r="C7" s="20">
        <f>B7/$B$10</f>
        <v>0.2462686567164179</v>
      </c>
      <c r="D7" s="21">
        <v>1016</v>
      </c>
      <c r="E7" s="22">
        <f>D7*B7</f>
        <v>33528</v>
      </c>
      <c r="F7" s="23">
        <v>950</v>
      </c>
      <c r="G7" s="12">
        <f>F7*B7</f>
        <v>31350</v>
      </c>
      <c r="H7" s="112">
        <f>+F7/2</f>
        <v>475</v>
      </c>
      <c r="I7" s="23">
        <v>950</v>
      </c>
      <c r="J7" s="12">
        <f>I7*B7</f>
        <v>31350</v>
      </c>
      <c r="K7" s="112">
        <f>+I7/2</f>
        <v>475</v>
      </c>
      <c r="O7" s="1"/>
    </row>
    <row r="8" spans="1:15">
      <c r="A8" s="19" t="s">
        <v>53</v>
      </c>
      <c r="B8" s="87">
        <v>74</v>
      </c>
      <c r="C8" s="88">
        <f>B8/$B$10</f>
        <v>0.55223880597014929</v>
      </c>
      <c r="D8" s="89">
        <v>1244</v>
      </c>
      <c r="E8" s="90">
        <f>D8*B8</f>
        <v>92056</v>
      </c>
      <c r="F8" s="24">
        <v>1200</v>
      </c>
      <c r="G8" s="25">
        <f>F8*B8</f>
        <v>88800</v>
      </c>
      <c r="H8" s="113">
        <f>+F8/3</f>
        <v>400</v>
      </c>
      <c r="I8" s="24">
        <v>1250</v>
      </c>
      <c r="J8" s="25">
        <f>I8*B8</f>
        <v>92500</v>
      </c>
      <c r="K8" s="113">
        <f>+I8/3</f>
        <v>416.66666666666669</v>
      </c>
      <c r="O8" s="1"/>
    </row>
    <row r="9" spans="1:15">
      <c r="A9" s="19"/>
      <c r="B9" s="87"/>
      <c r="C9" s="88"/>
      <c r="D9" s="89"/>
      <c r="E9" s="90"/>
      <c r="F9" s="24"/>
      <c r="G9" s="25"/>
      <c r="H9" s="113"/>
      <c r="I9" s="24"/>
      <c r="J9" s="25"/>
      <c r="K9" s="113"/>
      <c r="O9" s="1"/>
    </row>
    <row r="10" spans="1:15">
      <c r="A10" s="26" t="s">
        <v>18</v>
      </c>
      <c r="B10" s="5">
        <f>SUM(B6:B8)</f>
        <v>134</v>
      </c>
      <c r="C10" s="27">
        <f>B10/$B$10</f>
        <v>1</v>
      </c>
      <c r="D10" s="28">
        <f>E10/B10</f>
        <v>1046</v>
      </c>
      <c r="E10" s="5">
        <f>SUM(E6:E8)</f>
        <v>140164</v>
      </c>
      <c r="F10" s="29">
        <f>G10/B10</f>
        <v>1007.4626865671642</v>
      </c>
      <c r="G10" s="123">
        <f>SUM(G6:G8)</f>
        <v>135000</v>
      </c>
      <c r="H10" s="114">
        <f>+G10/329</f>
        <v>410.33434650455928</v>
      </c>
      <c r="I10" s="29">
        <f>J10/B10</f>
        <v>1040.1119402985075</v>
      </c>
      <c r="J10" s="123">
        <f>SUM(J6:J8)</f>
        <v>139375</v>
      </c>
      <c r="K10" s="114">
        <f>+J10/329</f>
        <v>423.63221884498478</v>
      </c>
      <c r="O10" s="1"/>
    </row>
    <row r="11" spans="1:15">
      <c r="A11" s="1"/>
      <c r="B11" s="1"/>
      <c r="C11" s="31"/>
      <c r="D11" s="32"/>
      <c r="E11" s="33"/>
      <c r="F11" s="1"/>
      <c r="G11" s="1"/>
      <c r="H11" s="1"/>
      <c r="I11" s="1"/>
      <c r="J11" s="1"/>
      <c r="K11" s="1"/>
      <c r="O11" s="1"/>
    </row>
    <row r="12" spans="1:15">
      <c r="A12" s="13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6" t="s">
        <v>20</v>
      </c>
      <c r="C13" s="4"/>
      <c r="D13" s="4"/>
      <c r="E13" s="4"/>
      <c r="F13" s="36" t="s">
        <v>21</v>
      </c>
      <c r="G13" s="4"/>
      <c r="H13" s="4"/>
      <c r="I13" s="4"/>
      <c r="N13" s="1"/>
      <c r="O13" s="1"/>
    </row>
    <row r="14" spans="1:15">
      <c r="A14" s="13" t="s">
        <v>22</v>
      </c>
      <c r="B14" s="1"/>
      <c r="C14" s="1"/>
      <c r="D14" s="1"/>
      <c r="E14" s="1"/>
      <c r="F14" s="4"/>
      <c r="G14" s="4"/>
      <c r="H14" s="4"/>
      <c r="I14" s="4"/>
      <c r="N14" s="1"/>
      <c r="O14" s="1"/>
    </row>
    <row r="15" spans="1:15">
      <c r="A15" s="10" t="s">
        <v>23</v>
      </c>
      <c r="B15" s="20">
        <v>0.05</v>
      </c>
      <c r="C15" s="1"/>
      <c r="D15" s="1"/>
      <c r="E15" s="1"/>
      <c r="F15" s="20">
        <v>0.05</v>
      </c>
      <c r="G15" s="1"/>
      <c r="H15" s="1"/>
      <c r="I15" s="1"/>
      <c r="N15" s="1"/>
      <c r="O15" s="1"/>
    </row>
    <row r="16" spans="1:15">
      <c r="A16" s="10" t="s">
        <v>24</v>
      </c>
      <c r="B16" s="37">
        <f>H10</f>
        <v>410.33434650455928</v>
      </c>
      <c r="C16" s="37"/>
      <c r="D16" s="37"/>
      <c r="E16" s="37"/>
      <c r="F16" s="37">
        <f>K10</f>
        <v>423.63221884498478</v>
      </c>
      <c r="G16" s="1"/>
      <c r="H16" s="1"/>
      <c r="I16" s="1"/>
      <c r="N16" s="1"/>
      <c r="O16" s="1"/>
    </row>
    <row r="17" spans="1:15">
      <c r="A17" s="38" t="s">
        <v>25</v>
      </c>
      <c r="B17" s="39" t="s">
        <v>26</v>
      </c>
      <c r="C17" s="15" t="s">
        <v>13</v>
      </c>
      <c r="D17" s="15" t="s">
        <v>27</v>
      </c>
      <c r="E17" s="40" t="s">
        <v>28</v>
      </c>
      <c r="F17" s="39" t="s">
        <v>26</v>
      </c>
      <c r="G17" s="15" t="s">
        <v>13</v>
      </c>
      <c r="H17" s="15" t="s">
        <v>27</v>
      </c>
      <c r="I17" s="40" t="s">
        <v>28</v>
      </c>
      <c r="N17" s="1"/>
      <c r="O17" s="1"/>
    </row>
    <row r="18" spans="1:15">
      <c r="A18" s="10" t="s">
        <v>29</v>
      </c>
      <c r="B18" s="41">
        <f>+G10*12</f>
        <v>1620000</v>
      </c>
      <c r="C18" s="42">
        <f>B18/B$20</f>
        <v>0.97993670334775418</v>
      </c>
      <c r="D18" s="43">
        <f>B18/$B$10</f>
        <v>12089.552238805971</v>
      </c>
      <c r="E18" s="44">
        <f>B18/$E$10</f>
        <v>11.557889329642419</v>
      </c>
      <c r="F18" s="41">
        <f>+J10*12</f>
        <v>1672500</v>
      </c>
      <c r="G18" s="42">
        <f>F18/F$20</f>
        <v>0.98055424619562537</v>
      </c>
      <c r="H18" s="43">
        <f>F18/$B$10</f>
        <v>12481.343283582089</v>
      </c>
      <c r="I18" s="44">
        <f>F18/$E$10</f>
        <v>11.932450557917868</v>
      </c>
      <c r="N18" s="1"/>
      <c r="O18" s="1"/>
    </row>
    <row r="19" spans="1:15">
      <c r="A19" s="10" t="s">
        <v>30</v>
      </c>
      <c r="B19" s="24">
        <v>33168</v>
      </c>
      <c r="C19" s="45">
        <f>B19/B$20</f>
        <v>2.006329665224587E-2</v>
      </c>
      <c r="D19" s="25">
        <f>B19/$B$10</f>
        <v>247.52238805970148</v>
      </c>
      <c r="E19" s="46">
        <f>B19/$E$10</f>
        <v>0.23663708227504923</v>
      </c>
      <c r="F19" s="24">
        <v>33168</v>
      </c>
      <c r="G19" s="45">
        <f>F19/F$20</f>
        <v>1.9445753804374591E-2</v>
      </c>
      <c r="H19" s="25">
        <f>F19/$B$10</f>
        <v>247.52238805970148</v>
      </c>
      <c r="I19" s="46">
        <f>F19/$E$10</f>
        <v>0.23663708227504923</v>
      </c>
      <c r="N19" s="1"/>
      <c r="O19" s="1"/>
    </row>
    <row r="20" spans="1:15">
      <c r="A20" s="2" t="s">
        <v>31</v>
      </c>
      <c r="B20" s="47">
        <f>B19+B18</f>
        <v>1653168</v>
      </c>
      <c r="C20" s="48">
        <f>B20/B$20</f>
        <v>1</v>
      </c>
      <c r="D20" s="49">
        <f t="shared" ref="D20:D34" si="0">B20/$B$10</f>
        <v>12337.074626865671</v>
      </c>
      <c r="E20" s="50">
        <f t="shared" ref="E20:E34" si="1">B20/$E$10</f>
        <v>11.794526411917468</v>
      </c>
      <c r="F20" s="47">
        <f>F19+F18</f>
        <v>1705668</v>
      </c>
      <c r="G20" s="48">
        <f>F20/F$20</f>
        <v>1</v>
      </c>
      <c r="H20" s="49">
        <f>F20/$B$10</f>
        <v>12728.865671641792</v>
      </c>
      <c r="I20" s="50">
        <f>F20/$E$10</f>
        <v>12.169087640192917</v>
      </c>
      <c r="N20" s="1"/>
      <c r="O20" s="1"/>
    </row>
    <row r="21" spans="1:15">
      <c r="A21" s="10" t="s">
        <v>32</v>
      </c>
      <c r="B21" s="51">
        <f>B20*B15</f>
        <v>82658.400000000009</v>
      </c>
      <c r="C21" s="45">
        <f>B21/B$20</f>
        <v>0.05</v>
      </c>
      <c r="D21" s="25">
        <f t="shared" si="0"/>
        <v>616.8537313432837</v>
      </c>
      <c r="E21" s="46">
        <f t="shared" si="1"/>
        <v>0.58972632059587349</v>
      </c>
      <c r="F21" s="51">
        <f>F20*F15</f>
        <v>85283.400000000009</v>
      </c>
      <c r="G21" s="45">
        <f>F21/F$20</f>
        <v>0.05</v>
      </c>
      <c r="H21" s="25">
        <f>F21/$B$10</f>
        <v>636.44328358208963</v>
      </c>
      <c r="I21" s="46">
        <f>F21/$E$10</f>
        <v>0.60845438200964586</v>
      </c>
      <c r="N21" s="1"/>
      <c r="O21" s="1"/>
    </row>
    <row r="22" spans="1:15">
      <c r="A22" s="10" t="s">
        <v>33</v>
      </c>
      <c r="B22" s="47">
        <f>B20-B21</f>
        <v>1570509.6</v>
      </c>
      <c r="C22" s="48">
        <f>B22/B22</f>
        <v>1</v>
      </c>
      <c r="D22" s="12">
        <f t="shared" si="0"/>
        <v>11720.220895522389</v>
      </c>
      <c r="E22" s="54">
        <f t="shared" si="1"/>
        <v>11.204800091321596</v>
      </c>
      <c r="F22" s="47">
        <f>F20-F21</f>
        <v>1620384.6</v>
      </c>
      <c r="G22" s="48">
        <f>F22/F22</f>
        <v>1</v>
      </c>
      <c r="H22" s="12">
        <f>F22/$B$10</f>
        <v>12092.422388059702</v>
      </c>
      <c r="I22" s="54">
        <f>F22/$E$10</f>
        <v>11.560633258183271</v>
      </c>
      <c r="N22" s="1"/>
      <c r="O22" s="1"/>
    </row>
    <row r="23" spans="1:15">
      <c r="A23" s="38" t="s">
        <v>34</v>
      </c>
      <c r="B23" s="52"/>
      <c r="C23" s="53"/>
      <c r="D23" s="12" t="s">
        <v>0</v>
      </c>
      <c r="E23" s="54" t="s">
        <v>0</v>
      </c>
      <c r="F23" s="52"/>
      <c r="G23" s="53"/>
      <c r="H23" s="12" t="s">
        <v>0</v>
      </c>
      <c r="I23" s="54" t="s">
        <v>0</v>
      </c>
      <c r="N23" s="1"/>
      <c r="O23" s="1"/>
    </row>
    <row r="24" spans="1:15">
      <c r="A24" s="10" t="s">
        <v>54</v>
      </c>
      <c r="B24" s="23">
        <v>234500</v>
      </c>
      <c r="C24" s="55">
        <f t="shared" ref="C24:C30" si="2">B24/B$22</f>
        <v>0.14931459190061619</v>
      </c>
      <c r="D24" s="12">
        <f t="shared" si="0"/>
        <v>1750</v>
      </c>
      <c r="E24" s="54">
        <f t="shared" si="1"/>
        <v>1.6730401529636711</v>
      </c>
      <c r="F24" s="23">
        <v>234500</v>
      </c>
      <c r="G24" s="55">
        <f t="shared" ref="G24:G30" si="3">F24/F$22</f>
        <v>0.14471872912146905</v>
      </c>
      <c r="H24" s="12">
        <f t="shared" ref="H24:H30" si="4">F24/$B$10</f>
        <v>1750</v>
      </c>
      <c r="I24" s="54">
        <f t="shared" ref="I24:I30" si="5">F24/$E$10</f>
        <v>1.6730401529636711</v>
      </c>
      <c r="N24" s="1"/>
      <c r="O24" s="1"/>
    </row>
    <row r="25" spans="1:15">
      <c r="A25" s="10" t="s">
        <v>55</v>
      </c>
      <c r="B25" s="23">
        <v>33500</v>
      </c>
      <c r="C25" s="55">
        <f t="shared" si="2"/>
        <v>2.1330655985802315E-2</v>
      </c>
      <c r="D25" s="12">
        <f t="shared" si="0"/>
        <v>250</v>
      </c>
      <c r="E25" s="54">
        <f t="shared" si="1"/>
        <v>0.23900573613766729</v>
      </c>
      <c r="F25" s="23">
        <v>33500</v>
      </c>
      <c r="G25" s="55">
        <f t="shared" si="3"/>
        <v>2.0674104160209865E-2</v>
      </c>
      <c r="H25" s="12">
        <f t="shared" si="4"/>
        <v>250</v>
      </c>
      <c r="I25" s="54">
        <f t="shared" si="5"/>
        <v>0.23900573613766729</v>
      </c>
      <c r="N25" s="1"/>
      <c r="O25" s="1"/>
    </row>
    <row r="26" spans="1:15">
      <c r="A26" s="10" t="s">
        <v>56</v>
      </c>
      <c r="B26" s="23">
        <v>46900</v>
      </c>
      <c r="C26" s="55">
        <f t="shared" si="2"/>
        <v>2.9862918380123241E-2</v>
      </c>
      <c r="D26" s="12">
        <f t="shared" si="0"/>
        <v>350</v>
      </c>
      <c r="E26" s="54">
        <f t="shared" si="1"/>
        <v>0.33460803059273425</v>
      </c>
      <c r="F26" s="23">
        <v>46900</v>
      </c>
      <c r="G26" s="55">
        <f t="shared" si="3"/>
        <v>2.894374582429381E-2</v>
      </c>
      <c r="H26" s="12">
        <f t="shared" si="4"/>
        <v>350</v>
      </c>
      <c r="I26" s="54">
        <f t="shared" si="5"/>
        <v>0.33460803059273425</v>
      </c>
      <c r="N26" s="1"/>
      <c r="O26" s="1"/>
    </row>
    <row r="27" spans="1:15">
      <c r="A27" s="10" t="s">
        <v>57</v>
      </c>
      <c r="B27" s="23">
        <v>116580</v>
      </c>
      <c r="C27" s="55">
        <f t="shared" si="2"/>
        <v>7.423068283059206E-2</v>
      </c>
      <c r="D27" s="12">
        <f t="shared" si="0"/>
        <v>870</v>
      </c>
      <c r="E27" s="54">
        <f t="shared" si="1"/>
        <v>0.83173996175908227</v>
      </c>
      <c r="F27" s="23">
        <v>116580</v>
      </c>
      <c r="G27" s="55">
        <f t="shared" si="3"/>
        <v>7.1945882477530324E-2</v>
      </c>
      <c r="H27" s="12">
        <f t="shared" si="4"/>
        <v>870</v>
      </c>
      <c r="I27" s="54">
        <f t="shared" si="5"/>
        <v>0.83173996175908227</v>
      </c>
      <c r="N27" s="1"/>
      <c r="O27" s="1"/>
    </row>
    <row r="28" spans="1:15">
      <c r="A28" s="10" t="s">
        <v>47</v>
      </c>
      <c r="B28" s="23">
        <v>43550</v>
      </c>
      <c r="C28" s="55">
        <f t="shared" si="2"/>
        <v>2.7729852781543007E-2</v>
      </c>
      <c r="D28" s="12">
        <f t="shared" si="0"/>
        <v>325</v>
      </c>
      <c r="E28" s="54">
        <f t="shared" si="1"/>
        <v>0.31070745697896751</v>
      </c>
      <c r="F28" s="23">
        <v>43550</v>
      </c>
      <c r="G28" s="55">
        <f t="shared" si="3"/>
        <v>2.6876335408272823E-2</v>
      </c>
      <c r="H28" s="12">
        <f t="shared" si="4"/>
        <v>325</v>
      </c>
      <c r="I28" s="54">
        <f t="shared" si="5"/>
        <v>0.31070745697896751</v>
      </c>
      <c r="K28" t="s">
        <v>0</v>
      </c>
      <c r="N28" s="1"/>
      <c r="O28" s="1"/>
    </row>
    <row r="29" spans="1:15">
      <c r="A29" s="10" t="s">
        <v>58</v>
      </c>
      <c r="B29" s="56">
        <v>93800</v>
      </c>
      <c r="C29" s="55">
        <f t="shared" si="2"/>
        <v>5.9725836760246481E-2</v>
      </c>
      <c r="D29" s="12">
        <f t="shared" si="0"/>
        <v>700</v>
      </c>
      <c r="E29" s="54">
        <f t="shared" si="1"/>
        <v>0.6692160611854685</v>
      </c>
      <c r="F29" s="56">
        <v>93800</v>
      </c>
      <c r="G29" s="55">
        <f t="shared" si="3"/>
        <v>5.788749164858762E-2</v>
      </c>
      <c r="H29" s="12">
        <f t="shared" si="4"/>
        <v>700</v>
      </c>
      <c r="I29" s="54">
        <f t="shared" si="5"/>
        <v>0.6692160611854685</v>
      </c>
      <c r="N29" s="1"/>
      <c r="O29" s="1"/>
    </row>
    <row r="30" spans="1:15">
      <c r="A30" s="10" t="s">
        <v>59</v>
      </c>
      <c r="B30" s="56">
        <v>670</v>
      </c>
      <c r="C30" s="55">
        <f t="shared" si="2"/>
        <v>4.2661311971604627E-4</v>
      </c>
      <c r="D30" s="12">
        <f t="shared" si="0"/>
        <v>5</v>
      </c>
      <c r="E30" s="54">
        <f t="shared" si="1"/>
        <v>4.7801147227533461E-3</v>
      </c>
      <c r="F30" s="56">
        <v>670</v>
      </c>
      <c r="G30" s="55">
        <f t="shared" si="3"/>
        <v>4.1348208320419729E-4</v>
      </c>
      <c r="H30" s="12">
        <f t="shared" si="4"/>
        <v>5</v>
      </c>
      <c r="I30" s="54">
        <f t="shared" si="5"/>
        <v>4.7801147227533461E-3</v>
      </c>
      <c r="N30" s="1"/>
      <c r="O30" s="1"/>
    </row>
    <row r="31" spans="1:15">
      <c r="A31" s="10" t="s">
        <v>0</v>
      </c>
      <c r="B31" s="56" t="s">
        <v>0</v>
      </c>
      <c r="C31" s="55" t="s">
        <v>0</v>
      </c>
      <c r="D31" s="12" t="s">
        <v>0</v>
      </c>
      <c r="E31" s="54" t="s">
        <v>0</v>
      </c>
      <c r="F31" s="56" t="s">
        <v>0</v>
      </c>
      <c r="G31" s="55" t="s">
        <v>0</v>
      </c>
      <c r="H31" s="12" t="s">
        <v>0</v>
      </c>
      <c r="I31" s="54" t="s">
        <v>0</v>
      </c>
      <c r="L31" s="124">
        <f>134*78000</f>
        <v>10452000</v>
      </c>
      <c r="N31" s="1"/>
      <c r="O31" s="1"/>
    </row>
    <row r="32" spans="1:15">
      <c r="A32" s="10" t="s">
        <v>50</v>
      </c>
      <c r="B32" s="56">
        <f>+B10*350</f>
        <v>46900</v>
      </c>
      <c r="C32" s="55">
        <f>B32/B$22</f>
        <v>2.9862918380123241E-2</v>
      </c>
      <c r="D32" s="12">
        <f t="shared" si="0"/>
        <v>350</v>
      </c>
      <c r="E32" s="54">
        <f t="shared" si="1"/>
        <v>0.33460803059273425</v>
      </c>
      <c r="F32" s="56">
        <f>+B10*350</f>
        <v>46900</v>
      </c>
      <c r="G32" s="55">
        <f>F32/F$22</f>
        <v>2.894374582429381E-2</v>
      </c>
      <c r="H32" s="12">
        <f>F32/$B$10</f>
        <v>350</v>
      </c>
      <c r="I32" s="54">
        <f>F32/$E$10</f>
        <v>0.33460803059273425</v>
      </c>
      <c r="L32" s="124"/>
      <c r="N32" s="1"/>
      <c r="O32" s="1"/>
    </row>
    <row r="33" spans="1:15">
      <c r="A33" s="2" t="s">
        <v>35</v>
      </c>
      <c r="B33" s="57">
        <f>SUM(B24:B32)</f>
        <v>616400</v>
      </c>
      <c r="C33" s="58">
        <f>B33/B$22</f>
        <v>0.39248407013876258</v>
      </c>
      <c r="D33" s="59">
        <f t="shared" si="0"/>
        <v>4600</v>
      </c>
      <c r="E33" s="60">
        <f t="shared" si="1"/>
        <v>4.3977055449330784</v>
      </c>
      <c r="F33" s="57">
        <f>SUM(F24:F32)</f>
        <v>616400</v>
      </c>
      <c r="G33" s="58">
        <f>F33/F$22</f>
        <v>0.38040351654786153</v>
      </c>
      <c r="H33" s="59">
        <f>F33/$B$10</f>
        <v>4600</v>
      </c>
      <c r="I33" s="60">
        <f>F33/$E$10</f>
        <v>4.3977055449330784</v>
      </c>
      <c r="L33" s="124">
        <v>8890000</v>
      </c>
      <c r="N33" s="1"/>
      <c r="O33" s="1"/>
    </row>
    <row r="34" spans="1:15">
      <c r="A34" s="2" t="s">
        <v>36</v>
      </c>
      <c r="B34" s="29">
        <f>B22-B33</f>
        <v>954109.60000000009</v>
      </c>
      <c r="C34" s="27">
        <f>B34/B$22</f>
        <v>0.60751592986123737</v>
      </c>
      <c r="D34" s="30">
        <f t="shared" si="0"/>
        <v>7120.2208955223887</v>
      </c>
      <c r="E34" s="61">
        <f t="shared" si="1"/>
        <v>6.8070945463885169</v>
      </c>
      <c r="F34" s="30">
        <f>F22-F33</f>
        <v>1003984.6000000001</v>
      </c>
      <c r="G34" s="27">
        <f>F34/F$22</f>
        <v>0.61959648345213847</v>
      </c>
      <c r="H34" s="30">
        <f>F34/$B$10</f>
        <v>7492.4223880597019</v>
      </c>
      <c r="I34" s="61">
        <f>F34/$E$10</f>
        <v>7.162927713250193</v>
      </c>
      <c r="L34" s="124"/>
      <c r="N34" s="1"/>
      <c r="O34" s="1"/>
    </row>
    <row r="35" spans="1:15">
      <c r="A35" s="62" t="s">
        <v>7</v>
      </c>
      <c r="B35" s="63">
        <f>+Budget!B26</f>
        <v>8292328.5</v>
      </c>
      <c r="C35" s="64"/>
      <c r="D35" s="63" t="s">
        <v>0</v>
      </c>
      <c r="E35" s="65" t="s">
        <v>0</v>
      </c>
      <c r="F35" s="63">
        <f>+Budget!B26</f>
        <v>8292328.5</v>
      </c>
      <c r="G35" s="64"/>
      <c r="H35" s="63" t="s">
        <v>0</v>
      </c>
      <c r="I35" s="65" t="s">
        <v>0</v>
      </c>
      <c r="L35" s="124">
        <f>L31-L33</f>
        <v>1562000</v>
      </c>
      <c r="N35" s="1"/>
      <c r="O35" s="1"/>
    </row>
    <row r="36" spans="1:15">
      <c r="A36" s="62" t="s">
        <v>37</v>
      </c>
      <c r="B36" s="66">
        <v>7.7499999999999999E-2</v>
      </c>
      <c r="C36" s="64"/>
      <c r="D36" s="63"/>
      <c r="E36" s="65"/>
      <c r="F36" s="66">
        <v>7.7499999999999999E-2</v>
      </c>
      <c r="G36" s="64"/>
      <c r="H36" s="63"/>
      <c r="I36" s="65"/>
      <c r="L36" s="124"/>
      <c r="N36" s="1"/>
      <c r="O36" s="1"/>
    </row>
    <row r="37" spans="1:15">
      <c r="A37" s="62" t="s">
        <v>38</v>
      </c>
      <c r="B37" s="62">
        <v>300</v>
      </c>
      <c r="C37" s="64"/>
      <c r="D37" s="63"/>
      <c r="E37" s="65"/>
      <c r="F37" s="62">
        <v>300</v>
      </c>
      <c r="G37" s="64"/>
      <c r="H37" s="63"/>
      <c r="I37" s="65"/>
      <c r="L37" s="118">
        <f>F39*0.9/L35</f>
        <v>0.14041072407024058</v>
      </c>
      <c r="N37" s="1"/>
      <c r="O37" s="1"/>
    </row>
    <row r="38" spans="1:15">
      <c r="A38" s="62" t="s">
        <v>39</v>
      </c>
      <c r="B38" s="12">
        <f>PMT(B36,B37/12,-B35)</f>
        <v>760293.98778031592</v>
      </c>
      <c r="C38" s="55" t="s">
        <v>0</v>
      </c>
      <c r="D38" s="12" t="s">
        <v>0</v>
      </c>
      <c r="E38" s="67" t="s">
        <v>0</v>
      </c>
      <c r="F38" s="12">
        <f>PMT(F36,F37/12,-F35)</f>
        <v>760293.98778031592</v>
      </c>
      <c r="G38" s="55" t="s">
        <v>0</v>
      </c>
      <c r="H38" s="12" t="s">
        <v>0</v>
      </c>
      <c r="I38" s="67" t="s">
        <v>0</v>
      </c>
      <c r="L38" s="124"/>
      <c r="N38" s="1"/>
      <c r="O38" s="1"/>
    </row>
    <row r="39" spans="1:15">
      <c r="A39" s="2" t="s">
        <v>40</v>
      </c>
      <c r="B39" s="49">
        <f>B34-B38</f>
        <v>193815.61221968418</v>
      </c>
      <c r="C39" s="48" t="s">
        <v>0</v>
      </c>
      <c r="D39" s="49" t="s">
        <v>0</v>
      </c>
      <c r="E39" s="68" t="s">
        <v>0</v>
      </c>
      <c r="F39" s="49">
        <f>F34-F38</f>
        <v>243690.61221968418</v>
      </c>
      <c r="G39" s="48" t="s">
        <v>48</v>
      </c>
      <c r="H39" s="49" t="s">
        <v>0</v>
      </c>
      <c r="I39" s="68" t="s">
        <v>0</v>
      </c>
      <c r="L39" s="124"/>
      <c r="N39" s="1"/>
      <c r="O39" s="1"/>
    </row>
    <row r="40" spans="1:15">
      <c r="A40" s="2" t="s">
        <v>41</v>
      </c>
      <c r="B40" s="69">
        <f>B34/B38</f>
        <v>1.2549219319562559</v>
      </c>
      <c r="C40" s="48" t="s">
        <v>42</v>
      </c>
      <c r="D40" s="49"/>
      <c r="E40" s="68"/>
      <c r="F40" s="69">
        <f>F34/F38</f>
        <v>1.3205215563142105</v>
      </c>
      <c r="G40" s="48" t="s">
        <v>42</v>
      </c>
      <c r="H40" s="49"/>
      <c r="I40" s="68"/>
      <c r="L40" s="124"/>
      <c r="N40" s="1"/>
      <c r="O40" s="1"/>
    </row>
    <row r="41" spans="1:15">
      <c r="A41" s="2" t="s">
        <v>43</v>
      </c>
      <c r="B41" s="70">
        <f>B34/B35</f>
        <v>0.11505931054226809</v>
      </c>
      <c r="C41" s="48"/>
      <c r="D41" s="49"/>
      <c r="E41" s="68"/>
      <c r="F41" s="70">
        <f>F34/F35</f>
        <v>0.12107390583959621</v>
      </c>
      <c r="G41" s="48"/>
      <c r="H41" s="49"/>
      <c r="I41" s="68"/>
      <c r="L41" s="124"/>
      <c r="N41" s="1"/>
      <c r="O41" s="1"/>
    </row>
    <row r="42" spans="1:15">
      <c r="A42" s="1"/>
      <c r="B42" s="1"/>
      <c r="C42" s="31"/>
      <c r="D42" s="34"/>
      <c r="E42" s="67"/>
      <c r="F42" s="1"/>
      <c r="G42" s="1"/>
      <c r="H42" s="1"/>
      <c r="I42" s="1"/>
      <c r="J42" s="1"/>
      <c r="K42" s="1"/>
      <c r="L42" s="125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25"/>
      <c r="M43" s="1"/>
      <c r="N43" s="1"/>
      <c r="O43" s="1"/>
    </row>
    <row r="44" spans="1:1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0"/>
      <c r="B50" s="12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0"/>
      <c r="B51" s="12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0" type="noConversion"/>
  <pageMargins left="0.25" right="0.25" top="0.25" bottom="0.214" header="0.5" footer="0.5"/>
  <pageSetup scale="74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2001-03-07T18:33:06Z</cp:lastPrinted>
  <dcterms:created xsi:type="dcterms:W3CDTF">1999-10-06T19:56:43Z</dcterms:created>
  <dcterms:modified xsi:type="dcterms:W3CDTF">2014-09-04T13:30:21Z</dcterms:modified>
</cp:coreProperties>
</file>